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annalima\Downloads\"/>
    </mc:Choice>
  </mc:AlternateContent>
  <xr:revisionPtr revIDLastSave="0" documentId="13_ncr:1_{2B558CF1-D4B8-4396-851F-BAE91C42A0D0}" xr6:coauthVersionLast="36" xr6:coauthVersionMax="36" xr10:uidLastSave="{00000000-0000-0000-0000-000000000000}"/>
  <bookViews>
    <workbookView xWindow="0" yWindow="0" windowWidth="28800" windowHeight="12110" firstSheet="1" activeTab="1" xr2:uid="{00000000-000D-0000-FFFF-FFFF00000000}"/>
  </bookViews>
  <sheets>
    <sheet name="ORIENTADORES" sheetId="2" state="hidden" r:id="rId1"/>
    <sheet name="OFERTAS" sheetId="3" r:id="rId2"/>
    <sheet name="PROFESSORES" sheetId="4" state="hidden" r:id="rId3"/>
    <sheet name="COD_CURSOS" sheetId="6" state="hidden" r:id="rId4"/>
    <sheet name="BD_RH" sheetId="12" state="hidden" r:id="rId5"/>
    <sheet name="UNIDADES" sheetId="16" state="hidden" r:id="rId6"/>
    <sheet name="DIÁRIOS" sheetId="17" state="hidden" r:id="rId7"/>
    <sheet name="IMPORT_FORMACAO" sheetId="18" state="hidden" r:id="rId8"/>
    <sheet name="IMPORT_DESISTENCIA" sheetId="19" state="hidden" r:id="rId9"/>
    <sheet name="IMPORT_MATRÍCULAS" sheetId="20" state="hidden" r:id="rId10"/>
  </sheets>
  <definedNames>
    <definedName name="Z_75476AD5_ADDD_46AF_8FEE_3751C92C75AE_.wvu.FilterData" localSheetId="1" hidden="1">OFERTAS!$A$2:$H$17</definedName>
  </definedNames>
  <calcPr calcId="191029"/>
  <customWorkbookViews>
    <customWorkbookView name="VALTÉRCIO" guid="{75476AD5-ADDD-46AF-8FEE-3751C92C75AE}" maximized="1" windowWidth="0" windowHeight="0" activeSheetId="0"/>
  </customWorkbookViews>
</workbook>
</file>

<file path=xl/calcChain.xml><?xml version="1.0" encoding="utf-8"?>
<calcChain xmlns="http://schemas.openxmlformats.org/spreadsheetml/2006/main">
  <c r="G3" i="3" l="1"/>
  <c r="G4" i="3"/>
  <c r="G5" i="3"/>
  <c r="G6" i="3"/>
  <c r="G8" i="3"/>
  <c r="G9" i="3"/>
  <c r="G12" i="3"/>
  <c r="G13" i="3"/>
  <c r="G14" i="3"/>
  <c r="G15" i="3"/>
  <c r="G16" i="3"/>
  <c r="G17" i="3"/>
  <c r="A231" i="20"/>
  <c r="A230" i="20"/>
  <c r="A229" i="20"/>
  <c r="A228" i="20"/>
  <c r="A227" i="20"/>
  <c r="A226" i="20"/>
  <c r="A225"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9" i="20"/>
  <c r="A188" i="20"/>
  <c r="A187" i="20"/>
  <c r="A186" i="20"/>
  <c r="A185" i="20"/>
  <c r="A184" i="20"/>
  <c r="A183" i="20"/>
  <c r="A182" i="20"/>
  <c r="A181" i="20"/>
  <c r="A180" i="20"/>
  <c r="A179" i="20"/>
  <c r="A178" i="20"/>
  <c r="A177" i="20"/>
  <c r="A176"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A101" i="20"/>
  <c r="A100" i="20"/>
  <c r="A99" i="20"/>
  <c r="A98" i="20"/>
  <c r="A97" i="20"/>
  <c r="A96" i="20"/>
  <c r="A95" i="20"/>
  <c r="A94" i="20"/>
  <c r="A93" i="20"/>
  <c r="A92" i="20"/>
  <c r="A91" i="20"/>
  <c r="A90" i="20"/>
  <c r="A89" i="20"/>
  <c r="A88" i="20"/>
  <c r="A87" i="20"/>
  <c r="A86" i="20"/>
  <c r="A85" i="20"/>
  <c r="A84" i="20"/>
  <c r="A83" i="20"/>
  <c r="A82" i="20"/>
  <c r="A81" i="20"/>
  <c r="A80" i="20"/>
  <c r="A79" i="20"/>
  <c r="A78" i="20"/>
  <c r="A77" i="20"/>
  <c r="A76" i="20"/>
  <c r="A75" i="20"/>
  <c r="A74" i="20"/>
  <c r="A73" i="20"/>
  <c r="A72" i="20"/>
  <c r="A71" i="20"/>
  <c r="A70" i="20"/>
  <c r="A69" i="20"/>
  <c r="A68" i="20"/>
  <c r="A67" i="20"/>
  <c r="A66" i="20"/>
  <c r="A65" i="20"/>
  <c r="A64" i="20"/>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4" i="20"/>
  <c r="A3" i="20"/>
  <c r="N1001" i="19"/>
  <c r="A1001" i="19"/>
  <c r="N1000" i="19"/>
  <c r="A1000" i="19"/>
  <c r="N999" i="19"/>
  <c r="A999" i="19"/>
  <c r="N998" i="19"/>
  <c r="A998" i="19"/>
  <c r="N997" i="19"/>
  <c r="A997" i="19"/>
  <c r="N996" i="19"/>
  <c r="A996" i="19"/>
  <c r="N995" i="19"/>
  <c r="A995" i="19"/>
  <c r="N994" i="19"/>
  <c r="A994" i="19"/>
  <c r="N993" i="19"/>
  <c r="A993" i="19"/>
  <c r="N992" i="19"/>
  <c r="A992" i="19"/>
  <c r="N991" i="19"/>
  <c r="A991" i="19"/>
  <c r="N990" i="19"/>
  <c r="A990" i="19"/>
  <c r="N989" i="19"/>
  <c r="A989" i="19"/>
  <c r="N988" i="19"/>
  <c r="A988" i="19"/>
  <c r="N987" i="19"/>
  <c r="A987" i="19"/>
  <c r="N986" i="19"/>
  <c r="A986" i="19"/>
  <c r="N985" i="19"/>
  <c r="A985" i="19"/>
  <c r="N984" i="19"/>
  <c r="A984" i="19"/>
  <c r="N983" i="19"/>
  <c r="A983" i="19"/>
  <c r="N982" i="19"/>
  <c r="A982" i="19"/>
  <c r="N981" i="19"/>
  <c r="A981" i="19"/>
  <c r="N980" i="19"/>
  <c r="A980" i="19"/>
  <c r="N979" i="19"/>
  <c r="A979" i="19"/>
  <c r="N978" i="19"/>
  <c r="A978" i="19"/>
  <c r="N977" i="19"/>
  <c r="A977" i="19"/>
  <c r="N976" i="19"/>
  <c r="A976" i="19"/>
  <c r="N975" i="19"/>
  <c r="A975" i="19"/>
  <c r="N974" i="19"/>
  <c r="A974" i="19"/>
  <c r="N973" i="19"/>
  <c r="A973" i="19"/>
  <c r="N972" i="19"/>
  <c r="A972" i="19"/>
  <c r="N971" i="19"/>
  <c r="A971" i="19"/>
  <c r="N970" i="19"/>
  <c r="A970" i="19"/>
  <c r="N969" i="19"/>
  <c r="A969" i="19"/>
  <c r="N968" i="19"/>
  <c r="A968" i="19"/>
  <c r="N967" i="19"/>
  <c r="A967" i="19"/>
  <c r="N966" i="19"/>
  <c r="A966" i="19"/>
  <c r="N965" i="19"/>
  <c r="A965" i="19"/>
  <c r="N964" i="19"/>
  <c r="A964" i="19"/>
  <c r="N963" i="19"/>
  <c r="A963" i="19"/>
  <c r="N962" i="19"/>
  <c r="A962" i="19"/>
  <c r="N961" i="19"/>
  <c r="A961" i="19"/>
  <c r="N960" i="19"/>
  <c r="A960" i="19"/>
  <c r="N959" i="19"/>
  <c r="A959" i="19"/>
  <c r="N958" i="19"/>
  <c r="A958" i="19"/>
  <c r="N957" i="19"/>
  <c r="A957" i="19"/>
  <c r="N956" i="19"/>
  <c r="A956" i="19"/>
  <c r="N955" i="19"/>
  <c r="A955" i="19"/>
  <c r="N954" i="19"/>
  <c r="A954" i="19"/>
  <c r="N953" i="19"/>
  <c r="A953" i="19"/>
  <c r="N952" i="19"/>
  <c r="A952" i="19"/>
  <c r="N951" i="19"/>
  <c r="A951" i="19"/>
  <c r="N950" i="19"/>
  <c r="A950" i="19"/>
  <c r="N949" i="19"/>
  <c r="A949" i="19"/>
  <c r="N948" i="19"/>
  <c r="A948" i="19"/>
  <c r="N947" i="19"/>
  <c r="A947" i="19"/>
  <c r="N946" i="19"/>
  <c r="A946" i="19"/>
  <c r="N945" i="19"/>
  <c r="A945" i="19"/>
  <c r="N944" i="19"/>
  <c r="A944" i="19"/>
  <c r="N943" i="19"/>
  <c r="A943" i="19"/>
  <c r="N942" i="19"/>
  <c r="A942" i="19"/>
  <c r="N941" i="19"/>
  <c r="A941" i="19"/>
  <c r="N940" i="19"/>
  <c r="A940" i="19"/>
  <c r="N939" i="19"/>
  <c r="A939" i="19"/>
  <c r="N938" i="19"/>
  <c r="A938" i="19"/>
  <c r="N937" i="19"/>
  <c r="A937" i="19"/>
  <c r="N936" i="19"/>
  <c r="A936" i="19"/>
  <c r="N935" i="19"/>
  <c r="A935" i="19"/>
  <c r="N934" i="19"/>
  <c r="A934" i="19"/>
  <c r="N933" i="19"/>
  <c r="A933" i="19"/>
  <c r="N932" i="19"/>
  <c r="A932" i="19"/>
  <c r="N931" i="19"/>
  <c r="A931" i="19"/>
  <c r="N930" i="19"/>
  <c r="A930" i="19"/>
  <c r="N929" i="19"/>
  <c r="A929" i="19"/>
  <c r="N928" i="19"/>
  <c r="A928" i="19"/>
  <c r="N927" i="19"/>
  <c r="A927" i="19"/>
  <c r="N926" i="19"/>
  <c r="A926" i="19"/>
  <c r="N925" i="19"/>
  <c r="A925" i="19"/>
  <c r="N924" i="19"/>
  <c r="A924" i="19"/>
  <c r="N923" i="19"/>
  <c r="A923" i="19"/>
  <c r="N922" i="19"/>
  <c r="A922" i="19"/>
  <c r="N921" i="19"/>
  <c r="A921" i="19"/>
  <c r="N920" i="19"/>
  <c r="A920" i="19"/>
  <c r="N919" i="19"/>
  <c r="A919" i="19"/>
  <c r="N918" i="19"/>
  <c r="A918" i="19"/>
  <c r="N917" i="19"/>
  <c r="A917" i="19"/>
  <c r="N916" i="19"/>
  <c r="A916" i="19"/>
  <c r="N915" i="19"/>
  <c r="A915" i="19"/>
  <c r="N914" i="19"/>
  <c r="A914" i="19"/>
  <c r="N913" i="19"/>
  <c r="A913" i="19"/>
  <c r="N912" i="19"/>
  <c r="A912" i="19"/>
  <c r="N911" i="19"/>
  <c r="A911" i="19"/>
  <c r="N910" i="19"/>
  <c r="A910" i="19"/>
  <c r="N909" i="19"/>
  <c r="A909" i="19"/>
  <c r="N908" i="19"/>
  <c r="A908" i="19"/>
  <c r="N907" i="19"/>
  <c r="A907" i="19"/>
  <c r="N906" i="19"/>
  <c r="A906" i="19"/>
  <c r="N905" i="19"/>
  <c r="A905" i="19"/>
  <c r="N904" i="19"/>
  <c r="A904" i="19"/>
  <c r="N903" i="19"/>
  <c r="A903" i="19"/>
  <c r="N902" i="19"/>
  <c r="A902" i="19"/>
  <c r="N901" i="19"/>
  <c r="A901" i="19"/>
  <c r="N900" i="19"/>
  <c r="A900" i="19"/>
  <c r="N899" i="19"/>
  <c r="A899" i="19"/>
  <c r="N898" i="19"/>
  <c r="A898" i="19"/>
  <c r="N897" i="19"/>
  <c r="A897" i="19"/>
  <c r="N896" i="19"/>
  <c r="A896" i="19"/>
  <c r="N895" i="19"/>
  <c r="A895" i="19"/>
  <c r="N894" i="19"/>
  <c r="A894" i="19"/>
  <c r="N893" i="19"/>
  <c r="A893" i="19"/>
  <c r="N892" i="19"/>
  <c r="A892" i="19"/>
  <c r="N891" i="19"/>
  <c r="A891" i="19"/>
  <c r="N890" i="19"/>
  <c r="A890" i="19"/>
  <c r="N889" i="19"/>
  <c r="A889" i="19"/>
  <c r="N888" i="19"/>
  <c r="A888" i="19"/>
  <c r="N887" i="19"/>
  <c r="A887" i="19"/>
  <c r="N886" i="19"/>
  <c r="A886" i="19"/>
  <c r="N885" i="19"/>
  <c r="A885" i="19"/>
  <c r="N884" i="19"/>
  <c r="A884" i="19"/>
  <c r="N883" i="19"/>
  <c r="A883" i="19"/>
  <c r="N882" i="19"/>
  <c r="A882" i="19"/>
  <c r="N881" i="19"/>
  <c r="A881" i="19"/>
  <c r="N880" i="19"/>
  <c r="A880" i="19"/>
  <c r="N879" i="19"/>
  <c r="A879" i="19"/>
  <c r="N878" i="19"/>
  <c r="A878" i="19"/>
  <c r="N877" i="19"/>
  <c r="A877" i="19"/>
  <c r="N876" i="19"/>
  <c r="A876" i="19"/>
  <c r="N875" i="19"/>
  <c r="A875" i="19"/>
  <c r="N874" i="19"/>
  <c r="A874" i="19"/>
  <c r="N873" i="19"/>
  <c r="A873" i="19"/>
  <c r="N872" i="19"/>
  <c r="A872" i="19"/>
  <c r="N871" i="19"/>
  <c r="A871" i="19"/>
  <c r="N870" i="19"/>
  <c r="A870" i="19"/>
  <c r="N869" i="19"/>
  <c r="A869" i="19"/>
  <c r="N868" i="19"/>
  <c r="A868" i="19"/>
  <c r="N867" i="19"/>
  <c r="A867" i="19"/>
  <c r="N866" i="19"/>
  <c r="A866" i="19"/>
  <c r="N865" i="19"/>
  <c r="A865" i="19"/>
  <c r="N864" i="19"/>
  <c r="A864" i="19"/>
  <c r="N863" i="19"/>
  <c r="A863" i="19"/>
  <c r="N862" i="19"/>
  <c r="A862" i="19"/>
  <c r="N861" i="19"/>
  <c r="A861" i="19"/>
  <c r="N860" i="19"/>
  <c r="A860" i="19"/>
  <c r="N859" i="19"/>
  <c r="A859" i="19"/>
  <c r="N858" i="19"/>
  <c r="A858" i="19"/>
  <c r="N857" i="19"/>
  <c r="A857" i="19"/>
  <c r="N856" i="19"/>
  <c r="A856" i="19"/>
  <c r="N855" i="19"/>
  <c r="A855" i="19"/>
  <c r="N854" i="19"/>
  <c r="A854" i="19"/>
  <c r="N853" i="19"/>
  <c r="A853" i="19"/>
  <c r="N852" i="19"/>
  <c r="A852" i="19"/>
  <c r="N851" i="19"/>
  <c r="A851" i="19"/>
  <c r="N850" i="19"/>
  <c r="A850" i="19"/>
  <c r="N849" i="19"/>
  <c r="A849" i="19"/>
  <c r="N848" i="19"/>
  <c r="A848" i="19"/>
  <c r="N847" i="19"/>
  <c r="A847" i="19"/>
  <c r="N846" i="19"/>
  <c r="A846" i="19"/>
  <c r="N845" i="19"/>
  <c r="A845" i="19"/>
  <c r="N844" i="19"/>
  <c r="A844" i="19"/>
  <c r="N843" i="19"/>
  <c r="A843" i="19"/>
  <c r="N842" i="19"/>
  <c r="A842" i="19"/>
  <c r="N841" i="19"/>
  <c r="A841" i="19"/>
  <c r="N840" i="19"/>
  <c r="A840" i="19"/>
  <c r="N839" i="19"/>
  <c r="A839" i="19"/>
  <c r="N838" i="19"/>
  <c r="A838" i="19"/>
  <c r="N837" i="19"/>
  <c r="A837" i="19"/>
  <c r="N836" i="19"/>
  <c r="A836" i="19"/>
  <c r="N835" i="19"/>
  <c r="A835" i="19"/>
  <c r="N834" i="19"/>
  <c r="A834" i="19"/>
  <c r="N833" i="19"/>
  <c r="A833" i="19"/>
  <c r="N832" i="19"/>
  <c r="A832" i="19"/>
  <c r="N831" i="19"/>
  <c r="A831" i="19"/>
  <c r="N830" i="19"/>
  <c r="A830" i="19"/>
  <c r="N829" i="19"/>
  <c r="A829" i="19"/>
  <c r="N828" i="19"/>
  <c r="A828" i="19"/>
  <c r="N827" i="19"/>
  <c r="A827" i="19"/>
  <c r="N826" i="19"/>
  <c r="A826" i="19"/>
  <c r="N825" i="19"/>
  <c r="A825" i="19"/>
  <c r="N824" i="19"/>
  <c r="A824" i="19"/>
  <c r="N823" i="19"/>
  <c r="A823" i="19"/>
  <c r="N822" i="19"/>
  <c r="A822" i="19"/>
  <c r="N821" i="19"/>
  <c r="A821" i="19"/>
  <c r="N820" i="19"/>
  <c r="A820" i="19"/>
  <c r="N819" i="19"/>
  <c r="A819" i="19"/>
  <c r="N818" i="19"/>
  <c r="A818" i="19"/>
  <c r="N817" i="19"/>
  <c r="A817" i="19"/>
  <c r="N816" i="19"/>
  <c r="A816" i="19"/>
  <c r="N815" i="19"/>
  <c r="A815" i="19"/>
  <c r="N814" i="19"/>
  <c r="A814" i="19"/>
  <c r="N813" i="19"/>
  <c r="A813" i="19"/>
  <c r="N812" i="19"/>
  <c r="A812" i="19"/>
  <c r="N811" i="19"/>
  <c r="A811" i="19"/>
  <c r="N810" i="19"/>
  <c r="A810" i="19"/>
  <c r="N809" i="19"/>
  <c r="A809" i="19"/>
  <c r="N808" i="19"/>
  <c r="A808" i="19"/>
  <c r="N807" i="19"/>
  <c r="A807" i="19"/>
  <c r="N806" i="19"/>
  <c r="A806" i="19"/>
  <c r="N805" i="19"/>
  <c r="A805" i="19"/>
  <c r="N804" i="19"/>
  <c r="A804" i="19"/>
  <c r="N803" i="19"/>
  <c r="A803" i="19"/>
  <c r="N802" i="19"/>
  <c r="A802" i="19"/>
  <c r="N801" i="19"/>
  <c r="A801" i="19"/>
  <c r="N800" i="19"/>
  <c r="A800" i="19"/>
  <c r="N799" i="19"/>
  <c r="A799" i="19"/>
  <c r="N798" i="19"/>
  <c r="A798" i="19"/>
  <c r="N797" i="19"/>
  <c r="A797" i="19"/>
  <c r="N796" i="19"/>
  <c r="A796" i="19"/>
  <c r="N795" i="19"/>
  <c r="A795" i="19"/>
  <c r="N794" i="19"/>
  <c r="A794" i="19"/>
  <c r="N793" i="19"/>
  <c r="A793" i="19"/>
  <c r="N792" i="19"/>
  <c r="A792" i="19"/>
  <c r="N791" i="19"/>
  <c r="A791" i="19"/>
  <c r="N790" i="19"/>
  <c r="A790" i="19"/>
  <c r="N789" i="19"/>
  <c r="A789" i="19"/>
  <c r="N788" i="19"/>
  <c r="A788" i="19"/>
  <c r="N787" i="19"/>
  <c r="A787" i="19"/>
  <c r="N786" i="19"/>
  <c r="A786" i="19"/>
  <c r="N785" i="19"/>
  <c r="A785" i="19"/>
  <c r="N784" i="19"/>
  <c r="A784" i="19"/>
  <c r="N783" i="19"/>
  <c r="A783" i="19"/>
  <c r="N782" i="19"/>
  <c r="A782" i="19"/>
  <c r="N781" i="19"/>
  <c r="A781" i="19"/>
  <c r="N780" i="19"/>
  <c r="A780" i="19"/>
  <c r="N779" i="19"/>
  <c r="A779" i="19"/>
  <c r="N778" i="19"/>
  <c r="A778" i="19"/>
  <c r="N777" i="19"/>
  <c r="A777" i="19"/>
  <c r="N776" i="19"/>
  <c r="A776" i="19"/>
  <c r="N775" i="19"/>
  <c r="A775" i="19"/>
  <c r="N774" i="19"/>
  <c r="A774" i="19"/>
  <c r="N773" i="19"/>
  <c r="A773" i="19"/>
  <c r="N772" i="19"/>
  <c r="A772" i="19"/>
  <c r="N771" i="19"/>
  <c r="A771" i="19"/>
  <c r="N770" i="19"/>
  <c r="A770" i="19"/>
  <c r="N769" i="19"/>
  <c r="A769" i="19"/>
  <c r="N768" i="19"/>
  <c r="A768" i="19"/>
  <c r="N767" i="19"/>
  <c r="A767" i="19"/>
  <c r="N766" i="19"/>
  <c r="A766" i="19"/>
  <c r="N765" i="19"/>
  <c r="A765" i="19"/>
  <c r="N764" i="19"/>
  <c r="A764" i="19"/>
  <c r="N763" i="19"/>
  <c r="A763" i="19"/>
  <c r="N762" i="19"/>
  <c r="A762" i="19"/>
  <c r="N761" i="19"/>
  <c r="A761" i="19"/>
  <c r="N760" i="19"/>
  <c r="A760" i="19"/>
  <c r="N759" i="19"/>
  <c r="A759" i="19"/>
  <c r="N758" i="19"/>
  <c r="A758" i="19"/>
  <c r="N757" i="19"/>
  <c r="A757" i="19"/>
  <c r="N756" i="19"/>
  <c r="A756" i="19"/>
  <c r="N755" i="19"/>
  <c r="A755" i="19"/>
  <c r="N754" i="19"/>
  <c r="A754" i="19"/>
  <c r="N753" i="19"/>
  <c r="A753" i="19"/>
  <c r="N752" i="19"/>
  <c r="A752" i="19"/>
  <c r="N751" i="19"/>
  <c r="A751" i="19"/>
  <c r="N750" i="19"/>
  <c r="A750" i="19"/>
  <c r="N749" i="19"/>
  <c r="A749" i="19"/>
  <c r="N748" i="19"/>
  <c r="A748" i="19"/>
  <c r="N747" i="19"/>
  <c r="A747" i="19"/>
  <c r="N746" i="19"/>
  <c r="A746" i="19"/>
  <c r="N745" i="19"/>
  <c r="A745" i="19"/>
  <c r="N744" i="19"/>
  <c r="A744" i="19"/>
  <c r="N743" i="19"/>
  <c r="A743" i="19"/>
  <c r="N742" i="19"/>
  <c r="A742" i="19"/>
  <c r="N741" i="19"/>
  <c r="A741" i="19"/>
  <c r="N740" i="19"/>
  <c r="A740" i="19"/>
  <c r="N739" i="19"/>
  <c r="A739" i="19"/>
  <c r="N738" i="19"/>
  <c r="A738" i="19"/>
  <c r="N737" i="19"/>
  <c r="A737" i="19"/>
  <c r="N736" i="19"/>
  <c r="A736" i="19"/>
  <c r="N735" i="19"/>
  <c r="A735" i="19"/>
  <c r="N734" i="19"/>
  <c r="A734" i="19"/>
  <c r="N733" i="19"/>
  <c r="A733" i="19"/>
  <c r="N732" i="19"/>
  <c r="A732" i="19"/>
  <c r="N731" i="19"/>
  <c r="A731" i="19"/>
  <c r="N730" i="19"/>
  <c r="A730" i="19"/>
  <c r="N729" i="19"/>
  <c r="A729" i="19"/>
  <c r="N728" i="19"/>
  <c r="A728" i="19"/>
  <c r="N727" i="19"/>
  <c r="A727" i="19"/>
  <c r="N726" i="19"/>
  <c r="A726" i="19"/>
  <c r="N725" i="19"/>
  <c r="A725" i="19"/>
  <c r="N724" i="19"/>
  <c r="A724" i="19"/>
  <c r="N723" i="19"/>
  <c r="A723" i="19"/>
  <c r="N722" i="19"/>
  <c r="A722" i="19"/>
  <c r="N721" i="19"/>
  <c r="A721" i="19"/>
  <c r="N720" i="19"/>
  <c r="A720" i="19"/>
  <c r="N719" i="19"/>
  <c r="A719" i="19"/>
  <c r="N718" i="19"/>
  <c r="A718" i="19"/>
  <c r="N717" i="19"/>
  <c r="A717" i="19"/>
  <c r="N716" i="19"/>
  <c r="A716" i="19"/>
  <c r="N715" i="19"/>
  <c r="A715" i="19"/>
  <c r="N714" i="19"/>
  <c r="A714" i="19"/>
  <c r="N713" i="19"/>
  <c r="A713" i="19"/>
  <c r="N712" i="19"/>
  <c r="A712" i="19"/>
  <c r="N711" i="19"/>
  <c r="A711" i="19"/>
  <c r="N710" i="19"/>
  <c r="A710" i="19"/>
  <c r="N709" i="19"/>
  <c r="A709" i="19"/>
  <c r="N708" i="19"/>
  <c r="A708" i="19"/>
  <c r="N707" i="19"/>
  <c r="A707" i="19"/>
  <c r="N706" i="19"/>
  <c r="A706" i="19"/>
  <c r="N705" i="19"/>
  <c r="A705" i="19"/>
  <c r="N704" i="19"/>
  <c r="A704" i="19"/>
  <c r="N703" i="19"/>
  <c r="A703" i="19"/>
  <c r="N702" i="19"/>
  <c r="A702" i="19"/>
  <c r="N701" i="19"/>
  <c r="A701" i="19"/>
  <c r="N700" i="19"/>
  <c r="A700" i="19"/>
  <c r="N699" i="19"/>
  <c r="A699" i="19"/>
  <c r="N698" i="19"/>
  <c r="A698" i="19"/>
  <c r="N697" i="19"/>
  <c r="A697" i="19"/>
  <c r="N696" i="19"/>
  <c r="A696" i="19"/>
  <c r="N695" i="19"/>
  <c r="A695" i="19"/>
  <c r="N694" i="19"/>
  <c r="A694" i="19"/>
  <c r="N693" i="19"/>
  <c r="A693" i="19"/>
  <c r="N692" i="19"/>
  <c r="A692" i="19"/>
  <c r="N691" i="19"/>
  <c r="A691" i="19"/>
  <c r="N690" i="19"/>
  <c r="A690" i="19"/>
  <c r="N689" i="19"/>
  <c r="A689" i="19"/>
  <c r="N688" i="19"/>
  <c r="A688" i="19"/>
  <c r="N687" i="19"/>
  <c r="A687" i="19"/>
  <c r="N686" i="19"/>
  <c r="A686" i="19"/>
  <c r="N685" i="19"/>
  <c r="A685" i="19"/>
  <c r="N684" i="19"/>
  <c r="A684" i="19"/>
  <c r="N683" i="19"/>
  <c r="A683" i="19"/>
  <c r="N682" i="19"/>
  <c r="A682" i="19"/>
  <c r="N681" i="19"/>
  <c r="A681" i="19"/>
  <c r="N680" i="19"/>
  <c r="A680" i="19"/>
  <c r="N679" i="19"/>
  <c r="A679" i="19"/>
  <c r="N678" i="19"/>
  <c r="A678" i="19"/>
  <c r="N677" i="19"/>
  <c r="A677" i="19"/>
  <c r="N676" i="19"/>
  <c r="A676" i="19"/>
  <c r="N675" i="19"/>
  <c r="A675" i="19"/>
  <c r="N674" i="19"/>
  <c r="A674" i="19"/>
  <c r="N673" i="19"/>
  <c r="A673" i="19"/>
  <c r="N672" i="19"/>
  <c r="A672" i="19"/>
  <c r="N671" i="19"/>
  <c r="A671" i="19"/>
  <c r="N670" i="19"/>
  <c r="A670" i="19"/>
  <c r="N669" i="19"/>
  <c r="A669" i="19"/>
  <c r="N668" i="19"/>
  <c r="A668" i="19"/>
  <c r="N667" i="19"/>
  <c r="A667" i="19"/>
  <c r="N666" i="19"/>
  <c r="A666" i="19"/>
  <c r="N665" i="19"/>
  <c r="A665" i="19"/>
  <c r="N664" i="19"/>
  <c r="A664" i="19"/>
  <c r="N663" i="19"/>
  <c r="A663" i="19"/>
  <c r="N662" i="19"/>
  <c r="A662" i="19"/>
  <c r="N661" i="19"/>
  <c r="A661" i="19"/>
  <c r="N660" i="19"/>
  <c r="A660" i="19"/>
  <c r="N659" i="19"/>
  <c r="A659" i="19"/>
  <c r="N658" i="19"/>
  <c r="A658" i="19"/>
  <c r="N657" i="19"/>
  <c r="A657" i="19"/>
  <c r="L656" i="19"/>
  <c r="K656" i="19"/>
  <c r="J656" i="19"/>
  <c r="I656" i="19"/>
  <c r="H656" i="19"/>
  <c r="G656" i="19"/>
  <c r="F656" i="19"/>
  <c r="E656" i="19"/>
  <c r="D656" i="19"/>
  <c r="C656" i="19"/>
  <c r="B656" i="19"/>
  <c r="K655" i="19"/>
  <c r="J655" i="19"/>
  <c r="I655" i="19"/>
  <c r="H655" i="19"/>
  <c r="E655" i="19"/>
  <c r="D655" i="19"/>
  <c r="C655" i="19"/>
  <c r="B655" i="19"/>
  <c r="L654" i="19"/>
  <c r="K654" i="19"/>
  <c r="J654" i="19"/>
  <c r="I654" i="19"/>
  <c r="H654" i="19"/>
  <c r="G654" i="19"/>
  <c r="F654" i="19"/>
  <c r="E654" i="19"/>
  <c r="D654" i="19"/>
  <c r="C654" i="19"/>
  <c r="B654" i="19"/>
  <c r="L653" i="19"/>
  <c r="K653" i="19"/>
  <c r="J653" i="19"/>
  <c r="I653" i="19"/>
  <c r="H653" i="19"/>
  <c r="G653" i="19"/>
  <c r="F653" i="19"/>
  <c r="E653" i="19"/>
  <c r="D653" i="19"/>
  <c r="C653" i="19"/>
  <c r="B653" i="19"/>
  <c r="L652" i="19"/>
  <c r="K652" i="19"/>
  <c r="J652" i="19"/>
  <c r="I652" i="19"/>
  <c r="H652" i="19"/>
  <c r="G652" i="19"/>
  <c r="F652" i="19"/>
  <c r="E652" i="19"/>
  <c r="D652" i="19"/>
  <c r="C652" i="19"/>
  <c r="B652" i="19"/>
  <c r="L651" i="19"/>
  <c r="K651" i="19"/>
  <c r="J651" i="19"/>
  <c r="I651" i="19"/>
  <c r="H651" i="19"/>
  <c r="G651" i="19"/>
  <c r="F651" i="19"/>
  <c r="E651" i="19"/>
  <c r="D651" i="19"/>
  <c r="C651" i="19"/>
  <c r="B651" i="19"/>
  <c r="L650" i="19"/>
  <c r="K650" i="19"/>
  <c r="J650" i="19"/>
  <c r="I650" i="19"/>
  <c r="H650" i="19"/>
  <c r="G650" i="19"/>
  <c r="F650" i="19"/>
  <c r="E650" i="19"/>
  <c r="D650" i="19"/>
  <c r="C650" i="19"/>
  <c r="B650" i="19"/>
  <c r="L649" i="19"/>
  <c r="K649" i="19"/>
  <c r="J649" i="19"/>
  <c r="I649" i="19"/>
  <c r="H649" i="19"/>
  <c r="G649" i="19"/>
  <c r="F649" i="19"/>
  <c r="E649" i="19"/>
  <c r="D649" i="19"/>
  <c r="C649" i="19"/>
  <c r="B649" i="19"/>
  <c r="K648" i="19"/>
  <c r="J648" i="19"/>
  <c r="I648" i="19"/>
  <c r="H648" i="19"/>
  <c r="E648" i="19"/>
  <c r="D648" i="19"/>
  <c r="C648" i="19"/>
  <c r="B648" i="19"/>
  <c r="L647" i="19"/>
  <c r="K647" i="19"/>
  <c r="J647" i="19"/>
  <c r="I647" i="19"/>
  <c r="H647" i="19"/>
  <c r="G647" i="19"/>
  <c r="F647" i="19"/>
  <c r="E647" i="19"/>
  <c r="D647" i="19"/>
  <c r="C647" i="19"/>
  <c r="B647" i="19"/>
  <c r="K646" i="19"/>
  <c r="J646" i="19"/>
  <c r="I646" i="19"/>
  <c r="H646" i="19"/>
  <c r="E646" i="19"/>
  <c r="D646" i="19"/>
  <c r="C646" i="19"/>
  <c r="B646" i="19"/>
  <c r="K645" i="19"/>
  <c r="J645" i="19"/>
  <c r="I645" i="19"/>
  <c r="H645" i="19"/>
  <c r="E645" i="19"/>
  <c r="D645" i="19"/>
  <c r="C645" i="19"/>
  <c r="B645" i="19"/>
  <c r="K644" i="19"/>
  <c r="J644" i="19"/>
  <c r="I644" i="19"/>
  <c r="H644" i="19"/>
  <c r="E644" i="19"/>
  <c r="D644" i="19"/>
  <c r="C644" i="19"/>
  <c r="B644" i="19"/>
  <c r="K643" i="19"/>
  <c r="J643" i="19"/>
  <c r="I643" i="19"/>
  <c r="H643" i="19"/>
  <c r="E643" i="19"/>
  <c r="D643" i="19"/>
  <c r="C643" i="19"/>
  <c r="B643" i="19"/>
  <c r="K642" i="19"/>
  <c r="J642" i="19"/>
  <c r="I642" i="19"/>
  <c r="H642" i="19"/>
  <c r="E642" i="19"/>
  <c r="D642" i="19"/>
  <c r="C642" i="19"/>
  <c r="B642" i="19"/>
  <c r="K641" i="19"/>
  <c r="J641" i="19"/>
  <c r="I641" i="19"/>
  <c r="H641" i="19"/>
  <c r="E641" i="19"/>
  <c r="D641" i="19"/>
  <c r="C641" i="19"/>
  <c r="B641" i="19"/>
  <c r="A640" i="19"/>
  <c r="N640" i="19" s="1"/>
  <c r="K639" i="19"/>
  <c r="J639" i="19"/>
  <c r="I639" i="19"/>
  <c r="H639" i="19"/>
  <c r="E639" i="19"/>
  <c r="D639" i="19"/>
  <c r="C639" i="19"/>
  <c r="B639" i="19"/>
  <c r="K638" i="19"/>
  <c r="J638" i="19"/>
  <c r="I638" i="19"/>
  <c r="H638" i="19"/>
  <c r="E638" i="19"/>
  <c r="D638" i="19"/>
  <c r="C638" i="19"/>
  <c r="B638" i="19"/>
  <c r="K637" i="19"/>
  <c r="J637" i="19"/>
  <c r="I637" i="19"/>
  <c r="H637" i="19"/>
  <c r="E637" i="19"/>
  <c r="D637" i="19"/>
  <c r="C637" i="19"/>
  <c r="B637" i="19"/>
  <c r="K636" i="19"/>
  <c r="J636" i="19"/>
  <c r="I636" i="19"/>
  <c r="H636" i="19"/>
  <c r="E636" i="19"/>
  <c r="D636" i="19"/>
  <c r="C636" i="19"/>
  <c r="B636" i="19"/>
  <c r="K635" i="19"/>
  <c r="J635" i="19"/>
  <c r="I635" i="19"/>
  <c r="H635" i="19"/>
  <c r="E635" i="19"/>
  <c r="D635" i="19"/>
  <c r="C635" i="19"/>
  <c r="B635" i="19"/>
  <c r="K634" i="19"/>
  <c r="J634" i="19"/>
  <c r="I634" i="19"/>
  <c r="H634" i="19"/>
  <c r="E634" i="19"/>
  <c r="D634" i="19"/>
  <c r="C634" i="19"/>
  <c r="B634" i="19"/>
  <c r="K633" i="19"/>
  <c r="J633" i="19"/>
  <c r="I633" i="19"/>
  <c r="H633" i="19"/>
  <c r="E633" i="19"/>
  <c r="D633" i="19"/>
  <c r="C633" i="19"/>
  <c r="B633" i="19"/>
  <c r="K632" i="19"/>
  <c r="J632" i="19"/>
  <c r="I632" i="19"/>
  <c r="H632" i="19"/>
  <c r="E632" i="19"/>
  <c r="D632" i="19"/>
  <c r="C632" i="19"/>
  <c r="B632" i="19"/>
  <c r="K631" i="19"/>
  <c r="J631" i="19"/>
  <c r="I631" i="19"/>
  <c r="H631" i="19"/>
  <c r="E631" i="19"/>
  <c r="D631" i="19"/>
  <c r="C631" i="19"/>
  <c r="B631" i="19"/>
  <c r="K630" i="19"/>
  <c r="J630" i="19"/>
  <c r="I630" i="19"/>
  <c r="H630" i="19"/>
  <c r="E630" i="19"/>
  <c r="D630" i="19"/>
  <c r="C630" i="19"/>
  <c r="B630" i="19"/>
  <c r="K629" i="19"/>
  <c r="J629" i="19"/>
  <c r="I629" i="19"/>
  <c r="H629" i="19"/>
  <c r="E629" i="19"/>
  <c r="D629" i="19"/>
  <c r="C629" i="19"/>
  <c r="B629" i="19"/>
  <c r="K628" i="19"/>
  <c r="J628" i="19"/>
  <c r="I628" i="19"/>
  <c r="H628" i="19"/>
  <c r="E628" i="19"/>
  <c r="D628" i="19"/>
  <c r="C628" i="19"/>
  <c r="B628" i="19"/>
  <c r="K627" i="19"/>
  <c r="J627" i="19"/>
  <c r="I627" i="19"/>
  <c r="H627" i="19"/>
  <c r="E627" i="19"/>
  <c r="D627" i="19"/>
  <c r="C627" i="19"/>
  <c r="B627" i="19"/>
  <c r="K626" i="19"/>
  <c r="J626" i="19"/>
  <c r="I626" i="19"/>
  <c r="H626" i="19"/>
  <c r="E626" i="19"/>
  <c r="D626" i="19"/>
  <c r="C626" i="19"/>
  <c r="B626" i="19"/>
  <c r="K625" i="19"/>
  <c r="J625" i="19"/>
  <c r="I625" i="19"/>
  <c r="H625" i="19"/>
  <c r="E625" i="19"/>
  <c r="D625" i="19"/>
  <c r="C625" i="19"/>
  <c r="B625" i="19"/>
  <c r="K624" i="19"/>
  <c r="J624" i="19"/>
  <c r="I624" i="19"/>
  <c r="H624" i="19"/>
  <c r="E624" i="19"/>
  <c r="D624" i="19"/>
  <c r="C624" i="19"/>
  <c r="B624" i="19"/>
  <c r="K623" i="19"/>
  <c r="J623" i="19"/>
  <c r="I623" i="19"/>
  <c r="H623" i="19"/>
  <c r="E623" i="19"/>
  <c r="D623" i="19"/>
  <c r="C623" i="19"/>
  <c r="B623" i="19"/>
  <c r="K622" i="19"/>
  <c r="J622" i="19"/>
  <c r="I622" i="19"/>
  <c r="H622" i="19"/>
  <c r="E622" i="19"/>
  <c r="D622" i="19"/>
  <c r="C622" i="19"/>
  <c r="B622" i="19"/>
  <c r="K621" i="19"/>
  <c r="J621" i="19"/>
  <c r="I621" i="19"/>
  <c r="H621" i="19"/>
  <c r="E621" i="19"/>
  <c r="D621" i="19"/>
  <c r="C621" i="19"/>
  <c r="B621" i="19"/>
  <c r="K620" i="19"/>
  <c r="J620" i="19"/>
  <c r="I620" i="19"/>
  <c r="H620" i="19"/>
  <c r="E620" i="19"/>
  <c r="D620" i="19"/>
  <c r="C620" i="19"/>
  <c r="B620" i="19"/>
  <c r="K619" i="19"/>
  <c r="J619" i="19"/>
  <c r="I619" i="19"/>
  <c r="H619" i="19"/>
  <c r="E619" i="19"/>
  <c r="D619" i="19"/>
  <c r="C619" i="19"/>
  <c r="B619" i="19"/>
  <c r="K618" i="19"/>
  <c r="J618" i="19"/>
  <c r="I618" i="19"/>
  <c r="H618" i="19"/>
  <c r="E618" i="19"/>
  <c r="D618" i="19"/>
  <c r="C618" i="19"/>
  <c r="B618" i="19"/>
  <c r="K617" i="19"/>
  <c r="J617" i="19"/>
  <c r="I617" i="19"/>
  <c r="H617" i="19"/>
  <c r="E617" i="19"/>
  <c r="D617" i="19"/>
  <c r="C617" i="19"/>
  <c r="B617" i="19"/>
  <c r="K616" i="19"/>
  <c r="J616" i="19"/>
  <c r="I616" i="19"/>
  <c r="H616" i="19"/>
  <c r="E616" i="19"/>
  <c r="D616" i="19"/>
  <c r="C616" i="19"/>
  <c r="B616" i="19"/>
  <c r="K615" i="19"/>
  <c r="J615" i="19"/>
  <c r="I615" i="19"/>
  <c r="H615" i="19"/>
  <c r="E615" i="19"/>
  <c r="D615" i="19"/>
  <c r="C615" i="19"/>
  <c r="B615" i="19"/>
  <c r="K614" i="19"/>
  <c r="J614" i="19"/>
  <c r="I614" i="19"/>
  <c r="H614" i="19"/>
  <c r="E614" i="19"/>
  <c r="D614" i="19"/>
  <c r="C614" i="19"/>
  <c r="B614" i="19"/>
  <c r="K613" i="19"/>
  <c r="J613" i="19"/>
  <c r="I613" i="19"/>
  <c r="H613" i="19"/>
  <c r="E613" i="19"/>
  <c r="D613" i="19"/>
  <c r="C613" i="19"/>
  <c r="B613" i="19"/>
  <c r="K612" i="19"/>
  <c r="J612" i="19"/>
  <c r="I612" i="19"/>
  <c r="H612" i="19"/>
  <c r="E612" i="19"/>
  <c r="D612" i="19"/>
  <c r="C612" i="19"/>
  <c r="B612" i="19"/>
  <c r="K611" i="19"/>
  <c r="J611" i="19"/>
  <c r="I611" i="19"/>
  <c r="H611" i="19"/>
  <c r="E611" i="19"/>
  <c r="D611" i="19"/>
  <c r="C611" i="19"/>
  <c r="B611" i="19"/>
  <c r="K610" i="19"/>
  <c r="J610" i="19"/>
  <c r="I610" i="19"/>
  <c r="H610" i="19"/>
  <c r="E610" i="19"/>
  <c r="D610" i="19"/>
  <c r="C610" i="19"/>
  <c r="B610" i="19"/>
  <c r="K609" i="19"/>
  <c r="J609" i="19"/>
  <c r="I609" i="19"/>
  <c r="H609" i="19"/>
  <c r="E609" i="19"/>
  <c r="D609" i="19"/>
  <c r="C609" i="19"/>
  <c r="B609" i="19"/>
  <c r="K608" i="19"/>
  <c r="J608" i="19"/>
  <c r="I608" i="19"/>
  <c r="H608" i="19"/>
  <c r="E608" i="19"/>
  <c r="D608" i="19"/>
  <c r="C608" i="19"/>
  <c r="B608" i="19"/>
  <c r="K607" i="19"/>
  <c r="J607" i="19"/>
  <c r="I607" i="19"/>
  <c r="H607" i="19"/>
  <c r="E607" i="19"/>
  <c r="D607" i="19"/>
  <c r="C607" i="19"/>
  <c r="B607" i="19"/>
  <c r="L606" i="19"/>
  <c r="K606" i="19"/>
  <c r="J606" i="19"/>
  <c r="I606" i="19"/>
  <c r="H606" i="19"/>
  <c r="G606" i="19"/>
  <c r="F606" i="19"/>
  <c r="E606" i="19"/>
  <c r="D606" i="19"/>
  <c r="C606" i="19"/>
  <c r="B606" i="19"/>
  <c r="K605" i="19"/>
  <c r="J605" i="19"/>
  <c r="I605" i="19"/>
  <c r="H605" i="19"/>
  <c r="E605" i="19"/>
  <c r="D605" i="19"/>
  <c r="C605" i="19"/>
  <c r="B605" i="19"/>
  <c r="K604" i="19"/>
  <c r="J604" i="19"/>
  <c r="I604" i="19"/>
  <c r="H604" i="19"/>
  <c r="E604" i="19"/>
  <c r="D604" i="19"/>
  <c r="C604" i="19"/>
  <c r="B604" i="19"/>
  <c r="K603" i="19"/>
  <c r="J603" i="19"/>
  <c r="I603" i="19"/>
  <c r="H603" i="19"/>
  <c r="E603" i="19"/>
  <c r="D603" i="19"/>
  <c r="C603" i="19"/>
  <c r="B603" i="19"/>
  <c r="K602" i="19"/>
  <c r="J602" i="19"/>
  <c r="I602" i="19"/>
  <c r="H602" i="19"/>
  <c r="E602" i="19"/>
  <c r="D602" i="19"/>
  <c r="C602" i="19"/>
  <c r="B602" i="19"/>
  <c r="K601" i="19"/>
  <c r="J601" i="19"/>
  <c r="I601" i="19"/>
  <c r="H601" i="19"/>
  <c r="E601" i="19"/>
  <c r="D601" i="19"/>
  <c r="C601" i="19"/>
  <c r="B601" i="19"/>
  <c r="K600" i="19"/>
  <c r="J600" i="19"/>
  <c r="I600" i="19"/>
  <c r="H600" i="19"/>
  <c r="E600" i="19"/>
  <c r="D600" i="19"/>
  <c r="C600" i="19"/>
  <c r="B600" i="19"/>
  <c r="K599" i="19"/>
  <c r="J599" i="19"/>
  <c r="I599" i="19"/>
  <c r="H599" i="19"/>
  <c r="E599" i="19"/>
  <c r="D599" i="19"/>
  <c r="C599" i="19"/>
  <c r="B599" i="19"/>
  <c r="K598" i="19"/>
  <c r="J598" i="19"/>
  <c r="I598" i="19"/>
  <c r="H598" i="19"/>
  <c r="E598" i="19"/>
  <c r="D598" i="19"/>
  <c r="C598" i="19"/>
  <c r="B598" i="19"/>
  <c r="K597" i="19"/>
  <c r="J597" i="19"/>
  <c r="I597" i="19"/>
  <c r="H597" i="19"/>
  <c r="E597" i="19"/>
  <c r="D597" i="19"/>
  <c r="C597" i="19"/>
  <c r="B597" i="19"/>
  <c r="K596" i="19"/>
  <c r="J596" i="19"/>
  <c r="I596" i="19"/>
  <c r="H596" i="19"/>
  <c r="E596" i="19"/>
  <c r="D596" i="19"/>
  <c r="C596" i="19"/>
  <c r="B596" i="19"/>
  <c r="K595" i="19"/>
  <c r="J595" i="19"/>
  <c r="I595" i="19"/>
  <c r="H595" i="19"/>
  <c r="E595" i="19"/>
  <c r="D595" i="19"/>
  <c r="C595" i="19"/>
  <c r="B595" i="19"/>
  <c r="K594" i="19"/>
  <c r="J594" i="19"/>
  <c r="I594" i="19"/>
  <c r="H594" i="19"/>
  <c r="E594" i="19"/>
  <c r="D594" i="19"/>
  <c r="C594" i="19"/>
  <c r="B594" i="19"/>
  <c r="L593" i="19"/>
  <c r="K593" i="19"/>
  <c r="J593" i="19"/>
  <c r="I593" i="19"/>
  <c r="H593" i="19"/>
  <c r="G593" i="19"/>
  <c r="F593" i="19"/>
  <c r="E593" i="19"/>
  <c r="D593" i="19"/>
  <c r="C593" i="19"/>
  <c r="B593" i="19"/>
  <c r="K592" i="19"/>
  <c r="J592" i="19"/>
  <c r="I592" i="19"/>
  <c r="H592" i="19"/>
  <c r="E592" i="19"/>
  <c r="D592" i="19"/>
  <c r="C592" i="19"/>
  <c r="B592" i="19"/>
  <c r="K591" i="19"/>
  <c r="J591" i="19"/>
  <c r="I591" i="19"/>
  <c r="H591" i="19"/>
  <c r="E591" i="19"/>
  <c r="D591" i="19"/>
  <c r="C591" i="19"/>
  <c r="B591" i="19"/>
  <c r="K590" i="19"/>
  <c r="J590" i="19"/>
  <c r="I590" i="19"/>
  <c r="H590" i="19"/>
  <c r="E590" i="19"/>
  <c r="D590" i="19"/>
  <c r="C590" i="19"/>
  <c r="B590" i="19"/>
  <c r="K589" i="19"/>
  <c r="J589" i="19"/>
  <c r="I589" i="19"/>
  <c r="H589" i="19"/>
  <c r="E589" i="19"/>
  <c r="D589" i="19"/>
  <c r="C589" i="19"/>
  <c r="B589" i="19"/>
  <c r="K588" i="19"/>
  <c r="J588" i="19"/>
  <c r="I588" i="19"/>
  <c r="H588" i="19"/>
  <c r="E588" i="19"/>
  <c r="D588" i="19"/>
  <c r="C588" i="19"/>
  <c r="B588" i="19"/>
  <c r="K587" i="19"/>
  <c r="J587" i="19"/>
  <c r="I587" i="19"/>
  <c r="H587" i="19"/>
  <c r="E587" i="19"/>
  <c r="D587" i="19"/>
  <c r="C587" i="19"/>
  <c r="B587" i="19"/>
  <c r="K586" i="19"/>
  <c r="J586" i="19"/>
  <c r="I586" i="19"/>
  <c r="H586" i="19"/>
  <c r="E586" i="19"/>
  <c r="D586" i="19"/>
  <c r="C586" i="19"/>
  <c r="B586" i="19"/>
  <c r="K585" i="19"/>
  <c r="J585" i="19"/>
  <c r="I585" i="19"/>
  <c r="H585" i="19"/>
  <c r="E585" i="19"/>
  <c r="D585" i="19"/>
  <c r="C585" i="19"/>
  <c r="B585" i="19"/>
  <c r="K584" i="19"/>
  <c r="J584" i="19"/>
  <c r="I584" i="19"/>
  <c r="H584" i="19"/>
  <c r="E584" i="19"/>
  <c r="D584" i="19"/>
  <c r="C584" i="19"/>
  <c r="B584" i="19"/>
  <c r="K583" i="19"/>
  <c r="J583" i="19"/>
  <c r="I583" i="19"/>
  <c r="H583" i="19"/>
  <c r="E583" i="19"/>
  <c r="D583" i="19"/>
  <c r="C583" i="19"/>
  <c r="B583" i="19"/>
  <c r="K582" i="19"/>
  <c r="J582" i="19"/>
  <c r="I582" i="19"/>
  <c r="H582" i="19"/>
  <c r="E582" i="19"/>
  <c r="D582" i="19"/>
  <c r="C582" i="19"/>
  <c r="B582" i="19"/>
  <c r="K581" i="19"/>
  <c r="J581" i="19"/>
  <c r="I581" i="19"/>
  <c r="H581" i="19"/>
  <c r="E581" i="19"/>
  <c r="D581" i="19"/>
  <c r="C581" i="19"/>
  <c r="B581" i="19"/>
  <c r="K580" i="19"/>
  <c r="J580" i="19"/>
  <c r="I580" i="19"/>
  <c r="H580" i="19"/>
  <c r="E580" i="19"/>
  <c r="D580" i="19"/>
  <c r="C580" i="19"/>
  <c r="B580" i="19"/>
  <c r="K579" i="19"/>
  <c r="J579" i="19"/>
  <c r="I579" i="19"/>
  <c r="H579" i="19"/>
  <c r="E579" i="19"/>
  <c r="D579" i="19"/>
  <c r="C579" i="19"/>
  <c r="B579" i="19"/>
  <c r="K578" i="19"/>
  <c r="J578" i="19"/>
  <c r="I578" i="19"/>
  <c r="H578" i="19"/>
  <c r="E578" i="19"/>
  <c r="D578" i="19"/>
  <c r="C578" i="19"/>
  <c r="B578" i="19"/>
  <c r="L577" i="19"/>
  <c r="K577" i="19"/>
  <c r="J577" i="19"/>
  <c r="I577" i="19"/>
  <c r="H577" i="19"/>
  <c r="G577" i="19"/>
  <c r="F577" i="19"/>
  <c r="E577" i="19"/>
  <c r="D577" i="19"/>
  <c r="C577" i="19"/>
  <c r="B577" i="19"/>
  <c r="K576" i="19"/>
  <c r="J576" i="19"/>
  <c r="I576" i="19"/>
  <c r="H576" i="19"/>
  <c r="E576" i="19"/>
  <c r="D576" i="19"/>
  <c r="C576" i="19"/>
  <c r="B576" i="19"/>
  <c r="K575" i="19"/>
  <c r="J575" i="19"/>
  <c r="I575" i="19"/>
  <c r="H575" i="19"/>
  <c r="E575" i="19"/>
  <c r="D575" i="19"/>
  <c r="C575" i="19"/>
  <c r="B575" i="19"/>
  <c r="A574" i="19"/>
  <c r="N574" i="19" s="1"/>
  <c r="K573" i="19"/>
  <c r="J573" i="19"/>
  <c r="I573" i="19"/>
  <c r="H573" i="19"/>
  <c r="E573" i="19"/>
  <c r="D573" i="19"/>
  <c r="C573" i="19"/>
  <c r="B573" i="19"/>
  <c r="K572" i="19"/>
  <c r="J572" i="19"/>
  <c r="I572" i="19"/>
  <c r="H572" i="19"/>
  <c r="E572" i="19"/>
  <c r="D572" i="19"/>
  <c r="C572" i="19"/>
  <c r="B572" i="19"/>
  <c r="K571" i="19"/>
  <c r="J571" i="19"/>
  <c r="I571" i="19"/>
  <c r="H571" i="19"/>
  <c r="E571" i="19"/>
  <c r="D571" i="19"/>
  <c r="C571" i="19"/>
  <c r="B571" i="19"/>
  <c r="K570" i="19"/>
  <c r="J570" i="19"/>
  <c r="I570" i="19"/>
  <c r="H570" i="19"/>
  <c r="E570" i="19"/>
  <c r="D570" i="19"/>
  <c r="C570" i="19"/>
  <c r="B570" i="19"/>
  <c r="K569" i="19"/>
  <c r="J569" i="19"/>
  <c r="I569" i="19"/>
  <c r="H569" i="19"/>
  <c r="E569" i="19"/>
  <c r="D569" i="19"/>
  <c r="C569" i="19"/>
  <c r="B569" i="19"/>
  <c r="L568" i="19"/>
  <c r="K568" i="19"/>
  <c r="J568" i="19"/>
  <c r="I568" i="19"/>
  <c r="H568" i="19"/>
  <c r="G568" i="19"/>
  <c r="F568" i="19"/>
  <c r="E568" i="19"/>
  <c r="D568" i="19"/>
  <c r="C568" i="19"/>
  <c r="B568" i="19"/>
  <c r="K567" i="19"/>
  <c r="J567" i="19"/>
  <c r="I567" i="19"/>
  <c r="H567" i="19"/>
  <c r="E567" i="19"/>
  <c r="D567" i="19"/>
  <c r="C567" i="19"/>
  <c r="B567" i="19"/>
  <c r="L566" i="19"/>
  <c r="K566" i="19"/>
  <c r="J566" i="19"/>
  <c r="I566" i="19"/>
  <c r="H566" i="19"/>
  <c r="G566" i="19"/>
  <c r="F566" i="19"/>
  <c r="E566" i="19"/>
  <c r="D566" i="19"/>
  <c r="C566" i="19"/>
  <c r="B566" i="19"/>
  <c r="K565" i="19"/>
  <c r="J565" i="19"/>
  <c r="I565" i="19"/>
  <c r="H565" i="19"/>
  <c r="E565" i="19"/>
  <c r="D565" i="19"/>
  <c r="C565" i="19"/>
  <c r="B565" i="19"/>
  <c r="L564" i="19"/>
  <c r="K564" i="19"/>
  <c r="J564" i="19"/>
  <c r="I564" i="19"/>
  <c r="H564" i="19"/>
  <c r="G564" i="19"/>
  <c r="F564" i="19"/>
  <c r="E564" i="19"/>
  <c r="D564" i="19"/>
  <c r="C564" i="19"/>
  <c r="B564" i="19"/>
  <c r="A563" i="19"/>
  <c r="A562" i="19"/>
  <c r="A561" i="19"/>
  <c r="A560" i="19"/>
  <c r="A559" i="19"/>
  <c r="A558" i="19"/>
  <c r="A557" i="19"/>
  <c r="A556" i="19"/>
  <c r="A555" i="19"/>
  <c r="A554" i="19"/>
  <c r="A553" i="19"/>
  <c r="A552" i="19"/>
  <c r="A551" i="19"/>
  <c r="A550" i="19"/>
  <c r="A549" i="19"/>
  <c r="A548" i="19"/>
  <c r="A547" i="19"/>
  <c r="A546" i="19"/>
  <c r="A545" i="19"/>
  <c r="A544" i="19"/>
  <c r="A543" i="19"/>
  <c r="A542" i="19"/>
  <c r="A541" i="19"/>
  <c r="A540" i="19"/>
  <c r="A539" i="19"/>
  <c r="A538" i="19"/>
  <c r="A537" i="19"/>
  <c r="A536" i="19"/>
  <c r="A535" i="19"/>
  <c r="A534" i="19"/>
  <c r="A533" i="19"/>
  <c r="A532" i="19"/>
  <c r="A531" i="19"/>
  <c r="A530" i="19"/>
  <c r="A529" i="19"/>
  <c r="A528" i="19"/>
  <c r="A527" i="19"/>
  <c r="A526" i="19"/>
  <c r="A525" i="19"/>
  <c r="A524" i="19"/>
  <c r="A523" i="19"/>
  <c r="A522" i="19"/>
  <c r="A521" i="19"/>
  <c r="A520" i="19"/>
  <c r="A519" i="19"/>
  <c r="A518" i="19"/>
  <c r="A517" i="19"/>
  <c r="A516" i="19"/>
  <c r="A515" i="19"/>
  <c r="A514" i="19"/>
  <c r="A513" i="19"/>
  <c r="A512" i="19"/>
  <c r="A511" i="19"/>
  <c r="A510" i="19"/>
  <c r="A509" i="19"/>
  <c r="A508" i="19"/>
  <c r="A507" i="19"/>
  <c r="A506" i="19"/>
  <c r="A505" i="19"/>
  <c r="A504" i="19"/>
  <c r="A503" i="19"/>
  <c r="A502" i="19"/>
  <c r="A501" i="19"/>
  <c r="A500" i="19"/>
  <c r="A499" i="19"/>
  <c r="A498" i="19"/>
  <c r="A497" i="19"/>
  <c r="A496" i="19"/>
  <c r="A495" i="19"/>
  <c r="A494" i="19"/>
  <c r="A493" i="19"/>
  <c r="A492" i="19"/>
  <c r="A491" i="19"/>
  <c r="A490" i="19"/>
  <c r="A489" i="19"/>
  <c r="A488" i="19"/>
  <c r="A487" i="19"/>
  <c r="A486" i="19"/>
  <c r="A485" i="19"/>
  <c r="A484" i="19"/>
  <c r="A483" i="19"/>
  <c r="A482" i="19"/>
  <c r="A481" i="19"/>
  <c r="A480" i="19"/>
  <c r="A479" i="19"/>
  <c r="A478" i="19"/>
  <c r="A477" i="19"/>
  <c r="A476" i="19"/>
  <c r="A475" i="19"/>
  <c r="A474" i="19"/>
  <c r="A473" i="19"/>
  <c r="A472" i="19"/>
  <c r="A471" i="19"/>
  <c r="A470" i="19"/>
  <c r="A469" i="19"/>
  <c r="A468" i="19"/>
  <c r="A467" i="19"/>
  <c r="A466" i="19"/>
  <c r="A465" i="19"/>
  <c r="A464" i="19"/>
  <c r="A463" i="19"/>
  <c r="A462" i="19"/>
  <c r="A461" i="19"/>
  <c r="A460" i="19"/>
  <c r="A459" i="19"/>
  <c r="A458" i="19"/>
  <c r="A457" i="19"/>
  <c r="A456" i="19"/>
  <c r="A455" i="19"/>
  <c r="A454" i="19"/>
  <c r="A453" i="19"/>
  <c r="A452" i="19"/>
  <c r="A451" i="19"/>
  <c r="A450" i="19"/>
  <c r="A449" i="19"/>
  <c r="A448" i="19"/>
  <c r="A447" i="19"/>
  <c r="A446" i="19"/>
  <c r="A445" i="19"/>
  <c r="A444" i="19"/>
  <c r="A443" i="19"/>
  <c r="A442" i="19"/>
  <c r="A441" i="19"/>
  <c r="A440" i="19"/>
  <c r="A439" i="19"/>
  <c r="A438" i="19"/>
  <c r="A437" i="19"/>
  <c r="A436" i="19"/>
  <c r="A435" i="19"/>
  <c r="A434" i="19"/>
  <c r="A433" i="19"/>
  <c r="A432" i="19"/>
  <c r="A431" i="19"/>
  <c r="A430" i="19"/>
  <c r="A429" i="19"/>
  <c r="A428" i="19"/>
  <c r="A427" i="19"/>
  <c r="A426" i="19"/>
  <c r="A425" i="19"/>
  <c r="A424" i="19"/>
  <c r="A423" i="19"/>
  <c r="A422" i="19"/>
  <c r="A421" i="19"/>
  <c r="A420" i="19"/>
  <c r="A419" i="19"/>
  <c r="A418" i="19"/>
  <c r="A417" i="19"/>
  <c r="A416" i="19"/>
  <c r="A415" i="19"/>
  <c r="A414" i="19"/>
  <c r="A413" i="19"/>
  <c r="A412" i="19"/>
  <c r="A411" i="19"/>
  <c r="A410" i="19"/>
  <c r="A409" i="19"/>
  <c r="A408" i="19"/>
  <c r="A407" i="19"/>
  <c r="A406" i="19"/>
  <c r="A405" i="19"/>
  <c r="A404" i="19"/>
  <c r="A403" i="19"/>
  <c r="A402" i="19"/>
  <c r="A401" i="19"/>
  <c r="A400" i="19"/>
  <c r="A399" i="19"/>
  <c r="A398" i="19"/>
  <c r="A397" i="19"/>
  <c r="A396" i="19"/>
  <c r="A395" i="19"/>
  <c r="A394" i="19"/>
  <c r="A393" i="19"/>
  <c r="A392" i="19"/>
  <c r="A391" i="19"/>
  <c r="A390" i="19"/>
  <c r="A389" i="19"/>
  <c r="A388" i="19"/>
  <c r="A387" i="19"/>
  <c r="A386" i="19"/>
  <c r="A385" i="19"/>
  <c r="A384" i="19"/>
  <c r="A383" i="19"/>
  <c r="A382" i="19"/>
  <c r="A381" i="19"/>
  <c r="A380" i="19"/>
  <c r="A379" i="19"/>
  <c r="A378" i="19"/>
  <c r="A377" i="19"/>
  <c r="A376" i="19"/>
  <c r="A375" i="19"/>
  <c r="A374" i="19"/>
  <c r="A373" i="19"/>
  <c r="A372" i="19"/>
  <c r="A371" i="19"/>
  <c r="A370" i="19"/>
  <c r="A369" i="19"/>
  <c r="A368" i="19"/>
  <c r="A367" i="19"/>
  <c r="A366" i="19"/>
  <c r="A365" i="19"/>
  <c r="A364" i="19"/>
  <c r="A363" i="19"/>
  <c r="A362" i="19"/>
  <c r="A361" i="19"/>
  <c r="A360" i="19"/>
  <c r="A359" i="19"/>
  <c r="A358" i="19"/>
  <c r="A357" i="19"/>
  <c r="A356" i="19"/>
  <c r="A355" i="19"/>
  <c r="A354" i="19"/>
  <c r="A353" i="19"/>
  <c r="A352" i="19"/>
  <c r="A351" i="19"/>
  <c r="A350" i="19"/>
  <c r="A349" i="19"/>
  <c r="A348" i="19"/>
  <c r="A347" i="19"/>
  <c r="A346" i="19"/>
  <c r="A345" i="19"/>
  <c r="A344" i="19"/>
  <c r="A343" i="19"/>
  <c r="A342" i="19"/>
  <c r="A341" i="19"/>
  <c r="A340" i="19"/>
  <c r="A339" i="19"/>
  <c r="A338" i="19"/>
  <c r="A337" i="19"/>
  <c r="A336" i="19"/>
  <c r="A335" i="19"/>
  <c r="A334" i="19"/>
  <c r="A333" i="19"/>
  <c r="A332" i="19"/>
  <c r="A331" i="19"/>
  <c r="A330" i="19"/>
  <c r="A329" i="19"/>
  <c r="A328" i="19"/>
  <c r="A327" i="19"/>
  <c r="A326" i="19"/>
  <c r="A325" i="19"/>
  <c r="A324" i="19"/>
  <c r="A323" i="19"/>
  <c r="A322" i="19"/>
  <c r="A321" i="19"/>
  <c r="A320" i="19"/>
  <c r="A319" i="19"/>
  <c r="A318" i="19"/>
  <c r="A317" i="19"/>
  <c r="A316" i="19"/>
  <c r="A315" i="19"/>
  <c r="A314" i="19"/>
  <c r="A313" i="19"/>
  <c r="A312" i="19"/>
  <c r="A311" i="19"/>
  <c r="A310" i="19"/>
  <c r="A309" i="19"/>
  <c r="A308" i="19"/>
  <c r="A307" i="19"/>
  <c r="A306" i="19"/>
  <c r="A305" i="19"/>
  <c r="A304" i="19"/>
  <c r="A303" i="19"/>
  <c r="A302" i="19"/>
  <c r="A301" i="19"/>
  <c r="A300" i="19"/>
  <c r="A299" i="19"/>
  <c r="A298" i="19"/>
  <c r="A297" i="19"/>
  <c r="A296" i="19"/>
  <c r="A295" i="19"/>
  <c r="A294" i="19"/>
  <c r="A293" i="19"/>
  <c r="A292" i="19"/>
  <c r="A291" i="19"/>
  <c r="A290" i="19"/>
  <c r="A289" i="19"/>
  <c r="A288" i="19"/>
  <c r="A287" i="19"/>
  <c r="A286" i="19"/>
  <c r="A285" i="19"/>
  <c r="A284" i="19"/>
  <c r="A283" i="19"/>
  <c r="A282" i="19"/>
  <c r="A281" i="19"/>
  <c r="A280" i="19"/>
  <c r="A279" i="19"/>
  <c r="A278" i="19"/>
  <c r="A277" i="19"/>
  <c r="A276" i="19"/>
  <c r="A275" i="19"/>
  <c r="A274" i="19"/>
  <c r="A273" i="19"/>
  <c r="A272" i="19"/>
  <c r="A271" i="19"/>
  <c r="A270" i="19"/>
  <c r="A269" i="19"/>
  <c r="A268" i="19"/>
  <c r="A267" i="19"/>
  <c r="A266" i="19"/>
  <c r="A265" i="19"/>
  <c r="A264" i="19"/>
  <c r="A263" i="19"/>
  <c r="A262" i="19"/>
  <c r="A261" i="19"/>
  <c r="A260" i="19"/>
  <c r="A259" i="19"/>
  <c r="A258" i="19"/>
  <c r="A257" i="19"/>
  <c r="A256" i="19"/>
  <c r="A255" i="19"/>
  <c r="A254" i="19"/>
  <c r="A253" i="19"/>
  <c r="A252" i="19"/>
  <c r="A251" i="19"/>
  <c r="A250" i="19"/>
  <c r="A249" i="19"/>
  <c r="A248" i="19"/>
  <c r="A247" i="19"/>
  <c r="A246" i="19"/>
  <c r="A245" i="19"/>
  <c r="A244" i="19"/>
  <c r="A243" i="19"/>
  <c r="A242" i="19"/>
  <c r="A241" i="19"/>
  <c r="A240" i="19"/>
  <c r="A239" i="19"/>
  <c r="A238" i="19"/>
  <c r="A237" i="19"/>
  <c r="A236" i="19"/>
  <c r="A235" i="19"/>
  <c r="A234" i="19"/>
  <c r="A233" i="19"/>
  <c r="A232" i="19"/>
  <c r="A231" i="19"/>
  <c r="A230" i="19"/>
  <c r="A229" i="19"/>
  <c r="A228" i="19"/>
  <c r="A227" i="19"/>
  <c r="A226" i="19"/>
  <c r="A225" i="19"/>
  <c r="A224" i="19"/>
  <c r="A223" i="19"/>
  <c r="A222" i="19"/>
  <c r="A221" i="19"/>
  <c r="A220" i="19"/>
  <c r="A219" i="19"/>
  <c r="A218" i="19"/>
  <c r="A217" i="19"/>
  <c r="A216" i="19"/>
  <c r="A215" i="19"/>
  <c r="A214" i="19"/>
  <c r="A213" i="19"/>
  <c r="A212" i="19"/>
  <c r="A211" i="19"/>
  <c r="A210" i="19"/>
  <c r="A209" i="19"/>
  <c r="A208" i="19"/>
  <c r="A207" i="19"/>
  <c r="A206" i="19"/>
  <c r="A205" i="19"/>
  <c r="A204" i="19"/>
  <c r="A203" i="19"/>
  <c r="A202" i="19"/>
  <c r="A201" i="19"/>
  <c r="A200" i="19"/>
  <c r="A199" i="19"/>
  <c r="A198" i="19"/>
  <c r="A197" i="19"/>
  <c r="A196" i="19"/>
  <c r="A195" i="19"/>
  <c r="A194" i="19"/>
  <c r="A193" i="19"/>
  <c r="A192" i="19"/>
  <c r="A191" i="19"/>
  <c r="A190" i="19"/>
  <c r="A189" i="19"/>
  <c r="A188" i="19"/>
  <c r="A187" i="19"/>
  <c r="A186" i="19"/>
  <c r="A185" i="19"/>
  <c r="A184" i="19"/>
  <c r="A183" i="19"/>
  <c r="A182" i="19"/>
  <c r="A181" i="19"/>
  <c r="A180" i="19"/>
  <c r="A179" i="19"/>
  <c r="A178" i="19"/>
  <c r="A177" i="19"/>
  <c r="A176" i="19"/>
  <c r="A175" i="19"/>
  <c r="A174" i="19"/>
  <c r="A173" i="19"/>
  <c r="A172" i="19"/>
  <c r="A171" i="19"/>
  <c r="A170" i="19"/>
  <c r="A169" i="19"/>
  <c r="A168" i="19"/>
  <c r="A167" i="19"/>
  <c r="A166" i="19"/>
  <c r="A165" i="19"/>
  <c r="A164" i="19"/>
  <c r="A163" i="19"/>
  <c r="A162" i="19"/>
  <c r="A161" i="19"/>
  <c r="A160" i="19"/>
  <c r="A159" i="19"/>
  <c r="A158" i="19"/>
  <c r="A157" i="19"/>
  <c r="A156" i="19"/>
  <c r="A155" i="19"/>
  <c r="A154" i="19"/>
  <c r="A153" i="19"/>
  <c r="A152" i="19"/>
  <c r="A151" i="19"/>
  <c r="A150" i="19"/>
  <c r="A149" i="19"/>
  <c r="A148" i="19"/>
  <c r="A147" i="19"/>
  <c r="A146" i="19"/>
  <c r="A145" i="19"/>
  <c r="A144" i="19"/>
  <c r="A143" i="19"/>
  <c r="A142"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A107" i="19"/>
  <c r="A106" i="19"/>
  <c r="A105" i="19"/>
  <c r="A104" i="19"/>
  <c r="A103" i="19"/>
  <c r="A102" i="19"/>
  <c r="A101" i="19"/>
  <c r="A100" i="19"/>
  <c r="A99" i="19"/>
  <c r="A98" i="19"/>
  <c r="A97" i="19"/>
  <c r="A96" i="19"/>
  <c r="A95" i="19"/>
  <c r="A94" i="19"/>
  <c r="A93" i="19"/>
  <c r="A92" i="19"/>
  <c r="A91" i="19"/>
  <c r="A90" i="19"/>
  <c r="A89" i="19"/>
  <c r="A88" i="19"/>
  <c r="A87" i="19"/>
  <c r="A86" i="19"/>
  <c r="A85" i="19"/>
  <c r="A84" i="19"/>
  <c r="A83" i="19"/>
  <c r="A82" i="19"/>
  <c r="A81" i="19"/>
  <c r="A80" i="19"/>
  <c r="A79"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C1" i="19"/>
  <c r="D1" i="19" s="1"/>
  <c r="E1" i="19" s="1"/>
  <c r="F1" i="19" s="1"/>
  <c r="G1" i="19" s="1"/>
  <c r="H1" i="19" s="1"/>
  <c r="I1" i="19" s="1"/>
  <c r="J1" i="19" s="1"/>
  <c r="K1" i="19" s="1"/>
  <c r="L1" i="19" s="1"/>
  <c r="M1" i="19" s="1"/>
  <c r="N1" i="19" s="1"/>
  <c r="O1" i="19" s="1"/>
  <c r="P1" i="19" s="1"/>
  <c r="Q1" i="19" s="1"/>
  <c r="B1" i="19"/>
  <c r="P48" i="18"/>
  <c r="O48" i="18"/>
  <c r="N48" i="18"/>
  <c r="L48" i="18"/>
  <c r="K48" i="18"/>
  <c r="J48" i="18"/>
  <c r="I48" i="18"/>
  <c r="H48" i="18"/>
  <c r="G48" i="18"/>
  <c r="F48" i="18"/>
  <c r="E48" i="18"/>
  <c r="D48" i="18"/>
  <c r="C48" i="18"/>
  <c r="B48" i="18"/>
  <c r="A48" i="18"/>
  <c r="P47" i="18"/>
  <c r="O47" i="18"/>
  <c r="N47" i="18"/>
  <c r="L47" i="18"/>
  <c r="K47" i="18"/>
  <c r="J47" i="18"/>
  <c r="I47" i="18"/>
  <c r="H47" i="18"/>
  <c r="G47" i="18"/>
  <c r="F47" i="18"/>
  <c r="E47" i="18"/>
  <c r="D47" i="18"/>
  <c r="C47" i="18"/>
  <c r="B47" i="18"/>
  <c r="A47" i="18"/>
  <c r="P46" i="18"/>
  <c r="O46" i="18"/>
  <c r="N46" i="18"/>
  <c r="M46" i="18"/>
  <c r="L46" i="18"/>
  <c r="K46" i="18"/>
  <c r="J46" i="18"/>
  <c r="I46" i="18"/>
  <c r="H46" i="18"/>
  <c r="G46" i="18"/>
  <c r="F46" i="18"/>
  <c r="E46" i="18"/>
  <c r="D46" i="18"/>
  <c r="C46" i="18"/>
  <c r="B46" i="18"/>
  <c r="A46" i="18"/>
  <c r="P45" i="18"/>
  <c r="O45" i="18"/>
  <c r="N45" i="18"/>
  <c r="M45" i="18"/>
  <c r="L45" i="18"/>
  <c r="K45" i="18"/>
  <c r="J45" i="18"/>
  <c r="I45" i="18"/>
  <c r="H45" i="18"/>
  <c r="G45" i="18"/>
  <c r="F45" i="18"/>
  <c r="E45" i="18"/>
  <c r="D45" i="18"/>
  <c r="C45" i="18"/>
  <c r="B45" i="18"/>
  <c r="A45" i="18"/>
  <c r="P44" i="18"/>
  <c r="O44" i="18"/>
  <c r="N44" i="18"/>
  <c r="M44" i="18"/>
  <c r="L44" i="18"/>
  <c r="K44" i="18"/>
  <c r="J44" i="18"/>
  <c r="I44" i="18"/>
  <c r="H44" i="18"/>
  <c r="G44" i="18"/>
  <c r="F44" i="18"/>
  <c r="E44" i="18"/>
  <c r="D44" i="18"/>
  <c r="C44" i="18"/>
  <c r="B44" i="18"/>
  <c r="A44" i="18"/>
  <c r="P43" i="18"/>
  <c r="O43" i="18"/>
  <c r="N43" i="18"/>
  <c r="M43" i="18"/>
  <c r="L43" i="18"/>
  <c r="K43" i="18"/>
  <c r="J43" i="18"/>
  <c r="I43" i="18"/>
  <c r="H43" i="18"/>
  <c r="G43" i="18"/>
  <c r="F43" i="18"/>
  <c r="E43" i="18"/>
  <c r="D43" i="18"/>
  <c r="C43" i="18"/>
  <c r="B43" i="18"/>
  <c r="A43" i="18"/>
  <c r="P42" i="18"/>
  <c r="O42" i="18"/>
  <c r="N42" i="18"/>
  <c r="M42" i="18"/>
  <c r="L42" i="18"/>
  <c r="K42" i="18"/>
  <c r="J42" i="18"/>
  <c r="I42" i="18"/>
  <c r="H42" i="18"/>
  <c r="G42" i="18"/>
  <c r="F42" i="18"/>
  <c r="E42" i="18"/>
  <c r="D42" i="18"/>
  <c r="C42" i="18"/>
  <c r="B42" i="18"/>
  <c r="A42" i="18"/>
  <c r="P41" i="18"/>
  <c r="O41" i="18"/>
  <c r="N41" i="18"/>
  <c r="M41" i="18"/>
  <c r="L41" i="18"/>
  <c r="K41" i="18"/>
  <c r="J41" i="18"/>
  <c r="I41" i="18"/>
  <c r="H41" i="18"/>
  <c r="G41" i="18"/>
  <c r="F41" i="18"/>
  <c r="E41" i="18"/>
  <c r="D41" i="18"/>
  <c r="C41" i="18"/>
  <c r="B41" i="18"/>
  <c r="A41" i="18"/>
  <c r="P40" i="18"/>
  <c r="O40" i="18"/>
  <c r="N40" i="18"/>
  <c r="M40" i="18"/>
  <c r="L40" i="18"/>
  <c r="K40" i="18"/>
  <c r="J40" i="18"/>
  <c r="I40" i="18"/>
  <c r="H40" i="18"/>
  <c r="G40" i="18"/>
  <c r="F40" i="18"/>
  <c r="E40" i="18"/>
  <c r="D40" i="18"/>
  <c r="C40" i="18"/>
  <c r="B40" i="18"/>
  <c r="A40" i="18"/>
  <c r="P39" i="18"/>
  <c r="O39" i="18"/>
  <c r="N39" i="18"/>
  <c r="M39" i="18"/>
  <c r="L39" i="18"/>
  <c r="K39" i="18"/>
  <c r="J39" i="18"/>
  <c r="I39" i="18"/>
  <c r="H39" i="18"/>
  <c r="G39" i="18"/>
  <c r="F39" i="18"/>
  <c r="E39" i="18"/>
  <c r="D39" i="18"/>
  <c r="C39" i="18"/>
  <c r="B39" i="18"/>
  <c r="A39" i="18"/>
  <c r="P38" i="18"/>
  <c r="O38" i="18"/>
  <c r="N38" i="18"/>
  <c r="M38" i="18"/>
  <c r="L38" i="18"/>
  <c r="K38" i="18"/>
  <c r="J38" i="18"/>
  <c r="I38" i="18"/>
  <c r="H38" i="18"/>
  <c r="G38" i="18"/>
  <c r="F38" i="18"/>
  <c r="E38" i="18"/>
  <c r="D38" i="18"/>
  <c r="C38" i="18"/>
  <c r="B38" i="18"/>
  <c r="A38" i="18"/>
  <c r="P37" i="18"/>
  <c r="O37" i="18"/>
  <c r="N37" i="18"/>
  <c r="M37" i="18"/>
  <c r="L37" i="18"/>
  <c r="K37" i="18"/>
  <c r="J37" i="18"/>
  <c r="I37" i="18"/>
  <c r="H37" i="18"/>
  <c r="G37" i="18"/>
  <c r="F37" i="18"/>
  <c r="E37" i="18"/>
  <c r="D37" i="18"/>
  <c r="C37" i="18"/>
  <c r="B37" i="18"/>
  <c r="A37" i="18"/>
  <c r="P36" i="18"/>
  <c r="O36" i="18"/>
  <c r="N36" i="18"/>
  <c r="M36" i="18"/>
  <c r="L36" i="18"/>
  <c r="K36" i="18"/>
  <c r="J36" i="18"/>
  <c r="I36" i="18"/>
  <c r="H36" i="18"/>
  <c r="G36" i="18"/>
  <c r="F36" i="18"/>
  <c r="E36" i="18"/>
  <c r="D36" i="18"/>
  <c r="C36" i="18"/>
  <c r="B36" i="18"/>
  <c r="A36" i="18"/>
  <c r="P35" i="18"/>
  <c r="O35" i="18"/>
  <c r="N35" i="18"/>
  <c r="M35" i="18"/>
  <c r="L35" i="18"/>
  <c r="K35" i="18"/>
  <c r="J35" i="18"/>
  <c r="I35" i="18"/>
  <c r="H35" i="18"/>
  <c r="G35" i="18"/>
  <c r="F35" i="18"/>
  <c r="E35" i="18"/>
  <c r="D35" i="18"/>
  <c r="C35" i="18"/>
  <c r="B35" i="18"/>
  <c r="A35" i="18"/>
  <c r="P34" i="18"/>
  <c r="O34" i="18"/>
  <c r="N34" i="18"/>
  <c r="M34" i="18"/>
  <c r="L34" i="18"/>
  <c r="K34" i="18"/>
  <c r="J34" i="18"/>
  <c r="I34" i="18"/>
  <c r="H34" i="18"/>
  <c r="G34" i="18"/>
  <c r="F34" i="18"/>
  <c r="E34" i="18"/>
  <c r="D34" i="18"/>
  <c r="C34" i="18"/>
  <c r="B34" i="18"/>
  <c r="A34" i="18"/>
  <c r="P33" i="18"/>
  <c r="O33" i="18"/>
  <c r="N33" i="18"/>
  <c r="M33" i="18"/>
  <c r="L33" i="18"/>
  <c r="K33" i="18"/>
  <c r="J33" i="18"/>
  <c r="I33" i="18"/>
  <c r="H33" i="18"/>
  <c r="G33" i="18"/>
  <c r="F33" i="18"/>
  <c r="E33" i="18"/>
  <c r="D33" i="18"/>
  <c r="C33" i="18"/>
  <c r="B33" i="18"/>
  <c r="A33" i="18"/>
  <c r="P32" i="18"/>
  <c r="O32" i="18"/>
  <c r="N32" i="18"/>
  <c r="M32" i="18"/>
  <c r="L32" i="18"/>
  <c r="K32" i="18"/>
  <c r="J32" i="18"/>
  <c r="I32" i="18"/>
  <c r="H32" i="18"/>
  <c r="G32" i="18"/>
  <c r="F32" i="18"/>
  <c r="E32" i="18"/>
  <c r="D32" i="18"/>
  <c r="C32" i="18"/>
  <c r="B32" i="18"/>
  <c r="A32" i="18"/>
  <c r="P31" i="18"/>
  <c r="O31" i="18"/>
  <c r="N31" i="18"/>
  <c r="M31" i="18"/>
  <c r="L31" i="18"/>
  <c r="K31" i="18"/>
  <c r="J31" i="18"/>
  <c r="I31" i="18"/>
  <c r="H31" i="18"/>
  <c r="G31" i="18"/>
  <c r="F31" i="18"/>
  <c r="E31" i="18"/>
  <c r="D31" i="18"/>
  <c r="C31" i="18"/>
  <c r="B31" i="18"/>
  <c r="A31" i="18"/>
  <c r="P30" i="18"/>
  <c r="O30" i="18"/>
  <c r="N30" i="18"/>
  <c r="M30" i="18"/>
  <c r="L30" i="18"/>
  <c r="K30" i="18"/>
  <c r="J30" i="18"/>
  <c r="I30" i="18"/>
  <c r="H30" i="18"/>
  <c r="G30" i="18"/>
  <c r="F30" i="18"/>
  <c r="E30" i="18"/>
  <c r="D30" i="18"/>
  <c r="C30" i="18"/>
  <c r="B30" i="18"/>
  <c r="A30" i="18"/>
  <c r="P29" i="18"/>
  <c r="O29" i="18"/>
  <c r="N29" i="18"/>
  <c r="M29" i="18"/>
  <c r="L29" i="18"/>
  <c r="K29" i="18"/>
  <c r="J29" i="18"/>
  <c r="I29" i="18"/>
  <c r="H29" i="18"/>
  <c r="G29" i="18"/>
  <c r="F29" i="18"/>
  <c r="E29" i="18"/>
  <c r="D29" i="18"/>
  <c r="C29" i="18"/>
  <c r="B29" i="18"/>
  <c r="A29" i="18"/>
  <c r="P28" i="18"/>
  <c r="O28" i="18"/>
  <c r="N28" i="18"/>
  <c r="M28" i="18"/>
  <c r="L28" i="18"/>
  <c r="K28" i="18"/>
  <c r="J28" i="18"/>
  <c r="I28" i="18"/>
  <c r="H28" i="18"/>
  <c r="G28" i="18"/>
  <c r="F28" i="18"/>
  <c r="E28" i="18"/>
  <c r="D28" i="18"/>
  <c r="C28" i="18"/>
  <c r="B28" i="18"/>
  <c r="A28" i="18"/>
  <c r="P27" i="18"/>
  <c r="O27" i="18"/>
  <c r="N27" i="18"/>
  <c r="M27" i="18"/>
  <c r="L27" i="18"/>
  <c r="K27" i="18"/>
  <c r="J27" i="18"/>
  <c r="I27" i="18"/>
  <c r="H27" i="18"/>
  <c r="G27" i="18"/>
  <c r="F27" i="18"/>
  <c r="E27" i="18"/>
  <c r="D27" i="18"/>
  <c r="C27" i="18"/>
  <c r="B27" i="18"/>
  <c r="A27" i="18"/>
  <c r="P26" i="18"/>
  <c r="O26" i="18"/>
  <c r="N26" i="18"/>
  <c r="M26" i="18"/>
  <c r="L26" i="18"/>
  <c r="K26" i="18"/>
  <c r="J26" i="18"/>
  <c r="I26" i="18"/>
  <c r="H26" i="18"/>
  <c r="G26" i="18"/>
  <c r="F26" i="18"/>
  <c r="E26" i="18"/>
  <c r="D26" i="18"/>
  <c r="C26" i="18"/>
  <c r="B26" i="18"/>
  <c r="A26" i="18"/>
  <c r="P25" i="18"/>
  <c r="O25" i="18"/>
  <c r="N25" i="18"/>
  <c r="M25" i="18"/>
  <c r="L25" i="18"/>
  <c r="K25" i="18"/>
  <c r="J25" i="18"/>
  <c r="I25" i="18"/>
  <c r="H25" i="18"/>
  <c r="G25" i="18"/>
  <c r="F25" i="18"/>
  <c r="E25" i="18"/>
  <c r="D25" i="18"/>
  <c r="C25" i="18"/>
  <c r="B25" i="18"/>
  <c r="A25" i="18"/>
  <c r="P24" i="18"/>
  <c r="O24" i="18"/>
  <c r="N24" i="18"/>
  <c r="M24" i="18"/>
  <c r="L24" i="18"/>
  <c r="K24" i="18"/>
  <c r="J24" i="18"/>
  <c r="I24" i="18"/>
  <c r="H24" i="18"/>
  <c r="G24" i="18"/>
  <c r="F24" i="18"/>
  <c r="E24" i="18"/>
  <c r="D24" i="18"/>
  <c r="C24" i="18"/>
  <c r="B24" i="18"/>
  <c r="A24" i="18"/>
  <c r="P23" i="18"/>
  <c r="O23" i="18"/>
  <c r="N23" i="18"/>
  <c r="M23" i="18"/>
  <c r="L23" i="18"/>
  <c r="K23" i="18"/>
  <c r="J23" i="18"/>
  <c r="I23" i="18"/>
  <c r="H23" i="18"/>
  <c r="G23" i="18"/>
  <c r="F23" i="18"/>
  <c r="E23" i="18"/>
  <c r="D23" i="18"/>
  <c r="C23" i="18"/>
  <c r="B23" i="18"/>
  <c r="A23" i="18"/>
  <c r="P22" i="18"/>
  <c r="O22" i="18"/>
  <c r="N22" i="18"/>
  <c r="M22" i="18"/>
  <c r="L22" i="18"/>
  <c r="K22" i="18"/>
  <c r="J22" i="18"/>
  <c r="I22" i="18"/>
  <c r="H22" i="18"/>
  <c r="G22" i="18"/>
  <c r="F22" i="18"/>
  <c r="E22" i="18"/>
  <c r="D22" i="18"/>
  <c r="C22" i="18"/>
  <c r="B22" i="18"/>
  <c r="A22" i="18"/>
  <c r="P21" i="18"/>
  <c r="O21" i="18"/>
  <c r="N21" i="18"/>
  <c r="M21" i="18"/>
  <c r="L21" i="18"/>
  <c r="K21" i="18"/>
  <c r="J21" i="18"/>
  <c r="I21" i="18"/>
  <c r="H21" i="18"/>
  <c r="G21" i="18"/>
  <c r="F21" i="18"/>
  <c r="E21" i="18"/>
  <c r="D21" i="18"/>
  <c r="C21" i="18"/>
  <c r="B21" i="18"/>
  <c r="A21" i="18"/>
  <c r="P20" i="18"/>
  <c r="O20" i="18"/>
  <c r="N20" i="18"/>
  <c r="M20" i="18"/>
  <c r="L20" i="18"/>
  <c r="K20" i="18"/>
  <c r="J20" i="18"/>
  <c r="I20" i="18"/>
  <c r="H20" i="18"/>
  <c r="G20" i="18"/>
  <c r="F20" i="18"/>
  <c r="E20" i="18"/>
  <c r="D20" i="18"/>
  <c r="C20" i="18"/>
  <c r="B20" i="18"/>
  <c r="A20" i="18"/>
  <c r="P19" i="18"/>
  <c r="O19" i="18"/>
  <c r="N19" i="18"/>
  <c r="M19" i="18"/>
  <c r="L19" i="18"/>
  <c r="K19" i="18"/>
  <c r="J19" i="18"/>
  <c r="I19" i="18"/>
  <c r="H19" i="18"/>
  <c r="G19" i="18"/>
  <c r="F19" i="18"/>
  <c r="E19" i="18"/>
  <c r="D19" i="18"/>
  <c r="C19" i="18"/>
  <c r="B19" i="18"/>
  <c r="A19" i="18"/>
  <c r="P18" i="18"/>
  <c r="O18" i="18"/>
  <c r="N18" i="18"/>
  <c r="M18" i="18"/>
  <c r="L18" i="18"/>
  <c r="K18" i="18"/>
  <c r="J18" i="18"/>
  <c r="I18" i="18"/>
  <c r="H18" i="18"/>
  <c r="G18" i="18"/>
  <c r="F18" i="18"/>
  <c r="E18" i="18"/>
  <c r="D18" i="18"/>
  <c r="C18" i="18"/>
  <c r="B18" i="18"/>
  <c r="A18" i="18"/>
  <c r="P17" i="18"/>
  <c r="O17" i="18"/>
  <c r="N17" i="18"/>
  <c r="M17" i="18"/>
  <c r="L17" i="18"/>
  <c r="K17" i="18"/>
  <c r="J17" i="18"/>
  <c r="I17" i="18"/>
  <c r="H17" i="18"/>
  <c r="G17" i="18"/>
  <c r="F17" i="18"/>
  <c r="E17" i="18"/>
  <c r="D17" i="18"/>
  <c r="C17" i="18"/>
  <c r="B17" i="18"/>
  <c r="A17" i="18"/>
  <c r="P16" i="18"/>
  <c r="O16" i="18"/>
  <c r="N16" i="18"/>
  <c r="M16" i="18"/>
  <c r="L16" i="18"/>
  <c r="K16" i="18"/>
  <c r="J16" i="18"/>
  <c r="I16" i="18"/>
  <c r="H16" i="18"/>
  <c r="G16" i="18"/>
  <c r="F16" i="18"/>
  <c r="E16" i="18"/>
  <c r="D16" i="18"/>
  <c r="C16" i="18"/>
  <c r="B16" i="18"/>
  <c r="A16" i="18"/>
  <c r="P15" i="18"/>
  <c r="O15" i="18"/>
  <c r="N15" i="18"/>
  <c r="M15" i="18"/>
  <c r="L15" i="18"/>
  <c r="K15" i="18"/>
  <c r="J15" i="18"/>
  <c r="I15" i="18"/>
  <c r="H15" i="18"/>
  <c r="G15" i="18"/>
  <c r="F15" i="18"/>
  <c r="E15" i="18"/>
  <c r="D15" i="18"/>
  <c r="C15" i="18"/>
  <c r="B15" i="18"/>
  <c r="A15" i="18"/>
  <c r="P14" i="18"/>
  <c r="O14" i="18"/>
  <c r="N14" i="18"/>
  <c r="M14" i="18"/>
  <c r="L14" i="18"/>
  <c r="K14" i="18"/>
  <c r="J14" i="18"/>
  <c r="I14" i="18"/>
  <c r="H14" i="18"/>
  <c r="G14" i="18"/>
  <c r="F14" i="18"/>
  <c r="E14" i="18"/>
  <c r="D14" i="18"/>
  <c r="C14" i="18"/>
  <c r="B14" i="18"/>
  <c r="A14" i="18"/>
  <c r="P13" i="18"/>
  <c r="O13" i="18"/>
  <c r="N13" i="18"/>
  <c r="M13" i="18"/>
  <c r="L13" i="18"/>
  <c r="K13" i="18"/>
  <c r="J13" i="18"/>
  <c r="I13" i="18"/>
  <c r="H13" i="18"/>
  <c r="G13" i="18"/>
  <c r="F13" i="18"/>
  <c r="E13" i="18"/>
  <c r="D13" i="18"/>
  <c r="C13" i="18"/>
  <c r="B13" i="18"/>
  <c r="A13" i="18"/>
  <c r="P12" i="18"/>
  <c r="O12" i="18"/>
  <c r="N12" i="18"/>
  <c r="M12" i="18"/>
  <c r="L12" i="18"/>
  <c r="K12" i="18"/>
  <c r="J12" i="18"/>
  <c r="I12" i="18"/>
  <c r="H12" i="18"/>
  <c r="G12" i="18"/>
  <c r="F12" i="18"/>
  <c r="E12" i="18"/>
  <c r="D12" i="18"/>
  <c r="C12" i="18"/>
  <c r="B12" i="18"/>
  <c r="A12" i="18"/>
  <c r="P11" i="18"/>
  <c r="O11" i="18"/>
  <c r="N11" i="18"/>
  <c r="M11" i="18"/>
  <c r="L11" i="18"/>
  <c r="K11" i="18"/>
  <c r="J11" i="18"/>
  <c r="I11" i="18"/>
  <c r="H11" i="18"/>
  <c r="G11" i="18"/>
  <c r="F11" i="18"/>
  <c r="E11" i="18"/>
  <c r="D11" i="18"/>
  <c r="C11" i="18"/>
  <c r="B11" i="18"/>
  <c r="A11" i="18"/>
  <c r="P10" i="18"/>
  <c r="O10" i="18"/>
  <c r="N10" i="18"/>
  <c r="M10" i="18"/>
  <c r="L10" i="18"/>
  <c r="K10" i="18"/>
  <c r="J10" i="18"/>
  <c r="I10" i="18"/>
  <c r="H10" i="18"/>
  <c r="G10" i="18"/>
  <c r="F10" i="18"/>
  <c r="E10" i="18"/>
  <c r="D10" i="18"/>
  <c r="C10" i="18"/>
  <c r="B10" i="18"/>
  <c r="A10" i="18"/>
  <c r="P9" i="18"/>
  <c r="O9" i="18"/>
  <c r="N9" i="18"/>
  <c r="M9" i="18"/>
  <c r="L9" i="18"/>
  <c r="K9" i="18"/>
  <c r="J9" i="18"/>
  <c r="I9" i="18"/>
  <c r="H9" i="18"/>
  <c r="G9" i="18"/>
  <c r="F9" i="18"/>
  <c r="E9" i="18"/>
  <c r="D9" i="18"/>
  <c r="C9" i="18"/>
  <c r="B9" i="18"/>
  <c r="A9" i="18"/>
  <c r="P8" i="18"/>
  <c r="O8" i="18"/>
  <c r="N8" i="18"/>
  <c r="M8" i="18"/>
  <c r="L8" i="18"/>
  <c r="K8" i="18"/>
  <c r="J8" i="18"/>
  <c r="I8" i="18"/>
  <c r="H8" i="18"/>
  <c r="G8" i="18"/>
  <c r="F8" i="18"/>
  <c r="E8" i="18"/>
  <c r="D8" i="18"/>
  <c r="C8" i="18"/>
  <c r="B8" i="18"/>
  <c r="A8" i="18"/>
  <c r="P7" i="18"/>
  <c r="O7" i="18"/>
  <c r="N7" i="18"/>
  <c r="M7" i="18"/>
  <c r="L7" i="18"/>
  <c r="K7" i="18"/>
  <c r="J7" i="18"/>
  <c r="I7" i="18"/>
  <c r="H7" i="18"/>
  <c r="G7" i="18"/>
  <c r="F7" i="18"/>
  <c r="E7" i="18"/>
  <c r="D7" i="18"/>
  <c r="C7" i="18"/>
  <c r="B7" i="18"/>
  <c r="A7" i="18"/>
  <c r="P6" i="18"/>
  <c r="O6" i="18"/>
  <c r="N6" i="18"/>
  <c r="M6" i="18"/>
  <c r="L6" i="18"/>
  <c r="K6" i="18"/>
  <c r="J6" i="18"/>
  <c r="I6" i="18"/>
  <c r="H6" i="18"/>
  <c r="G6" i="18"/>
  <c r="F6" i="18"/>
  <c r="E6" i="18"/>
  <c r="D6" i="18"/>
  <c r="C6" i="18"/>
  <c r="B6" i="18"/>
  <c r="A6" i="18"/>
  <c r="P5" i="18"/>
  <c r="O5" i="18"/>
  <c r="N5" i="18"/>
  <c r="M5" i="18"/>
  <c r="L5" i="18"/>
  <c r="K5" i="18"/>
  <c r="J5" i="18"/>
  <c r="I5" i="18"/>
  <c r="H5" i="18"/>
  <c r="G5" i="18"/>
  <c r="F5" i="18"/>
  <c r="E5" i="18"/>
  <c r="D5" i="18"/>
  <c r="C5" i="18"/>
  <c r="B5" i="18"/>
  <c r="A5" i="18"/>
  <c r="P4" i="18"/>
  <c r="O4" i="18"/>
  <c r="N4" i="18"/>
  <c r="M4" i="18"/>
  <c r="L4" i="18"/>
  <c r="K4" i="18"/>
  <c r="J4" i="18"/>
  <c r="I4" i="18"/>
  <c r="H4" i="18"/>
  <c r="G4" i="18"/>
  <c r="F4" i="18"/>
  <c r="E4" i="18"/>
  <c r="D4" i="18"/>
  <c r="C4" i="18"/>
  <c r="B4" i="18"/>
  <c r="A4" i="18"/>
  <c r="P3" i="18"/>
  <c r="O3" i="18"/>
  <c r="N3" i="18"/>
  <c r="M3" i="18"/>
  <c r="L3" i="18"/>
  <c r="K3" i="18"/>
  <c r="J3" i="18"/>
  <c r="I3" i="18"/>
  <c r="H3" i="18"/>
  <c r="G3" i="18"/>
  <c r="F3" i="18"/>
  <c r="E3" i="18"/>
  <c r="D3" i="18"/>
  <c r="C3" i="18"/>
  <c r="B3" i="18"/>
  <c r="A3" i="18"/>
  <c r="P2" i="18"/>
  <c r="O2" i="18"/>
  <c r="N2" i="18"/>
  <c r="M2" i="18"/>
  <c r="L2" i="18"/>
  <c r="K2" i="18"/>
  <c r="J2" i="18"/>
  <c r="I2" i="18"/>
  <c r="H2" i="18"/>
  <c r="G2" i="18"/>
  <c r="F2" i="18"/>
  <c r="E2" i="18"/>
  <c r="D2" i="18"/>
  <c r="C2" i="18"/>
  <c r="B2" i="18"/>
  <c r="A2" i="18"/>
  <c r="X1" i="18"/>
  <c r="W1" i="18"/>
  <c r="V1" i="18"/>
  <c r="U1" i="18"/>
  <c r="T1" i="18"/>
  <c r="S1" i="18"/>
  <c r="R1" i="18"/>
  <c r="Q1" i="18"/>
  <c r="P1" i="18"/>
  <c r="O1" i="18"/>
  <c r="N1" i="18"/>
  <c r="M1" i="18"/>
  <c r="L1" i="18"/>
  <c r="K1" i="18"/>
  <c r="J1" i="18"/>
  <c r="I1" i="18"/>
  <c r="H1" i="18"/>
  <c r="G1" i="18"/>
  <c r="F1" i="18"/>
  <c r="E1" i="18"/>
  <c r="D1" i="18"/>
  <c r="C1" i="18"/>
  <c r="B1" i="18"/>
  <c r="A1" i="18"/>
  <c r="A1001" i="17"/>
  <c r="A1000" i="17"/>
  <c r="A999" i="17"/>
  <c r="A998" i="17"/>
  <c r="A997" i="17"/>
  <c r="A996" i="17"/>
  <c r="A995" i="17"/>
  <c r="A994" i="17"/>
  <c r="A993" i="17"/>
  <c r="A992" i="17"/>
  <c r="A991" i="17"/>
  <c r="A990" i="17"/>
  <c r="A989" i="17"/>
  <c r="A988" i="17"/>
  <c r="A987" i="17"/>
  <c r="A986" i="17"/>
  <c r="A985" i="17"/>
  <c r="A984" i="17"/>
  <c r="A983" i="17"/>
  <c r="A982" i="17"/>
  <c r="A981" i="17"/>
  <c r="A980" i="17"/>
  <c r="A979" i="17"/>
  <c r="A978" i="17"/>
  <c r="A977" i="17"/>
  <c r="A976" i="17"/>
  <c r="A975" i="17"/>
  <c r="A974" i="17"/>
  <c r="A973" i="17"/>
  <c r="A972" i="17"/>
  <c r="A971" i="17"/>
  <c r="A970" i="17"/>
  <c r="A969" i="17"/>
  <c r="A968" i="17"/>
  <c r="A967" i="17"/>
  <c r="A966" i="17"/>
  <c r="A965" i="17"/>
  <c r="A964" i="17"/>
  <c r="A963" i="17"/>
  <c r="A962" i="17"/>
  <c r="A961" i="17"/>
  <c r="A960" i="17"/>
  <c r="A959" i="17"/>
  <c r="A958" i="17"/>
  <c r="A957" i="17"/>
  <c r="A956" i="17"/>
  <c r="A955" i="17"/>
  <c r="A954" i="17"/>
  <c r="A953" i="17"/>
  <c r="A952" i="17"/>
  <c r="A951" i="17"/>
  <c r="A950" i="17"/>
  <c r="A949" i="17"/>
  <c r="A948" i="17"/>
  <c r="A947" i="17"/>
  <c r="A946" i="17"/>
  <c r="A945" i="17"/>
  <c r="A944" i="17"/>
  <c r="A943" i="17"/>
  <c r="A942" i="17"/>
  <c r="A941" i="17"/>
  <c r="A940" i="17"/>
  <c r="A939" i="17"/>
  <c r="A938" i="17"/>
  <c r="A937" i="17"/>
  <c r="A936" i="17"/>
  <c r="A935" i="17"/>
  <c r="A934" i="17"/>
  <c r="A933" i="17"/>
  <c r="A932" i="17"/>
  <c r="A931" i="17"/>
  <c r="A930" i="17"/>
  <c r="A929" i="17"/>
  <c r="A928" i="17"/>
  <c r="A927" i="17"/>
  <c r="A926" i="17"/>
  <c r="A925" i="17"/>
  <c r="A924" i="17"/>
  <c r="A923" i="17"/>
  <c r="A922" i="17"/>
  <c r="A921" i="17"/>
  <c r="A920" i="17"/>
  <c r="A919" i="17"/>
  <c r="A918" i="17"/>
  <c r="A917" i="17"/>
  <c r="A916" i="17"/>
  <c r="A915" i="17"/>
  <c r="A914" i="17"/>
  <c r="A913" i="17"/>
  <c r="A912" i="17"/>
  <c r="A911" i="17"/>
  <c r="A910" i="17"/>
  <c r="A909" i="17"/>
  <c r="A908" i="17"/>
  <c r="A907" i="17"/>
  <c r="A906" i="17"/>
  <c r="A905" i="17"/>
  <c r="A904" i="17"/>
  <c r="A903" i="17"/>
  <c r="A902" i="17"/>
  <c r="A901" i="17"/>
  <c r="A900" i="17"/>
  <c r="A899" i="17"/>
  <c r="A898" i="17"/>
  <c r="A897" i="17"/>
  <c r="A896" i="17"/>
  <c r="A895" i="17"/>
  <c r="A894" i="17"/>
  <c r="A893" i="17"/>
  <c r="A892" i="17"/>
  <c r="A891" i="17"/>
  <c r="A890" i="17"/>
  <c r="A889" i="17"/>
  <c r="A888" i="17"/>
  <c r="A887" i="17"/>
  <c r="A886" i="17"/>
  <c r="A885" i="17"/>
  <c r="A884" i="17"/>
  <c r="A883" i="17"/>
  <c r="A882" i="17"/>
  <c r="A881" i="17"/>
  <c r="A880" i="17"/>
  <c r="A879" i="17"/>
  <c r="A878" i="17"/>
  <c r="A877" i="17"/>
  <c r="A876" i="17"/>
  <c r="A875" i="17"/>
  <c r="A874" i="17"/>
  <c r="A873" i="17"/>
  <c r="A872" i="17"/>
  <c r="A871" i="17"/>
  <c r="A870" i="17"/>
  <c r="A869" i="17"/>
  <c r="A868" i="17"/>
  <c r="A867" i="17"/>
  <c r="A866" i="17"/>
  <c r="A865" i="17"/>
  <c r="A864" i="17"/>
  <c r="A863" i="17"/>
  <c r="A862" i="17"/>
  <c r="A861" i="17"/>
  <c r="A860" i="17"/>
  <c r="A859" i="17"/>
  <c r="A858" i="17"/>
  <c r="A857" i="17"/>
  <c r="A856" i="17"/>
  <c r="A855" i="17"/>
  <c r="A854" i="17"/>
  <c r="A853" i="17"/>
  <c r="A852" i="17"/>
  <c r="A851" i="17"/>
  <c r="A850" i="17"/>
  <c r="A849" i="17"/>
  <c r="A848" i="17"/>
  <c r="A847" i="17"/>
  <c r="A846" i="17"/>
  <c r="A845" i="17"/>
  <c r="A844" i="17"/>
  <c r="A843" i="17"/>
  <c r="A842" i="17"/>
  <c r="A841" i="17"/>
  <c r="A840" i="17"/>
  <c r="A839" i="17"/>
  <c r="A838" i="17"/>
  <c r="A837" i="17"/>
  <c r="A836" i="17"/>
  <c r="A835" i="17"/>
  <c r="A834" i="17"/>
  <c r="A833" i="17"/>
  <c r="A832" i="17"/>
  <c r="A831" i="17"/>
  <c r="A830" i="17"/>
  <c r="A829" i="17"/>
  <c r="A828" i="17"/>
  <c r="A827" i="17"/>
  <c r="A826" i="17"/>
  <c r="A825" i="17"/>
  <c r="A824" i="17"/>
  <c r="A823" i="17"/>
  <c r="A822" i="17"/>
  <c r="A821" i="17"/>
  <c r="A820" i="17"/>
  <c r="A819" i="17"/>
  <c r="A818" i="17"/>
  <c r="A817" i="17"/>
  <c r="A816" i="17"/>
  <c r="A815" i="17"/>
  <c r="A814" i="17"/>
  <c r="A813" i="17"/>
  <c r="A812" i="17"/>
  <c r="A811" i="17"/>
  <c r="A810" i="17"/>
  <c r="A809" i="17"/>
  <c r="A808" i="17"/>
  <c r="A807" i="17"/>
  <c r="A806" i="17"/>
  <c r="A805" i="17"/>
  <c r="A804" i="17"/>
  <c r="A803" i="17"/>
  <c r="A802" i="17"/>
  <c r="A801" i="17"/>
  <c r="A800" i="17"/>
  <c r="A799" i="17"/>
  <c r="A798" i="17"/>
  <c r="A797" i="17"/>
  <c r="A796" i="17"/>
  <c r="A795" i="17"/>
  <c r="A794" i="17"/>
  <c r="A793" i="17"/>
  <c r="A792" i="17"/>
  <c r="A791" i="17"/>
  <c r="A790" i="17"/>
  <c r="A789" i="17"/>
  <c r="A788" i="17"/>
  <c r="A787" i="17"/>
  <c r="A786" i="17"/>
  <c r="A785" i="17"/>
  <c r="A784" i="17"/>
  <c r="A783" i="17"/>
  <c r="A782" i="17"/>
  <c r="A781" i="17"/>
  <c r="A780" i="17"/>
  <c r="A779" i="17"/>
  <c r="A778" i="17"/>
  <c r="A777" i="17"/>
  <c r="A776" i="17"/>
  <c r="A775" i="17"/>
  <c r="A774" i="17"/>
  <c r="A773" i="17"/>
  <c r="A772" i="17"/>
  <c r="A771" i="17"/>
  <c r="A770" i="17"/>
  <c r="A769" i="17"/>
  <c r="A768" i="17"/>
  <c r="A767" i="17"/>
  <c r="A766" i="17"/>
  <c r="A765" i="17"/>
  <c r="A764" i="17"/>
  <c r="A763" i="17"/>
  <c r="A762" i="17"/>
  <c r="A761" i="17"/>
  <c r="A760" i="17"/>
  <c r="A759" i="17"/>
  <c r="A758" i="17"/>
  <c r="A757" i="17"/>
  <c r="A756" i="17"/>
  <c r="A755" i="17"/>
  <c r="A754" i="17"/>
  <c r="A753" i="17"/>
  <c r="A752" i="17"/>
  <c r="A751" i="17"/>
  <c r="A750" i="17"/>
  <c r="A749" i="17"/>
  <c r="A748" i="17"/>
  <c r="A747" i="17"/>
  <c r="A746" i="17"/>
  <c r="A745" i="17"/>
  <c r="A744" i="17"/>
  <c r="A743" i="17"/>
  <c r="A742" i="17"/>
  <c r="A741" i="17"/>
  <c r="A740" i="17"/>
  <c r="A739" i="17"/>
  <c r="A738" i="17"/>
  <c r="A737" i="17"/>
  <c r="A736" i="17"/>
  <c r="A735" i="17"/>
  <c r="A734" i="17"/>
  <c r="A733" i="17"/>
  <c r="A732" i="17"/>
  <c r="A731" i="17"/>
  <c r="A730" i="17"/>
  <c r="A729" i="17"/>
  <c r="A728" i="17"/>
  <c r="A727" i="17"/>
  <c r="A726" i="17"/>
  <c r="A725" i="17"/>
  <c r="A724" i="17"/>
  <c r="A723" i="17"/>
  <c r="A722" i="17"/>
  <c r="A721" i="17"/>
  <c r="A720" i="17"/>
  <c r="A719" i="17"/>
  <c r="A718" i="17"/>
  <c r="A717" i="17"/>
  <c r="A716" i="17"/>
  <c r="A715" i="17"/>
  <c r="A714" i="17"/>
  <c r="A713" i="17"/>
  <c r="A712" i="17"/>
  <c r="A711" i="17"/>
  <c r="A710" i="17"/>
  <c r="A709" i="17"/>
  <c r="A708" i="17"/>
  <c r="A707" i="17"/>
  <c r="A706" i="17"/>
  <c r="A705" i="17"/>
  <c r="A704" i="17"/>
  <c r="A703" i="17"/>
  <c r="A702" i="17"/>
  <c r="A701" i="17"/>
  <c r="A700" i="17"/>
  <c r="A699" i="17"/>
  <c r="A698" i="17"/>
  <c r="A697" i="17"/>
  <c r="A696" i="17"/>
  <c r="A695" i="17"/>
  <c r="A694" i="17"/>
  <c r="A693" i="17"/>
  <c r="A692" i="17"/>
  <c r="A691" i="17"/>
  <c r="A690" i="17"/>
  <c r="A689" i="17"/>
  <c r="A688" i="17"/>
  <c r="A687" i="17"/>
  <c r="A686" i="17"/>
  <c r="A685" i="17"/>
  <c r="A684" i="17"/>
  <c r="A683" i="17"/>
  <c r="A682" i="17"/>
  <c r="A681" i="17"/>
  <c r="A680" i="17"/>
  <c r="A679" i="17"/>
  <c r="A678" i="17"/>
  <c r="A677" i="17"/>
  <c r="A676" i="17"/>
  <c r="A675" i="17"/>
  <c r="A674" i="17"/>
  <c r="A673" i="17"/>
  <c r="A672" i="17"/>
  <c r="A671" i="17"/>
  <c r="A670" i="17"/>
  <c r="A669" i="17"/>
  <c r="A668" i="17"/>
  <c r="A667" i="17"/>
  <c r="A666" i="17"/>
  <c r="A665" i="17"/>
  <c r="A664" i="17"/>
  <c r="A663" i="17"/>
  <c r="A662" i="17"/>
  <c r="A661" i="17"/>
  <c r="A660" i="17"/>
  <c r="A659" i="17"/>
  <c r="A658" i="17"/>
  <c r="A657" i="17"/>
  <c r="A656" i="17"/>
  <c r="A655" i="17"/>
  <c r="A654" i="17"/>
  <c r="A653" i="17"/>
  <c r="A652" i="17"/>
  <c r="A651" i="17"/>
  <c r="A650" i="17"/>
  <c r="A649" i="17"/>
  <c r="A648" i="17"/>
  <c r="A647" i="17"/>
  <c r="A646" i="17"/>
  <c r="A645" i="17"/>
  <c r="A644" i="17"/>
  <c r="A643" i="17"/>
  <c r="A642" i="17"/>
  <c r="A641" i="17"/>
  <c r="A640" i="17"/>
  <c r="A639" i="17"/>
  <c r="A638" i="17"/>
  <c r="A637" i="17"/>
  <c r="A636" i="17"/>
  <c r="A635" i="17"/>
  <c r="A634" i="17"/>
  <c r="A633" i="17"/>
  <c r="A632" i="17"/>
  <c r="A631" i="17"/>
  <c r="A630" i="17"/>
  <c r="A629" i="17"/>
  <c r="A628" i="17"/>
  <c r="A627" i="17"/>
  <c r="A626" i="17"/>
  <c r="A625" i="17"/>
  <c r="A624" i="17"/>
  <c r="A623" i="17"/>
  <c r="A622" i="17"/>
  <c r="A621" i="17"/>
  <c r="A620" i="17"/>
  <c r="A619" i="17"/>
  <c r="A618" i="17"/>
  <c r="A617" i="17"/>
  <c r="A616" i="17"/>
  <c r="A615" i="17"/>
  <c r="A614" i="17"/>
  <c r="A613" i="17"/>
  <c r="A612" i="17"/>
  <c r="A611" i="17"/>
  <c r="A610" i="17"/>
  <c r="A609" i="17"/>
  <c r="A608" i="17"/>
  <c r="A607" i="17"/>
  <c r="A606" i="17"/>
  <c r="A605" i="17"/>
  <c r="A604" i="17"/>
  <c r="A603" i="17"/>
  <c r="A602" i="17"/>
  <c r="A601" i="17"/>
  <c r="A600" i="17"/>
  <c r="A599" i="17"/>
  <c r="A598" i="17"/>
  <c r="A597" i="17"/>
  <c r="A596" i="17"/>
  <c r="A595" i="17"/>
  <c r="A594" i="17"/>
  <c r="A593" i="17"/>
  <c r="A592" i="17"/>
  <c r="A591" i="17"/>
  <c r="A590" i="17"/>
  <c r="A589" i="17"/>
  <c r="A588" i="17"/>
  <c r="A587" i="17"/>
  <c r="A586" i="17"/>
  <c r="A585" i="17"/>
  <c r="A584" i="17"/>
  <c r="A583" i="17"/>
  <c r="A582" i="17"/>
  <c r="A581" i="17"/>
  <c r="A580" i="17"/>
  <c r="A579" i="17"/>
  <c r="A578" i="17"/>
  <c r="A577" i="17"/>
  <c r="A576" i="17"/>
  <c r="A575" i="17"/>
  <c r="A574" i="17"/>
  <c r="A573" i="17"/>
  <c r="A572" i="17"/>
  <c r="A571" i="17"/>
  <c r="A570" i="17"/>
  <c r="A569" i="17"/>
  <c r="A568" i="17"/>
  <c r="A567" i="17"/>
  <c r="A566" i="17"/>
  <c r="A565" i="17"/>
  <c r="A564" i="17"/>
  <c r="A563" i="17"/>
  <c r="A562" i="17"/>
  <c r="A561" i="17"/>
  <c r="A560" i="17"/>
  <c r="A559" i="17"/>
  <c r="A558" i="17"/>
  <c r="A557" i="17"/>
  <c r="A556" i="17"/>
  <c r="A555" i="17"/>
  <c r="A554" i="17"/>
  <c r="A553" i="17"/>
  <c r="A552" i="17"/>
  <c r="A551" i="17"/>
  <c r="A550" i="17"/>
  <c r="A549" i="17"/>
  <c r="A548" i="17"/>
  <c r="A547" i="17"/>
  <c r="A546" i="17"/>
  <c r="A545" i="17"/>
  <c r="A544" i="17"/>
  <c r="A543" i="17"/>
  <c r="A542" i="17"/>
  <c r="A541" i="17"/>
  <c r="A540" i="17"/>
  <c r="A539" i="17"/>
  <c r="A538" i="17"/>
  <c r="A537" i="17"/>
  <c r="A536" i="17"/>
  <c r="A535" i="17"/>
  <c r="A534" i="17"/>
  <c r="A533" i="17"/>
  <c r="A532" i="17"/>
  <c r="A531" i="17"/>
  <c r="A530" i="17"/>
  <c r="A529" i="17"/>
  <c r="A528" i="17"/>
  <c r="A527" i="17"/>
  <c r="A526" i="17"/>
  <c r="A525" i="17"/>
  <c r="A524" i="17"/>
  <c r="A523" i="17"/>
  <c r="A522" i="17"/>
  <c r="A521" i="17"/>
  <c r="A520" i="17"/>
  <c r="A519" i="17"/>
  <c r="A518" i="17"/>
  <c r="A517" i="17"/>
  <c r="A516" i="17"/>
  <c r="A515" i="17"/>
  <c r="A514" i="17"/>
  <c r="A513" i="17"/>
  <c r="A512" i="17"/>
  <c r="A511" i="17"/>
  <c r="A510" i="17"/>
  <c r="A509" i="17"/>
  <c r="A508" i="17"/>
  <c r="A507" i="17"/>
  <c r="A506" i="17"/>
  <c r="A505" i="17"/>
  <c r="A504" i="17"/>
  <c r="A503" i="17"/>
  <c r="A502" i="17"/>
  <c r="A501" i="17"/>
  <c r="A500" i="17"/>
  <c r="A499" i="17"/>
  <c r="A498" i="17"/>
  <c r="A497" i="17"/>
  <c r="A496" i="17"/>
  <c r="A495" i="17"/>
  <c r="A494" i="17"/>
  <c r="A493" i="17"/>
  <c r="A492" i="17"/>
  <c r="A491" i="17"/>
  <c r="A490" i="17"/>
  <c r="A489" i="17"/>
  <c r="A488" i="17"/>
  <c r="A487" i="17"/>
  <c r="A486" i="17"/>
  <c r="A485" i="17"/>
  <c r="A484" i="17"/>
  <c r="A483" i="17"/>
  <c r="A482" i="17"/>
  <c r="A481" i="17"/>
  <c r="A480" i="17"/>
  <c r="A479" i="17"/>
  <c r="A478" i="17"/>
  <c r="A477" i="17"/>
  <c r="A476" i="17"/>
  <c r="A475" i="17"/>
  <c r="A474" i="17"/>
  <c r="A473" i="17"/>
  <c r="A472" i="17"/>
  <c r="A471" i="17"/>
  <c r="A470" i="17"/>
  <c r="A469" i="17"/>
  <c r="A468" i="17"/>
  <c r="A467" i="17"/>
  <c r="A466" i="17"/>
  <c r="A465" i="17"/>
  <c r="A464" i="17"/>
  <c r="A463" i="17"/>
  <c r="A462" i="17"/>
  <c r="A461" i="17"/>
  <c r="A460" i="17"/>
  <c r="A459" i="17"/>
  <c r="A458" i="17"/>
  <c r="A457" i="17"/>
  <c r="A456" i="17"/>
  <c r="A455" i="17"/>
  <c r="A454" i="17"/>
  <c r="A453" i="17"/>
  <c r="A452" i="17"/>
  <c r="A451" i="17"/>
  <c r="A450" i="17"/>
  <c r="A449" i="17"/>
  <c r="A448" i="17"/>
  <c r="A447" i="17"/>
  <c r="A446" i="17"/>
  <c r="A445" i="17"/>
  <c r="A444" i="17"/>
  <c r="A443" i="17"/>
  <c r="A442" i="17"/>
  <c r="A441" i="17"/>
  <c r="A440" i="17"/>
  <c r="A439" i="17"/>
  <c r="A438" i="17"/>
  <c r="A437" i="17"/>
  <c r="A436" i="17"/>
  <c r="A435" i="17"/>
  <c r="A434" i="17"/>
  <c r="A433" i="17"/>
  <c r="A432" i="17"/>
  <c r="A431" i="17"/>
  <c r="A430" i="17"/>
  <c r="A429" i="17"/>
  <c r="A428" i="17"/>
  <c r="A427" i="17"/>
  <c r="A426" i="17"/>
  <c r="A425" i="17"/>
  <c r="A424" i="17"/>
  <c r="A423" i="17"/>
  <c r="A422" i="17"/>
  <c r="A421" i="17"/>
  <c r="A420" i="17"/>
  <c r="A419" i="17"/>
  <c r="A418" i="17"/>
  <c r="A417" i="17"/>
  <c r="A416" i="17"/>
  <c r="A415" i="17"/>
  <c r="A414" i="17"/>
  <c r="A413" i="17"/>
  <c r="A412" i="17"/>
  <c r="A411" i="17"/>
  <c r="A410" i="17"/>
  <c r="A409" i="17"/>
  <c r="A408" i="17"/>
  <c r="A407" i="17"/>
  <c r="A406" i="17"/>
  <c r="A405" i="17"/>
  <c r="A404" i="17"/>
  <c r="A403" i="17"/>
  <c r="A402" i="17"/>
  <c r="A401" i="17"/>
  <c r="A400" i="17"/>
  <c r="A399" i="17"/>
  <c r="A398" i="17"/>
  <c r="A397" i="17"/>
  <c r="A396" i="17"/>
  <c r="A395" i="17"/>
  <c r="A394" i="17"/>
  <c r="A393" i="17"/>
  <c r="A392" i="17"/>
  <c r="A391" i="17"/>
  <c r="A390" i="17"/>
  <c r="A389" i="17"/>
  <c r="A388" i="17"/>
  <c r="A387" i="17"/>
  <c r="A386" i="17"/>
  <c r="A385" i="17"/>
  <c r="A384" i="17"/>
  <c r="A383" i="17"/>
  <c r="A382" i="17"/>
  <c r="A381" i="17"/>
  <c r="A380" i="17"/>
  <c r="A379" i="17"/>
  <c r="A378" i="17"/>
  <c r="A377" i="17"/>
  <c r="A376" i="17"/>
  <c r="A375" i="17"/>
  <c r="A374" i="17"/>
  <c r="A373" i="17"/>
  <c r="A372" i="17"/>
  <c r="A371" i="17"/>
  <c r="A370" i="17"/>
  <c r="A369" i="17"/>
  <c r="A368" i="17"/>
  <c r="A367" i="17"/>
  <c r="A366" i="17"/>
  <c r="A365" i="17"/>
  <c r="A364" i="17"/>
  <c r="A363" i="17"/>
  <c r="A362" i="17"/>
  <c r="A361" i="17"/>
  <c r="A360" i="17"/>
  <c r="A359" i="17"/>
  <c r="A358" i="17"/>
  <c r="A357" i="17"/>
  <c r="A356" i="17"/>
  <c r="A355" i="17"/>
  <c r="A354" i="17"/>
  <c r="A353" i="17"/>
  <c r="A352" i="17"/>
  <c r="A351" i="17"/>
  <c r="A350" i="17"/>
  <c r="A349" i="17"/>
  <c r="A348" i="17"/>
  <c r="A347" i="17"/>
  <c r="A346" i="17"/>
  <c r="A345" i="17"/>
  <c r="A344" i="17"/>
  <c r="A343" i="17"/>
  <c r="A342" i="17"/>
  <c r="A341" i="17"/>
  <c r="A340" i="17"/>
  <c r="A339" i="17"/>
  <c r="A338" i="17"/>
  <c r="A337" i="17"/>
  <c r="A336" i="17"/>
  <c r="A335" i="17"/>
  <c r="A334" i="17"/>
  <c r="A333" i="17"/>
  <c r="A332" i="17"/>
  <c r="A331" i="17"/>
  <c r="A330" i="17"/>
  <c r="A329" i="17"/>
  <c r="A328" i="17"/>
  <c r="A327" i="17"/>
  <c r="A326" i="17"/>
  <c r="A325" i="17"/>
  <c r="A324" i="17"/>
  <c r="A323" i="17"/>
  <c r="A322" i="17"/>
  <c r="A321" i="17"/>
  <c r="A320" i="17"/>
  <c r="A319" i="17"/>
  <c r="A318" i="17"/>
  <c r="A317" i="17"/>
  <c r="A316" i="17"/>
  <c r="A315" i="17"/>
  <c r="A314" i="17"/>
  <c r="A313" i="17"/>
  <c r="A312" i="17"/>
  <c r="A311" i="17"/>
  <c r="A310" i="17"/>
  <c r="A309" i="17"/>
  <c r="A308" i="17"/>
  <c r="A307" i="17"/>
  <c r="A306" i="17"/>
  <c r="A305" i="17"/>
  <c r="A304" i="17"/>
  <c r="A303" i="17"/>
  <c r="A302" i="17"/>
  <c r="A301" i="17"/>
  <c r="A300" i="17"/>
  <c r="A299" i="17"/>
  <c r="A298" i="17"/>
  <c r="A297" i="17"/>
  <c r="A296" i="17"/>
  <c r="A295" i="17"/>
  <c r="A294" i="17"/>
  <c r="A293" i="17"/>
  <c r="A292" i="17"/>
  <c r="A291" i="17"/>
  <c r="A290" i="17"/>
  <c r="A289" i="17"/>
  <c r="A288" i="17"/>
  <c r="A287" i="17"/>
  <c r="A286" i="17"/>
  <c r="A285" i="17"/>
  <c r="A284" i="17"/>
  <c r="A283" i="17"/>
  <c r="A282" i="17"/>
  <c r="A281" i="17"/>
  <c r="A280" i="17"/>
  <c r="A279" i="17"/>
  <c r="A278" i="17"/>
  <c r="A277" i="17"/>
  <c r="A276" i="17"/>
  <c r="A275" i="17"/>
  <c r="A274" i="17"/>
  <c r="A273" i="17"/>
  <c r="A272" i="17"/>
  <c r="A271" i="17"/>
  <c r="A270" i="17"/>
  <c r="A269" i="17"/>
  <c r="A268" i="17"/>
  <c r="A267" i="17"/>
  <c r="A266" i="17"/>
  <c r="A265" i="17"/>
  <c r="A264" i="17"/>
  <c r="A263" i="17"/>
  <c r="A262" i="17"/>
  <c r="A261" i="17"/>
  <c r="A260" i="17"/>
  <c r="A259" i="17"/>
  <c r="A258" i="17"/>
  <c r="A257" i="17"/>
  <c r="A256" i="17"/>
  <c r="A255" i="17"/>
  <c r="A254" i="17"/>
  <c r="A253" i="17"/>
  <c r="A252" i="17"/>
  <c r="A251" i="17"/>
  <c r="A250" i="17"/>
  <c r="A249" i="17"/>
  <c r="A248" i="17"/>
  <c r="A247" i="17"/>
  <c r="A246" i="17"/>
  <c r="A245" i="17"/>
  <c r="A244" i="17"/>
  <c r="A243" i="17"/>
  <c r="A242" i="17"/>
  <c r="A241" i="17"/>
  <c r="A240" i="17"/>
  <c r="A239" i="17"/>
  <c r="A238" i="17"/>
  <c r="A237" i="17"/>
  <c r="A236" i="17"/>
  <c r="A235" i="17"/>
  <c r="A234" i="17"/>
  <c r="A233" i="17"/>
  <c r="A232" i="17"/>
  <c r="A231" i="17"/>
  <c r="A230" i="17"/>
  <c r="A229" i="17"/>
  <c r="A228" i="17"/>
  <c r="A227" i="17"/>
  <c r="A226" i="17"/>
  <c r="A225" i="17"/>
  <c r="A224" i="17"/>
  <c r="A223" i="17"/>
  <c r="A222" i="17"/>
  <c r="A221" i="17"/>
  <c r="A220" i="17"/>
  <c r="A219" i="17"/>
  <c r="A218" i="17"/>
  <c r="A217" i="17"/>
  <c r="A216" i="17"/>
  <c r="A215" i="17"/>
  <c r="A214" i="17"/>
  <c r="A213" i="17"/>
  <c r="A212" i="17"/>
  <c r="A211" i="17"/>
  <c r="A210" i="17"/>
  <c r="A209" i="17"/>
  <c r="A208" i="17"/>
  <c r="A207" i="17"/>
  <c r="A206" i="17"/>
  <c r="A205" i="17"/>
  <c r="A204" i="17"/>
  <c r="A203" i="17"/>
  <c r="A202" i="17"/>
  <c r="A201" i="17"/>
  <c r="A200" i="17"/>
  <c r="A199" i="17"/>
  <c r="A198" i="17"/>
  <c r="A197" i="17"/>
  <c r="A196" i="17"/>
  <c r="A195" i="17"/>
  <c r="A194" i="17"/>
  <c r="A193" i="17"/>
  <c r="A192" i="17"/>
  <c r="A191" i="17"/>
  <c r="A190" i="17"/>
  <c r="A189" i="17"/>
  <c r="AM188" i="17"/>
  <c r="AL188" i="17"/>
  <c r="AK188" i="17"/>
  <c r="AJ188" i="17"/>
  <c r="AI188" i="17"/>
  <c r="AH188" i="17"/>
  <c r="U188" i="17"/>
  <c r="T188" i="17"/>
  <c r="S188" i="17"/>
  <c r="R188" i="17"/>
  <c r="Q188" i="17"/>
  <c r="P188" i="17"/>
  <c r="O188" i="17"/>
  <c r="N188" i="17"/>
  <c r="M188" i="17"/>
  <c r="J188" i="17"/>
  <c r="I188" i="17"/>
  <c r="H188" i="17"/>
  <c r="G188" i="17"/>
  <c r="F188" i="17"/>
  <c r="E188" i="17"/>
  <c r="D188" i="17"/>
  <c r="C188" i="17"/>
  <c r="B188" i="17"/>
  <c r="AM187" i="17"/>
  <c r="AL187" i="17"/>
  <c r="AK187" i="17"/>
  <c r="AJ187" i="17"/>
  <c r="AI187" i="17"/>
  <c r="AH187" i="17"/>
  <c r="U187" i="17"/>
  <c r="T187" i="17"/>
  <c r="S187" i="17"/>
  <c r="R187" i="17"/>
  <c r="Q187" i="17"/>
  <c r="P187" i="17"/>
  <c r="O187" i="17"/>
  <c r="N187" i="17"/>
  <c r="M187" i="17"/>
  <c r="J187" i="17"/>
  <c r="I187" i="17"/>
  <c r="H187" i="17"/>
  <c r="G187" i="17"/>
  <c r="F187" i="17"/>
  <c r="E187" i="17"/>
  <c r="D187" i="17"/>
  <c r="C187" i="17"/>
  <c r="B187" i="17"/>
  <c r="AM186" i="17"/>
  <c r="AL186" i="17"/>
  <c r="AK186" i="17"/>
  <c r="AJ186" i="17"/>
  <c r="AI186" i="17"/>
  <c r="AH186" i="17"/>
  <c r="U186" i="17"/>
  <c r="T186" i="17"/>
  <c r="S186" i="17"/>
  <c r="R186" i="17"/>
  <c r="Q186" i="17"/>
  <c r="P186" i="17"/>
  <c r="O186" i="17"/>
  <c r="N186" i="17"/>
  <c r="M186" i="17"/>
  <c r="J186" i="17"/>
  <c r="I186" i="17"/>
  <c r="H186" i="17"/>
  <c r="G186" i="17"/>
  <c r="F186" i="17"/>
  <c r="E186" i="17"/>
  <c r="D186" i="17"/>
  <c r="C186" i="17"/>
  <c r="B186" i="17"/>
  <c r="AM185" i="17"/>
  <c r="AL185" i="17"/>
  <c r="AK185" i="17"/>
  <c r="AJ185" i="17"/>
  <c r="AI185" i="17"/>
  <c r="AH185" i="17"/>
  <c r="U185" i="17"/>
  <c r="T185" i="17"/>
  <c r="S185" i="17"/>
  <c r="R185" i="17"/>
  <c r="Q185" i="17"/>
  <c r="P185" i="17"/>
  <c r="O185" i="17"/>
  <c r="N185" i="17"/>
  <c r="M185" i="17"/>
  <c r="J185" i="17"/>
  <c r="I185" i="17"/>
  <c r="H185" i="17"/>
  <c r="G185" i="17"/>
  <c r="F185" i="17"/>
  <c r="E185" i="17"/>
  <c r="D185" i="17"/>
  <c r="C185" i="17"/>
  <c r="B185" i="17"/>
  <c r="AM184" i="17"/>
  <c r="AL184" i="17"/>
  <c r="AK184" i="17"/>
  <c r="AJ184" i="17"/>
  <c r="AI184" i="17"/>
  <c r="AH184" i="17"/>
  <c r="U184" i="17"/>
  <c r="T184" i="17"/>
  <c r="S184" i="17"/>
  <c r="R184" i="17"/>
  <c r="Q184" i="17"/>
  <c r="P184" i="17"/>
  <c r="O184" i="17"/>
  <c r="N184" i="17"/>
  <c r="M184" i="17"/>
  <c r="J184" i="17"/>
  <c r="I184" i="17"/>
  <c r="H184" i="17"/>
  <c r="G184" i="17"/>
  <c r="F184" i="17"/>
  <c r="E184" i="17"/>
  <c r="D184" i="17"/>
  <c r="C184" i="17"/>
  <c r="B184" i="17"/>
  <c r="AM183" i="17"/>
  <c r="AL183" i="17"/>
  <c r="AK183" i="17"/>
  <c r="AJ183" i="17"/>
  <c r="AI183" i="17"/>
  <c r="AH183" i="17"/>
  <c r="U183" i="17"/>
  <c r="T183" i="17"/>
  <c r="S183" i="17"/>
  <c r="R183" i="17"/>
  <c r="Q183" i="17"/>
  <c r="P183" i="17"/>
  <c r="O183" i="17"/>
  <c r="N183" i="17"/>
  <c r="M183" i="17"/>
  <c r="J183" i="17"/>
  <c r="I183" i="17"/>
  <c r="H183" i="17"/>
  <c r="G183" i="17"/>
  <c r="F183" i="17"/>
  <c r="E183" i="17"/>
  <c r="D183" i="17"/>
  <c r="C183" i="17"/>
  <c r="B183" i="17"/>
  <c r="AM182" i="17"/>
  <c r="AL182" i="17"/>
  <c r="AK182" i="17"/>
  <c r="AJ182" i="17"/>
  <c r="AI182" i="17"/>
  <c r="AH182" i="17"/>
  <c r="U182" i="17"/>
  <c r="T182" i="17"/>
  <c r="S182" i="17"/>
  <c r="R182" i="17"/>
  <c r="Q182" i="17"/>
  <c r="P182" i="17"/>
  <c r="O182" i="17"/>
  <c r="N182" i="17"/>
  <c r="M182" i="17"/>
  <c r="J182" i="17"/>
  <c r="I182" i="17"/>
  <c r="H182" i="17"/>
  <c r="G182" i="17"/>
  <c r="F182" i="17"/>
  <c r="E182" i="17"/>
  <c r="D182" i="17"/>
  <c r="C182" i="17"/>
  <c r="B182" i="17"/>
  <c r="AM181" i="17"/>
  <c r="AL181" i="17"/>
  <c r="AK181" i="17"/>
  <c r="AJ181" i="17"/>
  <c r="AI181" i="17"/>
  <c r="AH181" i="17"/>
  <c r="U181" i="17"/>
  <c r="T181" i="17"/>
  <c r="S181" i="17"/>
  <c r="R181" i="17"/>
  <c r="Q181" i="17"/>
  <c r="P181" i="17"/>
  <c r="O181" i="17"/>
  <c r="N181" i="17"/>
  <c r="M181" i="17"/>
  <c r="J181" i="17"/>
  <c r="I181" i="17"/>
  <c r="H181" i="17"/>
  <c r="G181" i="17"/>
  <c r="F181" i="17"/>
  <c r="E181" i="17"/>
  <c r="D181" i="17"/>
  <c r="C181" i="17"/>
  <c r="B181" i="17"/>
  <c r="AM180" i="17"/>
  <c r="AL180" i="17"/>
  <c r="AK180" i="17"/>
  <c r="AJ180" i="17"/>
  <c r="AI180" i="17"/>
  <c r="AH180" i="17"/>
  <c r="U180" i="17"/>
  <c r="T180" i="17"/>
  <c r="S180" i="17"/>
  <c r="R180" i="17"/>
  <c r="Q180" i="17"/>
  <c r="P180" i="17"/>
  <c r="O180" i="17"/>
  <c r="N180" i="17"/>
  <c r="M180" i="17"/>
  <c r="J180" i="17"/>
  <c r="I180" i="17"/>
  <c r="H180" i="17"/>
  <c r="G180" i="17"/>
  <c r="F180" i="17"/>
  <c r="E180" i="17"/>
  <c r="D180" i="17"/>
  <c r="C180" i="17"/>
  <c r="B180" i="17"/>
  <c r="AM179" i="17"/>
  <c r="AL179" i="17"/>
  <c r="AK179" i="17"/>
  <c r="AJ179" i="17"/>
  <c r="AI179" i="17"/>
  <c r="AH179" i="17"/>
  <c r="U179" i="17"/>
  <c r="T179" i="17"/>
  <c r="S179" i="17"/>
  <c r="R179" i="17"/>
  <c r="Q179" i="17"/>
  <c r="P179" i="17"/>
  <c r="O179" i="17"/>
  <c r="N179" i="17"/>
  <c r="M179" i="17"/>
  <c r="J179" i="17"/>
  <c r="I179" i="17"/>
  <c r="H179" i="17"/>
  <c r="G179" i="17"/>
  <c r="F179" i="17"/>
  <c r="E179" i="17"/>
  <c r="D179" i="17"/>
  <c r="C179" i="17"/>
  <c r="B179" i="17"/>
  <c r="AM178" i="17"/>
  <c r="AL178" i="17"/>
  <c r="AK178" i="17"/>
  <c r="AJ178" i="17"/>
  <c r="AI178" i="17"/>
  <c r="AH178" i="17"/>
  <c r="U178" i="17"/>
  <c r="T178" i="17"/>
  <c r="S178" i="17"/>
  <c r="R178" i="17"/>
  <c r="Q178" i="17"/>
  <c r="P178" i="17"/>
  <c r="O178" i="17"/>
  <c r="N178" i="17"/>
  <c r="M178" i="17"/>
  <c r="J178" i="17"/>
  <c r="I178" i="17"/>
  <c r="H178" i="17"/>
  <c r="G178" i="17"/>
  <c r="F178" i="17"/>
  <c r="E178" i="17"/>
  <c r="D178" i="17"/>
  <c r="C178" i="17"/>
  <c r="B178" i="17"/>
  <c r="AM177" i="17"/>
  <c r="AL177" i="17"/>
  <c r="AK177" i="17"/>
  <c r="AJ177" i="17"/>
  <c r="AI177" i="17"/>
  <c r="AH177" i="17"/>
  <c r="U177" i="17"/>
  <c r="T177" i="17"/>
  <c r="S177" i="17"/>
  <c r="R177" i="17"/>
  <c r="Q177" i="17"/>
  <c r="P177" i="17"/>
  <c r="O177" i="17"/>
  <c r="N177" i="17"/>
  <c r="M177" i="17"/>
  <c r="J177" i="17"/>
  <c r="I177" i="17"/>
  <c r="H177" i="17"/>
  <c r="G177" i="17"/>
  <c r="F177" i="17"/>
  <c r="E177" i="17"/>
  <c r="D177" i="17"/>
  <c r="C177" i="17"/>
  <c r="B177" i="17"/>
  <c r="AM176" i="17"/>
  <c r="AL176" i="17"/>
  <c r="AK176" i="17"/>
  <c r="AJ176" i="17"/>
  <c r="AI176" i="17"/>
  <c r="AH176" i="17"/>
  <c r="U176" i="17"/>
  <c r="T176" i="17"/>
  <c r="S176" i="17"/>
  <c r="R176" i="17"/>
  <c r="Q176" i="17"/>
  <c r="P176" i="17"/>
  <c r="O176" i="17"/>
  <c r="N176" i="17"/>
  <c r="M176" i="17"/>
  <c r="J176" i="17"/>
  <c r="I176" i="17"/>
  <c r="H176" i="17"/>
  <c r="G176" i="17"/>
  <c r="F176" i="17"/>
  <c r="E176" i="17"/>
  <c r="D176" i="17"/>
  <c r="C176" i="17"/>
  <c r="B176" i="17"/>
  <c r="AM175" i="17"/>
  <c r="AL175" i="17"/>
  <c r="AK175" i="17"/>
  <c r="AJ175" i="17"/>
  <c r="AI175" i="17"/>
  <c r="AH175" i="17"/>
  <c r="U175" i="17"/>
  <c r="T175" i="17"/>
  <c r="S175" i="17"/>
  <c r="R175" i="17"/>
  <c r="Q175" i="17"/>
  <c r="P175" i="17"/>
  <c r="O175" i="17"/>
  <c r="N175" i="17"/>
  <c r="M175" i="17"/>
  <c r="J175" i="17"/>
  <c r="I175" i="17"/>
  <c r="H175" i="17"/>
  <c r="G175" i="17"/>
  <c r="F175" i="17"/>
  <c r="E175" i="17"/>
  <c r="D175" i="17"/>
  <c r="C175" i="17"/>
  <c r="B175" i="17"/>
  <c r="AM174" i="17"/>
  <c r="AL174" i="17"/>
  <c r="AK174" i="17"/>
  <c r="AJ174" i="17"/>
  <c r="AI174" i="17"/>
  <c r="AH174" i="17"/>
  <c r="U174" i="17"/>
  <c r="T174" i="17"/>
  <c r="S174" i="17"/>
  <c r="R174" i="17"/>
  <c r="Q174" i="17"/>
  <c r="P174" i="17"/>
  <c r="O174" i="17"/>
  <c r="N174" i="17"/>
  <c r="M174" i="17"/>
  <c r="J174" i="17"/>
  <c r="I174" i="17"/>
  <c r="H174" i="17"/>
  <c r="G174" i="17"/>
  <c r="F174" i="17"/>
  <c r="E174" i="17"/>
  <c r="D174" i="17"/>
  <c r="C174" i="17"/>
  <c r="B174" i="17"/>
  <c r="AM173" i="17"/>
  <c r="AL173" i="17"/>
  <c r="AK173" i="17"/>
  <c r="AJ173" i="17"/>
  <c r="AI173" i="17"/>
  <c r="AH173" i="17"/>
  <c r="U173" i="17"/>
  <c r="T173" i="17"/>
  <c r="S173" i="17"/>
  <c r="R173" i="17"/>
  <c r="Q173" i="17"/>
  <c r="P173" i="17"/>
  <c r="O173" i="17"/>
  <c r="N173" i="17"/>
  <c r="M173" i="17"/>
  <c r="J173" i="17"/>
  <c r="I173" i="17"/>
  <c r="H173" i="17"/>
  <c r="G173" i="17"/>
  <c r="F173" i="17"/>
  <c r="E173" i="17"/>
  <c r="D173" i="17"/>
  <c r="C173" i="17"/>
  <c r="B173" i="17"/>
  <c r="AM172" i="17"/>
  <c r="AL172" i="17"/>
  <c r="AK172" i="17"/>
  <c r="AJ172" i="17"/>
  <c r="AI172" i="17"/>
  <c r="AH172" i="17"/>
  <c r="U172" i="17"/>
  <c r="T172" i="17"/>
  <c r="S172" i="17"/>
  <c r="R172" i="17"/>
  <c r="Q172" i="17"/>
  <c r="P172" i="17"/>
  <c r="O172" i="17"/>
  <c r="N172" i="17"/>
  <c r="M172" i="17"/>
  <c r="J172" i="17"/>
  <c r="I172" i="17"/>
  <c r="H172" i="17"/>
  <c r="G172" i="17"/>
  <c r="F172" i="17"/>
  <c r="E172" i="17"/>
  <c r="D172" i="17"/>
  <c r="C172" i="17"/>
  <c r="B172" i="17"/>
  <c r="AM171" i="17"/>
  <c r="AL171" i="17"/>
  <c r="AK171" i="17"/>
  <c r="AJ171" i="17"/>
  <c r="AI171" i="17"/>
  <c r="AH171" i="17"/>
  <c r="U171" i="17"/>
  <c r="T171" i="17"/>
  <c r="S171" i="17"/>
  <c r="R171" i="17"/>
  <c r="Q171" i="17"/>
  <c r="P171" i="17"/>
  <c r="O171" i="17"/>
  <c r="N171" i="17"/>
  <c r="M171" i="17"/>
  <c r="J171" i="17"/>
  <c r="I171" i="17"/>
  <c r="H171" i="17"/>
  <c r="G171" i="17"/>
  <c r="F171" i="17"/>
  <c r="E171" i="17"/>
  <c r="D171" i="17"/>
  <c r="C171" i="17"/>
  <c r="B171" i="17"/>
  <c r="AM170" i="17"/>
  <c r="AL170" i="17"/>
  <c r="AK170" i="17"/>
  <c r="AJ170" i="17"/>
  <c r="AI170" i="17"/>
  <c r="AH170" i="17"/>
  <c r="U170" i="17"/>
  <c r="T170" i="17"/>
  <c r="S170" i="17"/>
  <c r="R170" i="17"/>
  <c r="Q170" i="17"/>
  <c r="P170" i="17"/>
  <c r="O170" i="17"/>
  <c r="N170" i="17"/>
  <c r="M170" i="17"/>
  <c r="J170" i="17"/>
  <c r="I170" i="17"/>
  <c r="H170" i="17"/>
  <c r="G170" i="17"/>
  <c r="F170" i="17"/>
  <c r="E170" i="17"/>
  <c r="D170" i="17"/>
  <c r="C170" i="17"/>
  <c r="B170" i="17"/>
  <c r="AM169" i="17"/>
  <c r="AL169" i="17"/>
  <c r="AK169" i="17"/>
  <c r="AJ169" i="17"/>
  <c r="AI169" i="17"/>
  <c r="AH169" i="17"/>
  <c r="U169" i="17"/>
  <c r="T169" i="17"/>
  <c r="S169" i="17"/>
  <c r="R169" i="17"/>
  <c r="Q169" i="17"/>
  <c r="P169" i="17"/>
  <c r="O169" i="17"/>
  <c r="N169" i="17"/>
  <c r="M169" i="17"/>
  <c r="J169" i="17"/>
  <c r="I169" i="17"/>
  <c r="H169" i="17"/>
  <c r="G169" i="17"/>
  <c r="F169" i="17"/>
  <c r="E169" i="17"/>
  <c r="D169" i="17"/>
  <c r="C169" i="17"/>
  <c r="B169" i="17"/>
  <c r="AM168" i="17"/>
  <c r="AL168" i="17"/>
  <c r="AK168" i="17"/>
  <c r="AJ168" i="17"/>
  <c r="AI168" i="17"/>
  <c r="AH168" i="17"/>
  <c r="U168" i="17"/>
  <c r="T168" i="17"/>
  <c r="S168" i="17"/>
  <c r="R168" i="17"/>
  <c r="Q168" i="17"/>
  <c r="P168" i="17"/>
  <c r="O168" i="17"/>
  <c r="N168" i="17"/>
  <c r="M168" i="17"/>
  <c r="J168" i="17"/>
  <c r="I168" i="17"/>
  <c r="H168" i="17"/>
  <c r="G168" i="17"/>
  <c r="F168" i="17"/>
  <c r="E168" i="17"/>
  <c r="D168" i="17"/>
  <c r="C168" i="17"/>
  <c r="B168" i="17"/>
  <c r="AM167" i="17"/>
  <c r="AL167" i="17"/>
  <c r="AK167" i="17"/>
  <c r="AJ167" i="17"/>
  <c r="AI167" i="17"/>
  <c r="AH167" i="17"/>
  <c r="U167" i="17"/>
  <c r="T167" i="17"/>
  <c r="S167" i="17"/>
  <c r="R167" i="17"/>
  <c r="Q167" i="17"/>
  <c r="P167" i="17"/>
  <c r="O167" i="17"/>
  <c r="N167" i="17"/>
  <c r="M167" i="17"/>
  <c r="J167" i="17"/>
  <c r="I167" i="17"/>
  <c r="H167" i="17"/>
  <c r="G167" i="17"/>
  <c r="F167" i="17"/>
  <c r="E167" i="17"/>
  <c r="D167" i="17"/>
  <c r="C167" i="17"/>
  <c r="B167" i="17"/>
  <c r="AM166" i="17"/>
  <c r="AL166" i="17"/>
  <c r="AK166" i="17"/>
  <c r="AJ166" i="17"/>
  <c r="AI166" i="17"/>
  <c r="AH166" i="17"/>
  <c r="U166" i="17"/>
  <c r="T166" i="17"/>
  <c r="S166" i="17"/>
  <c r="R166" i="17"/>
  <c r="Q166" i="17"/>
  <c r="P166" i="17"/>
  <c r="O166" i="17"/>
  <c r="N166" i="17"/>
  <c r="M166" i="17"/>
  <c r="J166" i="17"/>
  <c r="I166" i="17"/>
  <c r="H166" i="17"/>
  <c r="G166" i="17"/>
  <c r="F166" i="17"/>
  <c r="E166" i="17"/>
  <c r="D166" i="17"/>
  <c r="C166" i="17"/>
  <c r="B166" i="17"/>
  <c r="AM165" i="17"/>
  <c r="AL165" i="17"/>
  <c r="AK165" i="17"/>
  <c r="AJ165" i="17"/>
  <c r="AI165" i="17"/>
  <c r="AH165" i="17"/>
  <c r="U165" i="17"/>
  <c r="T165" i="17"/>
  <c r="S165" i="17"/>
  <c r="R165" i="17"/>
  <c r="Q165" i="17"/>
  <c r="P165" i="17"/>
  <c r="O165" i="17"/>
  <c r="N165" i="17"/>
  <c r="M165" i="17"/>
  <c r="J165" i="17"/>
  <c r="I165" i="17"/>
  <c r="H165" i="17"/>
  <c r="G165" i="17"/>
  <c r="F165" i="17"/>
  <c r="E165" i="17"/>
  <c r="D165" i="17"/>
  <c r="C165" i="17"/>
  <c r="B165" i="17"/>
  <c r="AM164" i="17"/>
  <c r="AL164" i="17"/>
  <c r="AK164" i="17"/>
  <c r="AJ164" i="17"/>
  <c r="AI164" i="17"/>
  <c r="AH164" i="17"/>
  <c r="U164" i="17"/>
  <c r="T164" i="17"/>
  <c r="S164" i="17"/>
  <c r="R164" i="17"/>
  <c r="Q164" i="17"/>
  <c r="P164" i="17"/>
  <c r="O164" i="17"/>
  <c r="N164" i="17"/>
  <c r="M164" i="17"/>
  <c r="J164" i="17"/>
  <c r="I164" i="17"/>
  <c r="H164" i="17"/>
  <c r="G164" i="17"/>
  <c r="F164" i="17"/>
  <c r="E164" i="17"/>
  <c r="D164" i="17"/>
  <c r="C164" i="17"/>
  <c r="B164" i="17"/>
  <c r="AM163" i="17"/>
  <c r="AL163" i="17"/>
  <c r="AK163" i="17"/>
  <c r="AJ163" i="17"/>
  <c r="AI163" i="17"/>
  <c r="AH163" i="17"/>
  <c r="U163" i="17"/>
  <c r="T163" i="17"/>
  <c r="S163" i="17"/>
  <c r="R163" i="17"/>
  <c r="Q163" i="17"/>
  <c r="P163" i="17"/>
  <c r="O163" i="17"/>
  <c r="N163" i="17"/>
  <c r="M163" i="17"/>
  <c r="J163" i="17"/>
  <c r="I163" i="17"/>
  <c r="H163" i="17"/>
  <c r="G163" i="17"/>
  <c r="F163" i="17"/>
  <c r="E163" i="17"/>
  <c r="D163" i="17"/>
  <c r="C163" i="17"/>
  <c r="B163" i="17"/>
  <c r="AM162" i="17"/>
  <c r="AL162" i="17"/>
  <c r="AK162" i="17"/>
  <c r="AJ162" i="17"/>
  <c r="AI162" i="17"/>
  <c r="AH162" i="17"/>
  <c r="U162" i="17"/>
  <c r="T162" i="17"/>
  <c r="S162" i="17"/>
  <c r="R162" i="17"/>
  <c r="Q162" i="17"/>
  <c r="P162" i="17"/>
  <c r="O162" i="17"/>
  <c r="N162" i="17"/>
  <c r="M162" i="17"/>
  <c r="J162" i="17"/>
  <c r="I162" i="17"/>
  <c r="H162" i="17"/>
  <c r="G162" i="17"/>
  <c r="F162" i="17"/>
  <c r="E162" i="17"/>
  <c r="D162" i="17"/>
  <c r="C162" i="17"/>
  <c r="B162" i="17"/>
  <c r="AM161" i="17"/>
  <c r="AL161" i="17"/>
  <c r="AK161" i="17"/>
  <c r="AJ161" i="17"/>
  <c r="AI161" i="17"/>
  <c r="AH161" i="17"/>
  <c r="U161" i="17"/>
  <c r="T161" i="17"/>
  <c r="S161" i="17"/>
  <c r="R161" i="17"/>
  <c r="Q161" i="17"/>
  <c r="P161" i="17"/>
  <c r="O161" i="17"/>
  <c r="N161" i="17"/>
  <c r="M161" i="17"/>
  <c r="J161" i="17"/>
  <c r="I161" i="17"/>
  <c r="H161" i="17"/>
  <c r="G161" i="17"/>
  <c r="F161" i="17"/>
  <c r="E161" i="17"/>
  <c r="D161" i="17"/>
  <c r="C161" i="17"/>
  <c r="B161" i="17"/>
  <c r="AM160" i="17"/>
  <c r="AL160" i="17"/>
  <c r="AK160" i="17"/>
  <c r="AJ160" i="17"/>
  <c r="AI160" i="17"/>
  <c r="AH160" i="17"/>
  <c r="U160" i="17"/>
  <c r="T160" i="17"/>
  <c r="S160" i="17"/>
  <c r="R160" i="17"/>
  <c r="Q160" i="17"/>
  <c r="P160" i="17"/>
  <c r="O160" i="17"/>
  <c r="N160" i="17"/>
  <c r="M160" i="17"/>
  <c r="J160" i="17"/>
  <c r="I160" i="17"/>
  <c r="H160" i="17"/>
  <c r="G160" i="17"/>
  <c r="F160" i="17"/>
  <c r="E160" i="17"/>
  <c r="D160" i="17"/>
  <c r="C160" i="17"/>
  <c r="B160" i="17"/>
  <c r="AM159" i="17"/>
  <c r="AL159" i="17"/>
  <c r="AK159" i="17"/>
  <c r="AJ159" i="17"/>
  <c r="AI159" i="17"/>
  <c r="AH159" i="17"/>
  <c r="Y159" i="17"/>
  <c r="U159" i="17"/>
  <c r="T159" i="17"/>
  <c r="S159" i="17"/>
  <c r="R159" i="17"/>
  <c r="Q159" i="17"/>
  <c r="P159" i="17"/>
  <c r="O159" i="17"/>
  <c r="N159" i="17"/>
  <c r="M159" i="17"/>
  <c r="J159" i="17"/>
  <c r="I159" i="17"/>
  <c r="H159" i="17"/>
  <c r="G159" i="17"/>
  <c r="F159" i="17"/>
  <c r="E159" i="17"/>
  <c r="D159" i="17"/>
  <c r="C159" i="17"/>
  <c r="B159" i="17"/>
  <c r="AM158" i="17"/>
  <c r="AL158" i="17"/>
  <c r="AK158" i="17"/>
  <c r="AJ158" i="17"/>
  <c r="AI158" i="17"/>
  <c r="AH158" i="17"/>
  <c r="Y158" i="17"/>
  <c r="U158" i="17"/>
  <c r="T158" i="17"/>
  <c r="S158" i="17"/>
  <c r="R158" i="17"/>
  <c r="Q158" i="17"/>
  <c r="P158" i="17"/>
  <c r="O158" i="17"/>
  <c r="N158" i="17"/>
  <c r="M158" i="17"/>
  <c r="J158" i="17"/>
  <c r="I158" i="17"/>
  <c r="H158" i="17"/>
  <c r="G158" i="17"/>
  <c r="F158" i="17"/>
  <c r="E158" i="17"/>
  <c r="D158" i="17"/>
  <c r="C158" i="17"/>
  <c r="B158" i="17"/>
  <c r="AM157" i="17"/>
  <c r="AL157" i="17"/>
  <c r="AK157" i="17"/>
  <c r="AJ157" i="17"/>
  <c r="AI157" i="17"/>
  <c r="AH157" i="17"/>
  <c r="Y157" i="17"/>
  <c r="U157" i="17"/>
  <c r="T157" i="17"/>
  <c r="S157" i="17"/>
  <c r="R157" i="17"/>
  <c r="Q157" i="17"/>
  <c r="P157" i="17"/>
  <c r="O157" i="17"/>
  <c r="N157" i="17"/>
  <c r="M157" i="17"/>
  <c r="J157" i="17"/>
  <c r="I157" i="17"/>
  <c r="H157" i="17"/>
  <c r="G157" i="17"/>
  <c r="F157" i="17"/>
  <c r="E157" i="17"/>
  <c r="D157" i="17"/>
  <c r="C157" i="17"/>
  <c r="B157" i="17"/>
  <c r="AM156" i="17"/>
  <c r="AL156" i="17"/>
  <c r="AK156" i="17"/>
  <c r="AJ156" i="17"/>
  <c r="AI156" i="17"/>
  <c r="AH156" i="17"/>
  <c r="Y156" i="17"/>
  <c r="U156" i="17"/>
  <c r="T156" i="17"/>
  <c r="S156" i="17"/>
  <c r="R156" i="17"/>
  <c r="Q156" i="17"/>
  <c r="P156" i="17"/>
  <c r="O156" i="17"/>
  <c r="N156" i="17"/>
  <c r="M156" i="17"/>
  <c r="J156" i="17"/>
  <c r="I156" i="17"/>
  <c r="H156" i="17"/>
  <c r="G156" i="17"/>
  <c r="F156" i="17"/>
  <c r="E156" i="17"/>
  <c r="D156" i="17"/>
  <c r="C156" i="17"/>
  <c r="B156" i="17"/>
  <c r="AM155" i="17"/>
  <c r="AL155" i="17"/>
  <c r="AK155" i="17"/>
  <c r="AJ155" i="17"/>
  <c r="AI155" i="17"/>
  <c r="AH155" i="17"/>
  <c r="Y155" i="17"/>
  <c r="U155" i="17"/>
  <c r="T155" i="17"/>
  <c r="S155" i="17"/>
  <c r="R155" i="17"/>
  <c r="Q155" i="17"/>
  <c r="P155" i="17"/>
  <c r="O155" i="17"/>
  <c r="N155" i="17"/>
  <c r="M155" i="17"/>
  <c r="J155" i="17"/>
  <c r="I155" i="17"/>
  <c r="H155" i="17"/>
  <c r="G155" i="17"/>
  <c r="F155" i="17"/>
  <c r="E155" i="17"/>
  <c r="D155" i="17"/>
  <c r="C155" i="17"/>
  <c r="B155" i="17"/>
  <c r="AM154" i="17"/>
  <c r="AL154" i="17"/>
  <c r="AK154" i="17"/>
  <c r="AJ154" i="17"/>
  <c r="AI154" i="17"/>
  <c r="AH154" i="17"/>
  <c r="Y154" i="17"/>
  <c r="U154" i="17"/>
  <c r="T154" i="17"/>
  <c r="S154" i="17"/>
  <c r="R154" i="17"/>
  <c r="Q154" i="17"/>
  <c r="P154" i="17"/>
  <c r="O154" i="17"/>
  <c r="N154" i="17"/>
  <c r="M154" i="17"/>
  <c r="J154" i="17"/>
  <c r="I154" i="17"/>
  <c r="H154" i="17"/>
  <c r="G154" i="17"/>
  <c r="F154" i="17"/>
  <c r="E154" i="17"/>
  <c r="D154" i="17"/>
  <c r="C154" i="17"/>
  <c r="B154" i="17"/>
  <c r="AM153" i="17"/>
  <c r="AL153" i="17"/>
  <c r="AK153" i="17"/>
  <c r="AJ153" i="17"/>
  <c r="AI153" i="17"/>
  <c r="AH153" i="17"/>
  <c r="Y153" i="17"/>
  <c r="U153" i="17"/>
  <c r="T153" i="17"/>
  <c r="S153" i="17"/>
  <c r="R153" i="17"/>
  <c r="Q153" i="17"/>
  <c r="P153" i="17"/>
  <c r="O153" i="17"/>
  <c r="N153" i="17"/>
  <c r="M153" i="17"/>
  <c r="J153" i="17"/>
  <c r="I153" i="17"/>
  <c r="H153" i="17"/>
  <c r="G153" i="17"/>
  <c r="F153" i="17"/>
  <c r="E153" i="17"/>
  <c r="D153" i="17"/>
  <c r="C153" i="17"/>
  <c r="B153" i="17"/>
  <c r="AM152" i="17"/>
  <c r="AL152" i="17"/>
  <c r="AK152" i="17"/>
  <c r="AJ152" i="17"/>
  <c r="AI152" i="17"/>
  <c r="AH152" i="17"/>
  <c r="Y152" i="17"/>
  <c r="U152" i="17"/>
  <c r="T152" i="17"/>
  <c r="S152" i="17"/>
  <c r="R152" i="17"/>
  <c r="Q152" i="17"/>
  <c r="P152" i="17"/>
  <c r="O152" i="17"/>
  <c r="N152" i="17"/>
  <c r="M152" i="17"/>
  <c r="J152" i="17"/>
  <c r="I152" i="17"/>
  <c r="H152" i="17"/>
  <c r="G152" i="17"/>
  <c r="F152" i="17"/>
  <c r="E152" i="17"/>
  <c r="D152" i="17"/>
  <c r="C152" i="17"/>
  <c r="B152" i="17"/>
  <c r="AM151" i="17"/>
  <c r="AL151" i="17"/>
  <c r="AK151" i="17"/>
  <c r="AJ151" i="17"/>
  <c r="AI151" i="17"/>
  <c r="AH151" i="17"/>
  <c r="Y151" i="17"/>
  <c r="U151" i="17"/>
  <c r="T151" i="17"/>
  <c r="S151" i="17"/>
  <c r="R151" i="17"/>
  <c r="Q151" i="17"/>
  <c r="P151" i="17"/>
  <c r="O151" i="17"/>
  <c r="N151" i="17"/>
  <c r="M151" i="17"/>
  <c r="J151" i="17"/>
  <c r="I151" i="17"/>
  <c r="H151" i="17"/>
  <c r="G151" i="17"/>
  <c r="F151" i="17"/>
  <c r="E151" i="17"/>
  <c r="D151" i="17"/>
  <c r="C151" i="17"/>
  <c r="B151" i="17"/>
  <c r="AM150" i="17"/>
  <c r="AL150" i="17"/>
  <c r="AK150" i="17"/>
  <c r="AJ150" i="17"/>
  <c r="AI150" i="17"/>
  <c r="AH150" i="17"/>
  <c r="Y150" i="17"/>
  <c r="U150" i="17"/>
  <c r="T150" i="17"/>
  <c r="S150" i="17"/>
  <c r="R150" i="17"/>
  <c r="Q150" i="17"/>
  <c r="P150" i="17"/>
  <c r="O150" i="17"/>
  <c r="N150" i="17"/>
  <c r="M150" i="17"/>
  <c r="J150" i="17"/>
  <c r="I150" i="17"/>
  <c r="H150" i="17"/>
  <c r="G150" i="17"/>
  <c r="F150" i="17"/>
  <c r="E150" i="17"/>
  <c r="D150" i="17"/>
  <c r="C150" i="17"/>
  <c r="B150" i="17"/>
  <c r="AM149" i="17"/>
  <c r="AL149" i="17"/>
  <c r="AK149" i="17"/>
  <c r="AJ149" i="17"/>
  <c r="AI149" i="17"/>
  <c r="AH149" i="17"/>
  <c r="Y149" i="17"/>
  <c r="U149" i="17"/>
  <c r="T149" i="17"/>
  <c r="S149" i="17"/>
  <c r="R149" i="17"/>
  <c r="Q149" i="17"/>
  <c r="P149" i="17"/>
  <c r="O149" i="17"/>
  <c r="N149" i="17"/>
  <c r="M149" i="17"/>
  <c r="J149" i="17"/>
  <c r="I149" i="17"/>
  <c r="H149" i="17"/>
  <c r="G149" i="17"/>
  <c r="F149" i="17"/>
  <c r="E149" i="17"/>
  <c r="D149" i="17"/>
  <c r="C149" i="17"/>
  <c r="B149" i="17"/>
  <c r="AM148" i="17"/>
  <c r="AL148" i="17"/>
  <c r="AK148" i="17"/>
  <c r="AJ148" i="17"/>
  <c r="AI148" i="17"/>
  <c r="AH148" i="17"/>
  <c r="Y148" i="17"/>
  <c r="U148" i="17"/>
  <c r="T148" i="17"/>
  <c r="S148" i="17"/>
  <c r="R148" i="17"/>
  <c r="Q148" i="17"/>
  <c r="P148" i="17"/>
  <c r="O148" i="17"/>
  <c r="N148" i="17"/>
  <c r="M148" i="17"/>
  <c r="J148" i="17"/>
  <c r="I148" i="17"/>
  <c r="H148" i="17"/>
  <c r="G148" i="17"/>
  <c r="F148" i="17"/>
  <c r="E148" i="17"/>
  <c r="D148" i="17"/>
  <c r="C148" i="17"/>
  <c r="B148" i="17"/>
  <c r="AM147" i="17"/>
  <c r="AL147" i="17"/>
  <c r="AK147" i="17"/>
  <c r="AJ147" i="17"/>
  <c r="AI147" i="17"/>
  <c r="AH147" i="17"/>
  <c r="Y147" i="17"/>
  <c r="U147" i="17"/>
  <c r="T147" i="17"/>
  <c r="S147" i="17"/>
  <c r="R147" i="17"/>
  <c r="Q147" i="17"/>
  <c r="P147" i="17"/>
  <c r="O147" i="17"/>
  <c r="N147" i="17"/>
  <c r="M147" i="17"/>
  <c r="J147" i="17"/>
  <c r="I147" i="17"/>
  <c r="H147" i="17"/>
  <c r="G147" i="17"/>
  <c r="F147" i="17"/>
  <c r="E147" i="17"/>
  <c r="D147" i="17"/>
  <c r="C147" i="17"/>
  <c r="B147" i="17"/>
  <c r="AM146" i="17"/>
  <c r="AL146" i="17"/>
  <c r="AK146" i="17"/>
  <c r="AJ146" i="17"/>
  <c r="AI146" i="17"/>
  <c r="AH146" i="17"/>
  <c r="Y146" i="17"/>
  <c r="U146" i="17"/>
  <c r="T146" i="17"/>
  <c r="S146" i="17"/>
  <c r="R146" i="17"/>
  <c r="Q146" i="17"/>
  <c r="P146" i="17"/>
  <c r="O146" i="17"/>
  <c r="N146" i="17"/>
  <c r="M146" i="17"/>
  <c r="J146" i="17"/>
  <c r="I146" i="17"/>
  <c r="H146" i="17"/>
  <c r="G146" i="17"/>
  <c r="F146" i="17"/>
  <c r="E146" i="17"/>
  <c r="D146" i="17"/>
  <c r="C146" i="17"/>
  <c r="B146" i="17"/>
  <c r="AM145" i="17"/>
  <c r="AL145" i="17"/>
  <c r="AK145" i="17"/>
  <c r="AJ145" i="17"/>
  <c r="AI145" i="17"/>
  <c r="AH145" i="17"/>
  <c r="Y145" i="17"/>
  <c r="U145" i="17"/>
  <c r="T145" i="17"/>
  <c r="S145" i="17"/>
  <c r="R145" i="17"/>
  <c r="Q145" i="17"/>
  <c r="P145" i="17"/>
  <c r="O145" i="17"/>
  <c r="N145" i="17"/>
  <c r="M145" i="17"/>
  <c r="J145" i="17"/>
  <c r="I145" i="17"/>
  <c r="H145" i="17"/>
  <c r="G145" i="17"/>
  <c r="F145" i="17"/>
  <c r="E145" i="17"/>
  <c r="D145" i="17"/>
  <c r="C145" i="17"/>
  <c r="B145" i="17"/>
  <c r="AM144" i="17"/>
  <c r="AL144" i="17"/>
  <c r="AK144" i="17"/>
  <c r="AJ144" i="17"/>
  <c r="AI144" i="17"/>
  <c r="AH144" i="17"/>
  <c r="Y144" i="17"/>
  <c r="U144" i="17"/>
  <c r="T144" i="17"/>
  <c r="S144" i="17"/>
  <c r="R144" i="17"/>
  <c r="Q144" i="17"/>
  <c r="P144" i="17"/>
  <c r="O144" i="17"/>
  <c r="N144" i="17"/>
  <c r="M144" i="17"/>
  <c r="J144" i="17"/>
  <c r="I144" i="17"/>
  <c r="H144" i="17"/>
  <c r="G144" i="17"/>
  <c r="F144" i="17"/>
  <c r="E144" i="17"/>
  <c r="D144" i="17"/>
  <c r="C144" i="17"/>
  <c r="B144" i="17"/>
  <c r="AM143" i="17"/>
  <c r="AL143" i="17"/>
  <c r="AK143" i="17"/>
  <c r="AJ143" i="17"/>
  <c r="AI143" i="17"/>
  <c r="AH143" i="17"/>
  <c r="Y143" i="17"/>
  <c r="U143" i="17"/>
  <c r="T143" i="17"/>
  <c r="S143" i="17"/>
  <c r="R143" i="17"/>
  <c r="Q143" i="17"/>
  <c r="P143" i="17"/>
  <c r="O143" i="17"/>
  <c r="N143" i="17"/>
  <c r="M143" i="17"/>
  <c r="L143" i="17"/>
  <c r="K143" i="17"/>
  <c r="J143" i="17"/>
  <c r="I143" i="17"/>
  <c r="H143" i="17"/>
  <c r="G143" i="17"/>
  <c r="F143" i="17"/>
  <c r="E143" i="17"/>
  <c r="D143" i="17"/>
  <c r="C143" i="17"/>
  <c r="B143" i="17"/>
  <c r="AM142" i="17"/>
  <c r="AL142" i="17"/>
  <c r="AK142" i="17"/>
  <c r="AJ142" i="17"/>
  <c r="AI142" i="17"/>
  <c r="AH142" i="17"/>
  <c r="Y142" i="17"/>
  <c r="T142" i="17"/>
  <c r="S142" i="17"/>
  <c r="R142" i="17"/>
  <c r="Q142" i="17"/>
  <c r="P142" i="17"/>
  <c r="O142" i="17"/>
  <c r="N142" i="17"/>
  <c r="M142" i="17"/>
  <c r="J142" i="17"/>
  <c r="I142" i="17"/>
  <c r="H142" i="17"/>
  <c r="G142" i="17"/>
  <c r="F142" i="17"/>
  <c r="E142" i="17"/>
  <c r="D142" i="17"/>
  <c r="C142" i="17"/>
  <c r="B142" i="17"/>
  <c r="AM141" i="17"/>
  <c r="AL141" i="17"/>
  <c r="AK141" i="17"/>
  <c r="AJ141" i="17"/>
  <c r="AI141" i="17"/>
  <c r="AH141" i="17"/>
  <c r="Y141" i="17"/>
  <c r="U141" i="17"/>
  <c r="T141" i="17"/>
  <c r="S141" i="17"/>
  <c r="R141" i="17"/>
  <c r="Q141" i="17"/>
  <c r="P141" i="17"/>
  <c r="O141" i="17"/>
  <c r="N141" i="17"/>
  <c r="M141" i="17"/>
  <c r="J141" i="17"/>
  <c r="I141" i="17"/>
  <c r="H141" i="17"/>
  <c r="G141" i="17"/>
  <c r="F141" i="17"/>
  <c r="E141" i="17"/>
  <c r="D141" i="17"/>
  <c r="C141" i="17"/>
  <c r="B141" i="17"/>
  <c r="AM140" i="17"/>
  <c r="AL140" i="17"/>
  <c r="AK140" i="17"/>
  <c r="AJ140" i="17"/>
  <c r="AI140" i="17"/>
  <c r="AH140" i="17"/>
  <c r="Y140" i="17"/>
  <c r="U140" i="17"/>
  <c r="T140" i="17"/>
  <c r="S140" i="17"/>
  <c r="R140" i="17"/>
  <c r="Q140" i="17"/>
  <c r="P140" i="17"/>
  <c r="O140" i="17"/>
  <c r="N140" i="17"/>
  <c r="M140" i="17"/>
  <c r="J140" i="17"/>
  <c r="I140" i="17"/>
  <c r="H140" i="17"/>
  <c r="G140" i="17"/>
  <c r="F140" i="17"/>
  <c r="E140" i="17"/>
  <c r="D140" i="17"/>
  <c r="C140" i="17"/>
  <c r="B140" i="17"/>
  <c r="AM139" i="17"/>
  <c r="AL139" i="17"/>
  <c r="AK139" i="17"/>
  <c r="AJ139" i="17"/>
  <c r="AI139" i="17"/>
  <c r="AH139" i="17"/>
  <c r="Y139" i="17"/>
  <c r="U139" i="17"/>
  <c r="T139" i="17"/>
  <c r="S139" i="17"/>
  <c r="R139" i="17"/>
  <c r="Q139" i="17"/>
  <c r="P139" i="17"/>
  <c r="O139" i="17"/>
  <c r="N139" i="17"/>
  <c r="M139" i="17"/>
  <c r="J139" i="17"/>
  <c r="I139" i="17"/>
  <c r="H139" i="17"/>
  <c r="G139" i="17"/>
  <c r="F139" i="17"/>
  <c r="E139" i="17"/>
  <c r="D139" i="17"/>
  <c r="C139" i="17"/>
  <c r="B139" i="17"/>
  <c r="AM138" i="17"/>
  <c r="AL138" i="17"/>
  <c r="AK138" i="17"/>
  <c r="AJ138" i="17"/>
  <c r="AI138" i="17"/>
  <c r="AH138" i="17"/>
  <c r="Y138" i="17"/>
  <c r="U138" i="17"/>
  <c r="T138" i="17"/>
  <c r="S138" i="17"/>
  <c r="R138" i="17"/>
  <c r="Q138" i="17"/>
  <c r="P138" i="17"/>
  <c r="O138" i="17"/>
  <c r="N138" i="17"/>
  <c r="M138" i="17"/>
  <c r="J138" i="17"/>
  <c r="I138" i="17"/>
  <c r="H138" i="17"/>
  <c r="G138" i="17"/>
  <c r="F138" i="17"/>
  <c r="E138" i="17"/>
  <c r="D138" i="17"/>
  <c r="C138" i="17"/>
  <c r="B138" i="17"/>
  <c r="AM137" i="17"/>
  <c r="AL137" i="17"/>
  <c r="AK137" i="17"/>
  <c r="AJ137" i="17"/>
  <c r="AI137" i="17"/>
  <c r="AH137" i="17"/>
  <c r="Y137" i="17"/>
  <c r="U137" i="17"/>
  <c r="T137" i="17"/>
  <c r="S137" i="17"/>
  <c r="R137" i="17"/>
  <c r="Q137" i="17"/>
  <c r="P137" i="17"/>
  <c r="O137" i="17"/>
  <c r="N137" i="17"/>
  <c r="M137" i="17"/>
  <c r="J137" i="17"/>
  <c r="I137" i="17"/>
  <c r="H137" i="17"/>
  <c r="G137" i="17"/>
  <c r="F137" i="17"/>
  <c r="E137" i="17"/>
  <c r="D137" i="17"/>
  <c r="C137" i="17"/>
  <c r="B137" i="17"/>
  <c r="AM136" i="17"/>
  <c r="AL136" i="17"/>
  <c r="AK136" i="17"/>
  <c r="AJ136" i="17"/>
  <c r="AI136" i="17"/>
  <c r="AH136" i="17"/>
  <c r="Y136" i="17"/>
  <c r="U136" i="17"/>
  <c r="T136" i="17"/>
  <c r="S136" i="17"/>
  <c r="R136" i="17"/>
  <c r="Q136" i="17"/>
  <c r="P136" i="17"/>
  <c r="O136" i="17"/>
  <c r="N136" i="17"/>
  <c r="M136" i="17"/>
  <c r="J136" i="17"/>
  <c r="I136" i="17"/>
  <c r="H136" i="17"/>
  <c r="G136" i="17"/>
  <c r="F136" i="17"/>
  <c r="E136" i="17"/>
  <c r="D136" i="17"/>
  <c r="C136" i="17"/>
  <c r="B136" i="17"/>
  <c r="AM135" i="17"/>
  <c r="AL135" i="17"/>
  <c r="AK135" i="17"/>
  <c r="AJ135" i="17"/>
  <c r="AI135" i="17"/>
  <c r="AH135" i="17"/>
  <c r="Y135" i="17"/>
  <c r="U135" i="17"/>
  <c r="T135" i="17"/>
  <c r="S135" i="17"/>
  <c r="R135" i="17"/>
  <c r="Q135" i="17"/>
  <c r="P135" i="17"/>
  <c r="O135" i="17"/>
  <c r="N135" i="17"/>
  <c r="M135" i="17"/>
  <c r="J135" i="17"/>
  <c r="I135" i="17"/>
  <c r="H135" i="17"/>
  <c r="G135" i="17"/>
  <c r="F135" i="17"/>
  <c r="E135" i="17"/>
  <c r="D135" i="17"/>
  <c r="C135" i="17"/>
  <c r="B135" i="17"/>
  <c r="AM134" i="17"/>
  <c r="AL134" i="17"/>
  <c r="AK134" i="17"/>
  <c r="AJ134" i="17"/>
  <c r="AI134" i="17"/>
  <c r="AH134" i="17"/>
  <c r="Y134" i="17"/>
  <c r="U134" i="17"/>
  <c r="T134" i="17"/>
  <c r="S134" i="17"/>
  <c r="R134" i="17"/>
  <c r="Q134" i="17"/>
  <c r="P134" i="17"/>
  <c r="O134" i="17"/>
  <c r="N134" i="17"/>
  <c r="M134" i="17"/>
  <c r="J134" i="17"/>
  <c r="I134" i="17"/>
  <c r="H134" i="17"/>
  <c r="G134" i="17"/>
  <c r="F134" i="17"/>
  <c r="E134" i="17"/>
  <c r="D134" i="17"/>
  <c r="C134" i="17"/>
  <c r="B134" i="17"/>
  <c r="AM133" i="17"/>
  <c r="AL133" i="17"/>
  <c r="AK133" i="17"/>
  <c r="AJ133" i="17"/>
  <c r="AI133" i="17"/>
  <c r="AH133" i="17"/>
  <c r="Y133" i="17"/>
  <c r="U133" i="17"/>
  <c r="T133" i="17"/>
  <c r="S133" i="17"/>
  <c r="R133" i="17"/>
  <c r="Q133" i="17"/>
  <c r="P133" i="17"/>
  <c r="O133" i="17"/>
  <c r="N133" i="17"/>
  <c r="M133" i="17"/>
  <c r="J133" i="17"/>
  <c r="I133" i="17"/>
  <c r="H133" i="17"/>
  <c r="G133" i="17"/>
  <c r="F133" i="17"/>
  <c r="E133" i="17"/>
  <c r="D133" i="17"/>
  <c r="C133" i="17"/>
  <c r="B133" i="17"/>
  <c r="AM132" i="17"/>
  <c r="AL132" i="17"/>
  <c r="AK132" i="17"/>
  <c r="AJ132" i="17"/>
  <c r="AI132" i="17"/>
  <c r="AH132" i="17"/>
  <c r="Y132" i="17"/>
  <c r="T132" i="17"/>
  <c r="S132" i="17"/>
  <c r="R132" i="17"/>
  <c r="Q132" i="17"/>
  <c r="P132" i="17"/>
  <c r="O132" i="17"/>
  <c r="N132" i="17"/>
  <c r="M132" i="17"/>
  <c r="J132" i="17"/>
  <c r="I132" i="17"/>
  <c r="H132" i="17"/>
  <c r="G132" i="17"/>
  <c r="F132" i="17"/>
  <c r="E132" i="17"/>
  <c r="D132" i="17"/>
  <c r="C132" i="17"/>
  <c r="B132" i="17"/>
  <c r="AM131" i="17"/>
  <c r="AL131" i="17"/>
  <c r="AK131" i="17"/>
  <c r="AJ131" i="17"/>
  <c r="AI131" i="17"/>
  <c r="AH131" i="17"/>
  <c r="Y131" i="17"/>
  <c r="U131" i="17"/>
  <c r="T131" i="17"/>
  <c r="S131" i="17"/>
  <c r="R131" i="17"/>
  <c r="Q131" i="17"/>
  <c r="P131" i="17"/>
  <c r="O131" i="17"/>
  <c r="N131" i="17"/>
  <c r="M131" i="17"/>
  <c r="J131" i="17"/>
  <c r="I131" i="17"/>
  <c r="H131" i="17"/>
  <c r="G131" i="17"/>
  <c r="F131" i="17"/>
  <c r="E131" i="17"/>
  <c r="D131" i="17"/>
  <c r="C131" i="17"/>
  <c r="B131" i="17"/>
  <c r="AM130" i="17"/>
  <c r="AL130" i="17"/>
  <c r="AK130" i="17"/>
  <c r="AJ130" i="17"/>
  <c r="AI130" i="17"/>
  <c r="AH130" i="17"/>
  <c r="Y130" i="17"/>
  <c r="U130" i="17"/>
  <c r="T130" i="17"/>
  <c r="S130" i="17"/>
  <c r="R130" i="17"/>
  <c r="Q130" i="17"/>
  <c r="P130" i="17"/>
  <c r="O130" i="17"/>
  <c r="N130" i="17"/>
  <c r="M130" i="17"/>
  <c r="J130" i="17"/>
  <c r="I130" i="17"/>
  <c r="H130" i="17"/>
  <c r="G130" i="17"/>
  <c r="F130" i="17"/>
  <c r="E130" i="17"/>
  <c r="D130" i="17"/>
  <c r="C130" i="17"/>
  <c r="B130" i="17"/>
  <c r="AM129" i="17"/>
  <c r="AL129" i="17"/>
  <c r="AK129" i="17"/>
  <c r="AJ129" i="17"/>
  <c r="AI129" i="17"/>
  <c r="AH129" i="17"/>
  <c r="Y129" i="17"/>
  <c r="U129" i="17"/>
  <c r="T129" i="17"/>
  <c r="S129" i="17"/>
  <c r="R129" i="17"/>
  <c r="Q129" i="17"/>
  <c r="P129" i="17"/>
  <c r="O129" i="17"/>
  <c r="N129" i="17"/>
  <c r="M129" i="17"/>
  <c r="J129" i="17"/>
  <c r="I129" i="17"/>
  <c r="H129" i="17"/>
  <c r="G129" i="17"/>
  <c r="F129" i="17"/>
  <c r="E129" i="17"/>
  <c r="D129" i="17"/>
  <c r="C129" i="17"/>
  <c r="B129" i="17"/>
  <c r="AM128" i="17"/>
  <c r="AL128" i="17"/>
  <c r="AK128" i="17"/>
  <c r="AJ128" i="17"/>
  <c r="AI128" i="17"/>
  <c r="AH128" i="17"/>
  <c r="Y128" i="17"/>
  <c r="U128" i="17"/>
  <c r="T128" i="17"/>
  <c r="S128" i="17"/>
  <c r="R128" i="17"/>
  <c r="Q128" i="17"/>
  <c r="P128" i="17"/>
  <c r="O128" i="17"/>
  <c r="N128" i="17"/>
  <c r="M128" i="17"/>
  <c r="J128" i="17"/>
  <c r="I128" i="17"/>
  <c r="H128" i="17"/>
  <c r="G128" i="17"/>
  <c r="F128" i="17"/>
  <c r="E128" i="17"/>
  <c r="D128" i="17"/>
  <c r="C128" i="17"/>
  <c r="B128" i="17"/>
  <c r="AM127" i="17"/>
  <c r="AL127" i="17"/>
  <c r="AK127" i="17"/>
  <c r="AJ127" i="17"/>
  <c r="AI127" i="17"/>
  <c r="AH127" i="17"/>
  <c r="Y127" i="17"/>
  <c r="U127" i="17"/>
  <c r="T127" i="17"/>
  <c r="S127" i="17"/>
  <c r="R127" i="17"/>
  <c r="Q127" i="17"/>
  <c r="P127" i="17"/>
  <c r="O127" i="17"/>
  <c r="N127" i="17"/>
  <c r="M127" i="17"/>
  <c r="J127" i="17"/>
  <c r="I127" i="17"/>
  <c r="H127" i="17"/>
  <c r="G127" i="17"/>
  <c r="F127" i="17"/>
  <c r="E127" i="17"/>
  <c r="D127" i="17"/>
  <c r="C127" i="17"/>
  <c r="B127" i="17"/>
  <c r="AM126" i="17"/>
  <c r="AL126" i="17"/>
  <c r="AK126" i="17"/>
  <c r="AJ126" i="17"/>
  <c r="AI126" i="17"/>
  <c r="AH126" i="17"/>
  <c r="Y126" i="17"/>
  <c r="U126" i="17"/>
  <c r="T126" i="17"/>
  <c r="S126" i="17"/>
  <c r="R126" i="17"/>
  <c r="Q126" i="17"/>
  <c r="P126" i="17"/>
  <c r="O126" i="17"/>
  <c r="N126" i="17"/>
  <c r="M126" i="17"/>
  <c r="J126" i="17"/>
  <c r="I126" i="17"/>
  <c r="H126" i="17"/>
  <c r="G126" i="17"/>
  <c r="F126" i="17"/>
  <c r="E126" i="17"/>
  <c r="D126" i="17"/>
  <c r="C126" i="17"/>
  <c r="B126" i="17"/>
  <c r="AM125" i="17"/>
  <c r="AL125" i="17"/>
  <c r="AK125" i="17"/>
  <c r="AJ125" i="17"/>
  <c r="AI125" i="17"/>
  <c r="AH125" i="17"/>
  <c r="Y125" i="17"/>
  <c r="U125" i="17"/>
  <c r="T125" i="17"/>
  <c r="S125" i="17"/>
  <c r="R125" i="17"/>
  <c r="Q125" i="17"/>
  <c r="P125" i="17"/>
  <c r="O125" i="17"/>
  <c r="N125" i="17"/>
  <c r="M125" i="17"/>
  <c r="J125" i="17"/>
  <c r="I125" i="17"/>
  <c r="H125" i="17"/>
  <c r="G125" i="17"/>
  <c r="F125" i="17"/>
  <c r="E125" i="17"/>
  <c r="D125" i="17"/>
  <c r="C125" i="17"/>
  <c r="B125" i="17"/>
  <c r="AM124" i="17"/>
  <c r="AL124" i="17"/>
  <c r="AK124" i="17"/>
  <c r="AJ124" i="17"/>
  <c r="AI124" i="17"/>
  <c r="AH124" i="17"/>
  <c r="Y124" i="17"/>
  <c r="U124" i="17"/>
  <c r="T124" i="17"/>
  <c r="S124" i="17"/>
  <c r="R124" i="17"/>
  <c r="Q124" i="17"/>
  <c r="P124" i="17"/>
  <c r="O124" i="17"/>
  <c r="N124" i="17"/>
  <c r="M124" i="17"/>
  <c r="J124" i="17"/>
  <c r="I124" i="17"/>
  <c r="H124" i="17"/>
  <c r="G124" i="17"/>
  <c r="F124" i="17"/>
  <c r="E124" i="17"/>
  <c r="D124" i="17"/>
  <c r="C124" i="17"/>
  <c r="B124" i="17"/>
  <c r="AM123" i="17"/>
  <c r="AL123" i="17"/>
  <c r="AK123" i="17"/>
  <c r="AJ123" i="17"/>
  <c r="AI123" i="17"/>
  <c r="AH123" i="17"/>
  <c r="Y123" i="17"/>
  <c r="U123" i="17"/>
  <c r="T123" i="17"/>
  <c r="S123" i="17"/>
  <c r="R123" i="17"/>
  <c r="Q123" i="17"/>
  <c r="P123" i="17"/>
  <c r="O123" i="17"/>
  <c r="N123" i="17"/>
  <c r="M123" i="17"/>
  <c r="J123" i="17"/>
  <c r="I123" i="17"/>
  <c r="H123" i="17"/>
  <c r="G123" i="17"/>
  <c r="F123" i="17"/>
  <c r="E123" i="17"/>
  <c r="D123" i="17"/>
  <c r="C123" i="17"/>
  <c r="B123" i="17"/>
  <c r="AM122" i="17"/>
  <c r="AL122" i="17"/>
  <c r="AK122" i="17"/>
  <c r="AJ122" i="17"/>
  <c r="AI122" i="17"/>
  <c r="AH122" i="17"/>
  <c r="Y122" i="17"/>
  <c r="T122" i="17"/>
  <c r="S122" i="17"/>
  <c r="R122" i="17"/>
  <c r="Q122" i="17"/>
  <c r="P122" i="17"/>
  <c r="O122" i="17"/>
  <c r="N122" i="17"/>
  <c r="M122" i="17"/>
  <c r="J122" i="17"/>
  <c r="I122" i="17"/>
  <c r="H122" i="17"/>
  <c r="G122" i="17"/>
  <c r="F122" i="17"/>
  <c r="E122" i="17"/>
  <c r="D122" i="17"/>
  <c r="C122" i="17"/>
  <c r="B122" i="17"/>
  <c r="AM121" i="17"/>
  <c r="AL121" i="17"/>
  <c r="AK121" i="17"/>
  <c r="AJ121" i="17"/>
  <c r="AI121" i="17"/>
  <c r="AH121" i="17"/>
  <c r="Y121" i="17"/>
  <c r="U121" i="17"/>
  <c r="T121" i="17"/>
  <c r="S121" i="17"/>
  <c r="R121" i="17"/>
  <c r="Q121" i="17"/>
  <c r="P121" i="17"/>
  <c r="O121" i="17"/>
  <c r="N121" i="17"/>
  <c r="M121" i="17"/>
  <c r="J121" i="17"/>
  <c r="I121" i="17"/>
  <c r="H121" i="17"/>
  <c r="G121" i="17"/>
  <c r="F121" i="17"/>
  <c r="E121" i="17"/>
  <c r="D121" i="17"/>
  <c r="C121" i="17"/>
  <c r="B121" i="17"/>
  <c r="AM120" i="17"/>
  <c r="AL120" i="17"/>
  <c r="AK120" i="17"/>
  <c r="AJ120" i="17"/>
  <c r="AI120" i="17"/>
  <c r="AH120" i="17"/>
  <c r="Y120" i="17"/>
  <c r="U120" i="17"/>
  <c r="T120" i="17"/>
  <c r="S120" i="17"/>
  <c r="R120" i="17"/>
  <c r="Q120" i="17"/>
  <c r="P120" i="17"/>
  <c r="O120" i="17"/>
  <c r="N120" i="17"/>
  <c r="M120" i="17"/>
  <c r="J120" i="17"/>
  <c r="I120" i="17"/>
  <c r="H120" i="17"/>
  <c r="G120" i="17"/>
  <c r="F120" i="17"/>
  <c r="E120" i="17"/>
  <c r="D120" i="17"/>
  <c r="C120" i="17"/>
  <c r="B120" i="17"/>
  <c r="AM119" i="17"/>
  <c r="AL119" i="17"/>
  <c r="AK119" i="17"/>
  <c r="AJ119" i="17"/>
  <c r="AI119" i="17"/>
  <c r="AH119" i="17"/>
  <c r="Y119" i="17"/>
  <c r="U119" i="17"/>
  <c r="T119" i="17"/>
  <c r="S119" i="17"/>
  <c r="R119" i="17"/>
  <c r="Q119" i="17"/>
  <c r="P119" i="17"/>
  <c r="O119" i="17"/>
  <c r="N119" i="17"/>
  <c r="M119" i="17"/>
  <c r="J119" i="17"/>
  <c r="I119" i="17"/>
  <c r="H119" i="17"/>
  <c r="G119" i="17"/>
  <c r="F119" i="17"/>
  <c r="E119" i="17"/>
  <c r="D119" i="17"/>
  <c r="C119" i="17"/>
  <c r="B119" i="17"/>
  <c r="AM118" i="17"/>
  <c r="AL118" i="17"/>
  <c r="AK118" i="17"/>
  <c r="AJ118" i="17"/>
  <c r="AI118" i="17"/>
  <c r="AH118" i="17"/>
  <c r="Y118" i="17"/>
  <c r="U118" i="17"/>
  <c r="T118" i="17"/>
  <c r="S118" i="17"/>
  <c r="R118" i="17"/>
  <c r="Q118" i="17"/>
  <c r="P118" i="17"/>
  <c r="O118" i="17"/>
  <c r="N118" i="17"/>
  <c r="M118" i="17"/>
  <c r="J118" i="17"/>
  <c r="I118" i="17"/>
  <c r="H118" i="17"/>
  <c r="G118" i="17"/>
  <c r="F118" i="17"/>
  <c r="E118" i="17"/>
  <c r="D118" i="17"/>
  <c r="C118" i="17"/>
  <c r="B118" i="17"/>
  <c r="AM117" i="17"/>
  <c r="AL117" i="17"/>
  <c r="AK117" i="17"/>
  <c r="AJ117" i="17"/>
  <c r="AI117" i="17"/>
  <c r="AH117" i="17"/>
  <c r="Y117" i="17"/>
  <c r="U117" i="17"/>
  <c r="T117" i="17"/>
  <c r="S117" i="17"/>
  <c r="R117" i="17"/>
  <c r="Q117" i="17"/>
  <c r="P117" i="17"/>
  <c r="O117" i="17"/>
  <c r="N117" i="17"/>
  <c r="M117" i="17"/>
  <c r="J117" i="17"/>
  <c r="I117" i="17"/>
  <c r="H117" i="17"/>
  <c r="G117" i="17"/>
  <c r="F117" i="17"/>
  <c r="E117" i="17"/>
  <c r="D117" i="17"/>
  <c r="C117" i="17"/>
  <c r="B117" i="17"/>
  <c r="AM116" i="17"/>
  <c r="AL116" i="17"/>
  <c r="AK116" i="17"/>
  <c r="AJ116" i="17"/>
  <c r="AI116" i="17"/>
  <c r="AH116" i="17"/>
  <c r="Y116" i="17"/>
  <c r="U116" i="17"/>
  <c r="T116" i="17"/>
  <c r="S116" i="17"/>
  <c r="R116" i="17"/>
  <c r="Q116" i="17"/>
  <c r="P116" i="17"/>
  <c r="O116" i="17"/>
  <c r="N116" i="17"/>
  <c r="M116" i="17"/>
  <c r="J116" i="17"/>
  <c r="I116" i="17"/>
  <c r="H116" i="17"/>
  <c r="G116" i="17"/>
  <c r="F116" i="17"/>
  <c r="E116" i="17"/>
  <c r="D116" i="17"/>
  <c r="C116" i="17"/>
  <c r="B116" i="17"/>
  <c r="AM115" i="17"/>
  <c r="AL115" i="17"/>
  <c r="AK115" i="17"/>
  <c r="AJ115" i="17"/>
  <c r="AI115" i="17"/>
  <c r="AH115" i="17"/>
  <c r="Y115" i="17"/>
  <c r="U115" i="17"/>
  <c r="T115" i="17"/>
  <c r="S115" i="17"/>
  <c r="R115" i="17"/>
  <c r="Q115" i="17"/>
  <c r="P115" i="17"/>
  <c r="O115" i="17"/>
  <c r="N115" i="17"/>
  <c r="M115" i="17"/>
  <c r="J115" i="17"/>
  <c r="I115" i="17"/>
  <c r="H115" i="17"/>
  <c r="G115" i="17"/>
  <c r="F115" i="17"/>
  <c r="E115" i="17"/>
  <c r="D115" i="17"/>
  <c r="C115" i="17"/>
  <c r="B115" i="17"/>
  <c r="AM114" i="17"/>
  <c r="AL114" i="17"/>
  <c r="AK114" i="17"/>
  <c r="AJ114" i="17"/>
  <c r="AI114" i="17"/>
  <c r="AH114" i="17"/>
  <c r="Y114" i="17"/>
  <c r="U114" i="17"/>
  <c r="T114" i="17"/>
  <c r="S114" i="17"/>
  <c r="R114" i="17"/>
  <c r="Q114" i="17"/>
  <c r="P114" i="17"/>
  <c r="O114" i="17"/>
  <c r="N114" i="17"/>
  <c r="M114" i="17"/>
  <c r="J114" i="17"/>
  <c r="I114" i="17"/>
  <c r="H114" i="17"/>
  <c r="G114" i="17"/>
  <c r="F114" i="17"/>
  <c r="E114" i="17"/>
  <c r="D114" i="17"/>
  <c r="C114" i="17"/>
  <c r="B114" i="17"/>
  <c r="AM113" i="17"/>
  <c r="AL113" i="17"/>
  <c r="AK113" i="17"/>
  <c r="AJ113" i="17"/>
  <c r="AI113" i="17"/>
  <c r="AH113" i="17"/>
  <c r="Y113" i="17"/>
  <c r="U113" i="17"/>
  <c r="T113" i="17"/>
  <c r="S113" i="17"/>
  <c r="R113" i="17"/>
  <c r="Q113" i="17"/>
  <c r="P113" i="17"/>
  <c r="O113" i="17"/>
  <c r="N113" i="17"/>
  <c r="M113" i="17"/>
  <c r="J113" i="17"/>
  <c r="I113" i="17"/>
  <c r="H113" i="17"/>
  <c r="G113" i="17"/>
  <c r="F113" i="17"/>
  <c r="E113" i="17"/>
  <c r="D113" i="17"/>
  <c r="C113" i="17"/>
  <c r="B113" i="17"/>
  <c r="AM112" i="17"/>
  <c r="AL112" i="17"/>
  <c r="AK112" i="17"/>
  <c r="AJ112" i="17"/>
  <c r="AI112" i="17"/>
  <c r="AH112" i="17"/>
  <c r="Y112" i="17"/>
  <c r="U112" i="17"/>
  <c r="T112" i="17"/>
  <c r="S112" i="17"/>
  <c r="R112" i="17"/>
  <c r="Q112" i="17"/>
  <c r="P112" i="17"/>
  <c r="O112" i="17"/>
  <c r="N112" i="17"/>
  <c r="M112" i="17"/>
  <c r="J112" i="17"/>
  <c r="I112" i="17"/>
  <c r="H112" i="17"/>
  <c r="G112" i="17"/>
  <c r="F112" i="17"/>
  <c r="E112" i="17"/>
  <c r="D112" i="17"/>
  <c r="C112" i="17"/>
  <c r="B112" i="17"/>
  <c r="AM111" i="17"/>
  <c r="AL111" i="17"/>
  <c r="AK111" i="17"/>
  <c r="AJ111" i="17"/>
  <c r="AI111" i="17"/>
  <c r="AH111" i="17"/>
  <c r="Y111" i="17"/>
  <c r="U111" i="17"/>
  <c r="T111" i="17"/>
  <c r="S111" i="17"/>
  <c r="R111" i="17"/>
  <c r="Q111" i="17"/>
  <c r="P111" i="17"/>
  <c r="O111" i="17"/>
  <c r="N111" i="17"/>
  <c r="M111" i="17"/>
  <c r="J111" i="17"/>
  <c r="I111" i="17"/>
  <c r="H111" i="17"/>
  <c r="G111" i="17"/>
  <c r="F111" i="17"/>
  <c r="E111" i="17"/>
  <c r="D111" i="17"/>
  <c r="C111" i="17"/>
  <c r="B111" i="17"/>
  <c r="AM110" i="17"/>
  <c r="AL110" i="17"/>
  <c r="AK110" i="17"/>
  <c r="AJ110" i="17"/>
  <c r="AI110" i="17"/>
  <c r="AH110" i="17"/>
  <c r="Y110" i="17"/>
  <c r="U110" i="17"/>
  <c r="T110" i="17"/>
  <c r="S110" i="17"/>
  <c r="R110" i="17"/>
  <c r="Q110" i="17"/>
  <c r="P110" i="17"/>
  <c r="O110" i="17"/>
  <c r="N110" i="17"/>
  <c r="M110" i="17"/>
  <c r="J110" i="17"/>
  <c r="I110" i="17"/>
  <c r="H110" i="17"/>
  <c r="G110" i="17"/>
  <c r="F110" i="17"/>
  <c r="E110" i="17"/>
  <c r="D110" i="17"/>
  <c r="C110" i="17"/>
  <c r="B110" i="17"/>
  <c r="AM109" i="17"/>
  <c r="AL109" i="17"/>
  <c r="AK109" i="17"/>
  <c r="AJ109" i="17"/>
  <c r="AI109" i="17"/>
  <c r="AH109" i="17"/>
  <c r="Y109" i="17"/>
  <c r="U109" i="17"/>
  <c r="T109" i="17"/>
  <c r="S109" i="17"/>
  <c r="R109" i="17"/>
  <c r="Q109" i="17"/>
  <c r="P109" i="17"/>
  <c r="O109" i="17"/>
  <c r="N109" i="17"/>
  <c r="M109" i="17"/>
  <c r="J109" i="17"/>
  <c r="I109" i="17"/>
  <c r="H109" i="17"/>
  <c r="G109" i="17"/>
  <c r="F109" i="17"/>
  <c r="E109" i="17"/>
  <c r="D109" i="17"/>
  <c r="C109" i="17"/>
  <c r="B109" i="17"/>
  <c r="AM108" i="17"/>
  <c r="AL108" i="17"/>
  <c r="AK108" i="17"/>
  <c r="AJ108" i="17"/>
  <c r="AI108" i="17"/>
  <c r="AH108" i="17"/>
  <c r="Y108" i="17"/>
  <c r="U108" i="17"/>
  <c r="T108" i="17"/>
  <c r="S108" i="17"/>
  <c r="R108" i="17"/>
  <c r="Q108" i="17"/>
  <c r="P108" i="17"/>
  <c r="O108" i="17"/>
  <c r="N108" i="17"/>
  <c r="M108" i="17"/>
  <c r="J108" i="17"/>
  <c r="I108" i="17"/>
  <c r="H108" i="17"/>
  <c r="G108" i="17"/>
  <c r="F108" i="17"/>
  <c r="E108" i="17"/>
  <c r="D108" i="17"/>
  <c r="C108" i="17"/>
  <c r="B108" i="17"/>
  <c r="AM107" i="17"/>
  <c r="AL107" i="17"/>
  <c r="AK107" i="17"/>
  <c r="AJ107" i="17"/>
  <c r="AI107" i="17"/>
  <c r="AH107" i="17"/>
  <c r="Y107" i="17"/>
  <c r="U107" i="17"/>
  <c r="T107" i="17"/>
  <c r="S107" i="17"/>
  <c r="R107" i="17"/>
  <c r="Q107" i="17"/>
  <c r="P107" i="17"/>
  <c r="O107" i="17"/>
  <c r="N107" i="17"/>
  <c r="M107" i="17"/>
  <c r="J107" i="17"/>
  <c r="I107" i="17"/>
  <c r="H107" i="17"/>
  <c r="G107" i="17"/>
  <c r="F107" i="17"/>
  <c r="E107" i="17"/>
  <c r="D107" i="17"/>
  <c r="C107" i="17"/>
  <c r="B107" i="17"/>
  <c r="AM106" i="17"/>
  <c r="AL106" i="17"/>
  <c r="AK106" i="17"/>
  <c r="AJ106" i="17"/>
  <c r="AI106" i="17"/>
  <c r="AH106" i="17"/>
  <c r="Y106" i="17"/>
  <c r="U106" i="17"/>
  <c r="T106" i="17"/>
  <c r="S106" i="17"/>
  <c r="R106" i="17"/>
  <c r="Q106" i="17"/>
  <c r="P106" i="17"/>
  <c r="O106" i="17"/>
  <c r="N106" i="17"/>
  <c r="M106" i="17"/>
  <c r="J106" i="17"/>
  <c r="I106" i="17"/>
  <c r="H106" i="17"/>
  <c r="G106" i="17"/>
  <c r="F106" i="17"/>
  <c r="E106" i="17"/>
  <c r="D106" i="17"/>
  <c r="C106" i="17"/>
  <c r="B106" i="17"/>
  <c r="AM105" i="17"/>
  <c r="AL105" i="17"/>
  <c r="AK105" i="17"/>
  <c r="AJ105" i="17"/>
  <c r="AI105" i="17"/>
  <c r="AH105" i="17"/>
  <c r="Y105" i="17"/>
  <c r="U105" i="17"/>
  <c r="T105" i="17"/>
  <c r="S105" i="17"/>
  <c r="R105" i="17"/>
  <c r="Q105" i="17"/>
  <c r="P105" i="17"/>
  <c r="O105" i="17"/>
  <c r="N105" i="17"/>
  <c r="M105" i="17"/>
  <c r="J105" i="17"/>
  <c r="I105" i="17"/>
  <c r="H105" i="17"/>
  <c r="G105" i="17"/>
  <c r="F105" i="17"/>
  <c r="E105" i="17"/>
  <c r="D105" i="17"/>
  <c r="C105" i="17"/>
  <c r="B105" i="17"/>
  <c r="AM104" i="17"/>
  <c r="AL104" i="17"/>
  <c r="AK104" i="17"/>
  <c r="AJ104" i="17"/>
  <c r="AI104" i="17"/>
  <c r="AH104" i="17"/>
  <c r="Y104" i="17"/>
  <c r="U104" i="17"/>
  <c r="T104" i="17"/>
  <c r="S104" i="17"/>
  <c r="R104" i="17"/>
  <c r="Q104" i="17"/>
  <c r="P104" i="17"/>
  <c r="O104" i="17"/>
  <c r="N104" i="17"/>
  <c r="M104" i="17"/>
  <c r="J104" i="17"/>
  <c r="I104" i="17"/>
  <c r="H104" i="17"/>
  <c r="G104" i="17"/>
  <c r="F104" i="17"/>
  <c r="E104" i="17"/>
  <c r="D104" i="17"/>
  <c r="C104" i="17"/>
  <c r="B104" i="17"/>
  <c r="AM103" i="17"/>
  <c r="AL103" i="17"/>
  <c r="AK103" i="17"/>
  <c r="AJ103" i="17"/>
  <c r="AI103" i="17"/>
  <c r="AH103" i="17"/>
  <c r="Y103" i="17"/>
  <c r="U103" i="17"/>
  <c r="T103" i="17"/>
  <c r="S103" i="17"/>
  <c r="R103" i="17"/>
  <c r="Q103" i="17"/>
  <c r="P103" i="17"/>
  <c r="O103" i="17"/>
  <c r="N103" i="17"/>
  <c r="M103" i="17"/>
  <c r="J103" i="17"/>
  <c r="I103" i="17"/>
  <c r="H103" i="17"/>
  <c r="G103" i="17"/>
  <c r="F103" i="17"/>
  <c r="E103" i="17"/>
  <c r="D103" i="17"/>
  <c r="C103" i="17"/>
  <c r="B103" i="17"/>
  <c r="AM102" i="17"/>
  <c r="AL102" i="17"/>
  <c r="AK102" i="17"/>
  <c r="AJ102" i="17"/>
  <c r="AI102" i="17"/>
  <c r="AH102" i="17"/>
  <c r="Y102" i="17"/>
  <c r="U102" i="17"/>
  <c r="T102" i="17"/>
  <c r="S102" i="17"/>
  <c r="R102" i="17"/>
  <c r="Q102" i="17"/>
  <c r="P102" i="17"/>
  <c r="O102" i="17"/>
  <c r="N102" i="17"/>
  <c r="M102" i="17"/>
  <c r="J102" i="17"/>
  <c r="I102" i="17"/>
  <c r="H102" i="17"/>
  <c r="G102" i="17"/>
  <c r="F102" i="17"/>
  <c r="E102" i="17"/>
  <c r="D102" i="17"/>
  <c r="C102" i="17"/>
  <c r="B102" i="17"/>
  <c r="AM101" i="17"/>
  <c r="AL101" i="17"/>
  <c r="AK101" i="17"/>
  <c r="AJ101" i="17"/>
  <c r="AI101" i="17"/>
  <c r="AH101" i="17"/>
  <c r="Y101" i="17"/>
  <c r="U101" i="17"/>
  <c r="T101" i="17"/>
  <c r="S101" i="17"/>
  <c r="R101" i="17"/>
  <c r="Q101" i="17"/>
  <c r="P101" i="17"/>
  <c r="O101" i="17"/>
  <c r="N101" i="17"/>
  <c r="M101" i="17"/>
  <c r="J101" i="17"/>
  <c r="I101" i="17"/>
  <c r="H101" i="17"/>
  <c r="G101" i="17"/>
  <c r="F101" i="17"/>
  <c r="E101" i="17"/>
  <c r="D101" i="17"/>
  <c r="C101" i="17"/>
  <c r="B101" i="17"/>
  <c r="AM100" i="17"/>
  <c r="AL100" i="17"/>
  <c r="AK100" i="17"/>
  <c r="AJ100" i="17"/>
  <c r="AI100" i="17"/>
  <c r="AH100" i="17"/>
  <c r="Y100" i="17"/>
  <c r="U100" i="17"/>
  <c r="T100" i="17"/>
  <c r="S100" i="17"/>
  <c r="R100" i="17"/>
  <c r="Q100" i="17"/>
  <c r="P100" i="17"/>
  <c r="O100" i="17"/>
  <c r="N100" i="17"/>
  <c r="M100" i="17"/>
  <c r="J100" i="17"/>
  <c r="I100" i="17"/>
  <c r="H100" i="17"/>
  <c r="G100" i="17"/>
  <c r="F100" i="17"/>
  <c r="E100" i="17"/>
  <c r="D100" i="17"/>
  <c r="C100" i="17"/>
  <c r="B100" i="17"/>
  <c r="AM99" i="17"/>
  <c r="AL99" i="17"/>
  <c r="AK99" i="17"/>
  <c r="AJ99" i="17"/>
  <c r="AI99" i="17"/>
  <c r="AH99" i="17"/>
  <c r="Y99" i="17"/>
  <c r="U99" i="17"/>
  <c r="T99" i="17"/>
  <c r="S99" i="17"/>
  <c r="R99" i="17"/>
  <c r="Q99" i="17"/>
  <c r="P99" i="17"/>
  <c r="O99" i="17"/>
  <c r="N99" i="17"/>
  <c r="M99" i="17"/>
  <c r="J99" i="17"/>
  <c r="I99" i="17"/>
  <c r="H99" i="17"/>
  <c r="G99" i="17"/>
  <c r="F99" i="17"/>
  <c r="E99" i="17"/>
  <c r="D99" i="17"/>
  <c r="C99" i="17"/>
  <c r="B99" i="17"/>
  <c r="AM98" i="17"/>
  <c r="AL98" i="17"/>
  <c r="AK98" i="17"/>
  <c r="AJ98" i="17"/>
  <c r="AI98" i="17"/>
  <c r="AH98" i="17"/>
  <c r="Y98" i="17"/>
  <c r="U98" i="17"/>
  <c r="T98" i="17"/>
  <c r="S98" i="17"/>
  <c r="R98" i="17"/>
  <c r="Q98" i="17"/>
  <c r="P98" i="17"/>
  <c r="O98" i="17"/>
  <c r="N98" i="17"/>
  <c r="M98" i="17"/>
  <c r="J98" i="17"/>
  <c r="I98" i="17"/>
  <c r="H98" i="17"/>
  <c r="G98" i="17"/>
  <c r="F98" i="17"/>
  <c r="E98" i="17"/>
  <c r="D98" i="17"/>
  <c r="C98" i="17"/>
  <c r="B98" i="17"/>
  <c r="AM97" i="17"/>
  <c r="AL97" i="17"/>
  <c r="AK97" i="17"/>
  <c r="AJ97" i="17"/>
  <c r="AI97" i="17"/>
  <c r="AH97" i="17"/>
  <c r="Y97" i="17"/>
  <c r="U97" i="17"/>
  <c r="T97" i="17"/>
  <c r="S97" i="17"/>
  <c r="R97" i="17"/>
  <c r="Q97" i="17"/>
  <c r="P97" i="17"/>
  <c r="O97" i="17"/>
  <c r="N97" i="17"/>
  <c r="M97" i="17"/>
  <c r="J97" i="17"/>
  <c r="I97" i="17"/>
  <c r="H97" i="17"/>
  <c r="G97" i="17"/>
  <c r="F97" i="17"/>
  <c r="E97" i="17"/>
  <c r="D97" i="17"/>
  <c r="C97" i="17"/>
  <c r="B97" i="17"/>
  <c r="AM96" i="17"/>
  <c r="AL96" i="17"/>
  <c r="AK96" i="17"/>
  <c r="AJ96" i="17"/>
  <c r="AI96" i="17"/>
  <c r="AH96" i="17"/>
  <c r="Y96" i="17"/>
  <c r="U96" i="17"/>
  <c r="T96" i="17"/>
  <c r="S96" i="17"/>
  <c r="R96" i="17"/>
  <c r="Q96" i="17"/>
  <c r="P96" i="17"/>
  <c r="O96" i="17"/>
  <c r="N96" i="17"/>
  <c r="M96" i="17"/>
  <c r="J96" i="17"/>
  <c r="I96" i="17"/>
  <c r="H96" i="17"/>
  <c r="G96" i="17"/>
  <c r="F96" i="17"/>
  <c r="E96" i="17"/>
  <c r="D96" i="17"/>
  <c r="C96" i="17"/>
  <c r="B96" i="17"/>
  <c r="AM95" i="17"/>
  <c r="AL95" i="17"/>
  <c r="AK95" i="17"/>
  <c r="AJ95" i="17"/>
  <c r="AI95" i="17"/>
  <c r="AH95" i="17"/>
  <c r="Y95" i="17"/>
  <c r="U95" i="17"/>
  <c r="T95" i="17"/>
  <c r="S95" i="17"/>
  <c r="R95" i="17"/>
  <c r="Q95" i="17"/>
  <c r="P95" i="17"/>
  <c r="O95" i="17"/>
  <c r="N95" i="17"/>
  <c r="M95" i="17"/>
  <c r="J95" i="17"/>
  <c r="I95" i="17"/>
  <c r="H95" i="17"/>
  <c r="G95" i="17"/>
  <c r="F95" i="17"/>
  <c r="E95" i="17"/>
  <c r="D95" i="17"/>
  <c r="C95" i="17"/>
  <c r="B95" i="17"/>
  <c r="AM94" i="17"/>
  <c r="AL94" i="17"/>
  <c r="AK94" i="17"/>
  <c r="AJ94" i="17"/>
  <c r="AI94" i="17"/>
  <c r="AH94" i="17"/>
  <c r="Y94" i="17"/>
  <c r="U94" i="17"/>
  <c r="T94" i="17"/>
  <c r="S94" i="17"/>
  <c r="R94" i="17"/>
  <c r="Q94" i="17"/>
  <c r="P94" i="17"/>
  <c r="O94" i="17"/>
  <c r="N94" i="17"/>
  <c r="M94" i="17"/>
  <c r="J94" i="17"/>
  <c r="I94" i="17"/>
  <c r="H94" i="17"/>
  <c r="G94" i="17"/>
  <c r="F94" i="17"/>
  <c r="E94" i="17"/>
  <c r="D94" i="17"/>
  <c r="C94" i="17"/>
  <c r="B94" i="17"/>
  <c r="AM93" i="17"/>
  <c r="AL93" i="17"/>
  <c r="AK93" i="17"/>
  <c r="AJ93" i="17"/>
  <c r="AI93" i="17"/>
  <c r="AH93" i="17"/>
  <c r="Y93" i="17"/>
  <c r="U93" i="17"/>
  <c r="T93" i="17"/>
  <c r="S93" i="17"/>
  <c r="R93" i="17"/>
  <c r="Q93" i="17"/>
  <c r="P93" i="17"/>
  <c r="O93" i="17"/>
  <c r="N93" i="17"/>
  <c r="M93" i="17"/>
  <c r="J93" i="17"/>
  <c r="I93" i="17"/>
  <c r="H93" i="17"/>
  <c r="G93" i="17"/>
  <c r="F93" i="17"/>
  <c r="E93" i="17"/>
  <c r="D93" i="17"/>
  <c r="C93" i="17"/>
  <c r="B93" i="17"/>
  <c r="AM92" i="17"/>
  <c r="AL92" i="17"/>
  <c r="AK92" i="17"/>
  <c r="AJ92" i="17"/>
  <c r="AI92" i="17"/>
  <c r="AH92" i="17"/>
  <c r="Y92" i="17"/>
  <c r="U92" i="17"/>
  <c r="T92" i="17"/>
  <c r="S92" i="17"/>
  <c r="R92" i="17"/>
  <c r="Q92" i="17"/>
  <c r="P92" i="17"/>
  <c r="O92" i="17"/>
  <c r="N92" i="17"/>
  <c r="M92" i="17"/>
  <c r="J92" i="17"/>
  <c r="I92" i="17"/>
  <c r="H92" i="17"/>
  <c r="G92" i="17"/>
  <c r="F92" i="17"/>
  <c r="E92" i="17"/>
  <c r="D92" i="17"/>
  <c r="C92" i="17"/>
  <c r="B92" i="17"/>
  <c r="AM91" i="17"/>
  <c r="AL91" i="17"/>
  <c r="AK91" i="17"/>
  <c r="AJ91" i="17"/>
  <c r="AI91" i="17"/>
  <c r="AH91" i="17"/>
  <c r="Y91" i="17"/>
  <c r="U91" i="17"/>
  <c r="T91" i="17"/>
  <c r="S91" i="17"/>
  <c r="R91" i="17"/>
  <c r="Q91" i="17"/>
  <c r="P91" i="17"/>
  <c r="O91" i="17"/>
  <c r="N91" i="17"/>
  <c r="M91" i="17"/>
  <c r="J91" i="17"/>
  <c r="I91" i="17"/>
  <c r="H91" i="17"/>
  <c r="G91" i="17"/>
  <c r="F91" i="17"/>
  <c r="E91" i="17"/>
  <c r="D91" i="17"/>
  <c r="C91" i="17"/>
  <c r="B91" i="17"/>
  <c r="AM90" i="17"/>
  <c r="AL90" i="17"/>
  <c r="AK90" i="17"/>
  <c r="AJ90" i="17"/>
  <c r="AI90" i="17"/>
  <c r="AH90" i="17"/>
  <c r="Y90" i="17"/>
  <c r="U90" i="17"/>
  <c r="T90" i="17"/>
  <c r="S90" i="17"/>
  <c r="R90" i="17"/>
  <c r="Q90" i="17"/>
  <c r="P90" i="17"/>
  <c r="O90" i="17"/>
  <c r="N90" i="17"/>
  <c r="M90" i="17"/>
  <c r="J90" i="17"/>
  <c r="I90" i="17"/>
  <c r="H90" i="17"/>
  <c r="G90" i="17"/>
  <c r="F90" i="17"/>
  <c r="E90" i="17"/>
  <c r="D90" i="17"/>
  <c r="C90" i="17"/>
  <c r="B90" i="17"/>
  <c r="AM89" i="17"/>
  <c r="AL89" i="17"/>
  <c r="AK89" i="17"/>
  <c r="AJ89" i="17"/>
  <c r="AI89" i="17"/>
  <c r="AH89" i="17"/>
  <c r="Y89" i="17"/>
  <c r="U89" i="17"/>
  <c r="T89" i="17"/>
  <c r="S89" i="17"/>
  <c r="R89" i="17"/>
  <c r="Q89" i="17"/>
  <c r="P89" i="17"/>
  <c r="O89" i="17"/>
  <c r="N89" i="17"/>
  <c r="M89" i="17"/>
  <c r="J89" i="17"/>
  <c r="I89" i="17"/>
  <c r="H89" i="17"/>
  <c r="G89" i="17"/>
  <c r="F89" i="17"/>
  <c r="E89" i="17"/>
  <c r="D89" i="17"/>
  <c r="C89" i="17"/>
  <c r="B89" i="17"/>
  <c r="AM88" i="17"/>
  <c r="AL88" i="17"/>
  <c r="AK88" i="17"/>
  <c r="AJ88" i="17"/>
  <c r="AI88" i="17"/>
  <c r="AH88" i="17"/>
  <c r="Y88" i="17"/>
  <c r="U88" i="17"/>
  <c r="T88" i="17"/>
  <c r="S88" i="17"/>
  <c r="R88" i="17"/>
  <c r="Q88" i="17"/>
  <c r="P88" i="17"/>
  <c r="O88" i="17"/>
  <c r="N88" i="17"/>
  <c r="M88" i="17"/>
  <c r="J88" i="17"/>
  <c r="I88" i="17"/>
  <c r="H88" i="17"/>
  <c r="G88" i="17"/>
  <c r="F88" i="17"/>
  <c r="E88" i="17"/>
  <c r="D88" i="17"/>
  <c r="C88" i="17"/>
  <c r="B88" i="17"/>
  <c r="AM87" i="17"/>
  <c r="AL87" i="17"/>
  <c r="AK87" i="17"/>
  <c r="AJ87" i="17"/>
  <c r="AI87" i="17"/>
  <c r="AH87" i="17"/>
  <c r="Y87" i="17"/>
  <c r="U87" i="17"/>
  <c r="T87" i="17"/>
  <c r="S87" i="17"/>
  <c r="R87" i="17"/>
  <c r="Q87" i="17"/>
  <c r="P87" i="17"/>
  <c r="O87" i="17"/>
  <c r="N87" i="17"/>
  <c r="M87" i="17"/>
  <c r="J87" i="17"/>
  <c r="I87" i="17"/>
  <c r="H87" i="17"/>
  <c r="G87" i="17"/>
  <c r="F87" i="17"/>
  <c r="E87" i="17"/>
  <c r="D87" i="17"/>
  <c r="C87" i="17"/>
  <c r="B87" i="17"/>
  <c r="AM86" i="17"/>
  <c r="AL86" i="17"/>
  <c r="AK86" i="17"/>
  <c r="AJ86" i="17"/>
  <c r="AI86" i="17"/>
  <c r="AH86" i="17"/>
  <c r="Y86" i="17"/>
  <c r="U86" i="17"/>
  <c r="T86" i="17"/>
  <c r="S86" i="17"/>
  <c r="R86" i="17"/>
  <c r="Q86" i="17"/>
  <c r="P86" i="17"/>
  <c r="O86" i="17"/>
  <c r="N86" i="17"/>
  <c r="M86" i="17"/>
  <c r="J86" i="17"/>
  <c r="I86" i="17"/>
  <c r="H86" i="17"/>
  <c r="G86" i="17"/>
  <c r="F86" i="17"/>
  <c r="E86" i="17"/>
  <c r="D86" i="17"/>
  <c r="C86" i="17"/>
  <c r="B86" i="17"/>
  <c r="AM85" i="17"/>
  <c r="AL85" i="17"/>
  <c r="AK85" i="17"/>
  <c r="AJ85" i="17"/>
  <c r="AI85" i="17"/>
  <c r="AH85" i="17"/>
  <c r="Y85" i="17"/>
  <c r="U85" i="17"/>
  <c r="T85" i="17"/>
  <c r="S85" i="17"/>
  <c r="R85" i="17"/>
  <c r="Q85" i="17"/>
  <c r="P85" i="17"/>
  <c r="O85" i="17"/>
  <c r="N85" i="17"/>
  <c r="M85" i="17"/>
  <c r="J85" i="17"/>
  <c r="I85" i="17"/>
  <c r="H85" i="17"/>
  <c r="G85" i="17"/>
  <c r="F85" i="17"/>
  <c r="E85" i="17"/>
  <c r="D85" i="17"/>
  <c r="C85" i="17"/>
  <c r="B85" i="17"/>
  <c r="AM84" i="17"/>
  <c r="AL84" i="17"/>
  <c r="AK84" i="17"/>
  <c r="AJ84" i="17"/>
  <c r="AI84" i="17"/>
  <c r="AH84" i="17"/>
  <c r="Y84" i="17"/>
  <c r="U84" i="17"/>
  <c r="T84" i="17"/>
  <c r="S84" i="17"/>
  <c r="R84" i="17"/>
  <c r="Q84" i="17"/>
  <c r="P84" i="17"/>
  <c r="O84" i="17"/>
  <c r="N84" i="17"/>
  <c r="M84" i="17"/>
  <c r="J84" i="17"/>
  <c r="I84" i="17"/>
  <c r="H84" i="17"/>
  <c r="G84" i="17"/>
  <c r="F84" i="17"/>
  <c r="E84" i="17"/>
  <c r="D84" i="17"/>
  <c r="C84" i="17"/>
  <c r="B84" i="17"/>
  <c r="AM83" i="17"/>
  <c r="AL83" i="17"/>
  <c r="AK83" i="17"/>
  <c r="AJ83" i="17"/>
  <c r="AI83" i="17"/>
  <c r="AH83" i="17"/>
  <c r="Y83" i="17"/>
  <c r="U83" i="17"/>
  <c r="T83" i="17"/>
  <c r="S83" i="17"/>
  <c r="R83" i="17"/>
  <c r="Q83" i="17"/>
  <c r="P83" i="17"/>
  <c r="O83" i="17"/>
  <c r="N83" i="17"/>
  <c r="M83" i="17"/>
  <c r="J83" i="17"/>
  <c r="I83" i="17"/>
  <c r="H83" i="17"/>
  <c r="G83" i="17"/>
  <c r="F83" i="17"/>
  <c r="E83" i="17"/>
  <c r="D83" i="17"/>
  <c r="C83" i="17"/>
  <c r="B83" i="17"/>
  <c r="AM82" i="17"/>
  <c r="AL82" i="17"/>
  <c r="AK82" i="17"/>
  <c r="AJ82" i="17"/>
  <c r="AI82" i="17"/>
  <c r="AH82" i="17"/>
  <c r="Y82" i="17"/>
  <c r="U82" i="17"/>
  <c r="T82" i="17"/>
  <c r="S82" i="17"/>
  <c r="R82" i="17"/>
  <c r="Q82" i="17"/>
  <c r="P82" i="17"/>
  <c r="O82" i="17"/>
  <c r="N82" i="17"/>
  <c r="M82" i="17"/>
  <c r="J82" i="17"/>
  <c r="I82" i="17"/>
  <c r="H82" i="17"/>
  <c r="G82" i="17"/>
  <c r="F82" i="17"/>
  <c r="E82" i="17"/>
  <c r="D82" i="17"/>
  <c r="C82" i="17"/>
  <c r="B82" i="17"/>
  <c r="AM81" i="17"/>
  <c r="AL81" i="17"/>
  <c r="AK81" i="17"/>
  <c r="AJ81" i="17"/>
  <c r="AI81" i="17"/>
  <c r="AH81" i="17"/>
  <c r="Y81" i="17"/>
  <c r="U81" i="17"/>
  <c r="T81" i="17"/>
  <c r="S81" i="17"/>
  <c r="R81" i="17"/>
  <c r="Q81" i="17"/>
  <c r="P81" i="17"/>
  <c r="O81" i="17"/>
  <c r="N81" i="17"/>
  <c r="M81" i="17"/>
  <c r="J81" i="17"/>
  <c r="I81" i="17"/>
  <c r="H81" i="17"/>
  <c r="G81" i="17"/>
  <c r="F81" i="17"/>
  <c r="E81" i="17"/>
  <c r="D81" i="17"/>
  <c r="C81" i="17"/>
  <c r="B81" i="17"/>
  <c r="AM80" i="17"/>
  <c r="AL80" i="17"/>
  <c r="AK80" i="17"/>
  <c r="AJ80" i="17"/>
  <c r="AI80" i="17"/>
  <c r="AH80" i="17"/>
  <c r="Y80" i="17"/>
  <c r="U80" i="17"/>
  <c r="T80" i="17"/>
  <c r="S80" i="17"/>
  <c r="R80" i="17"/>
  <c r="Q80" i="17"/>
  <c r="P80" i="17"/>
  <c r="O80" i="17"/>
  <c r="N80" i="17"/>
  <c r="M80" i="17"/>
  <c r="J80" i="17"/>
  <c r="I80" i="17"/>
  <c r="H80" i="17"/>
  <c r="G80" i="17"/>
  <c r="F80" i="17"/>
  <c r="E80" i="17"/>
  <c r="D80" i="17"/>
  <c r="C80" i="17"/>
  <c r="B80" i="17"/>
  <c r="AM79" i="17"/>
  <c r="AL79" i="17"/>
  <c r="AK79" i="17"/>
  <c r="AJ79" i="17"/>
  <c r="AI79" i="17"/>
  <c r="AH79" i="17"/>
  <c r="Y79" i="17"/>
  <c r="U79" i="17"/>
  <c r="T79" i="17"/>
  <c r="S79" i="17"/>
  <c r="R79" i="17"/>
  <c r="Q79" i="17"/>
  <c r="P79" i="17"/>
  <c r="O79" i="17"/>
  <c r="N79" i="17"/>
  <c r="M79" i="17"/>
  <c r="J79" i="17"/>
  <c r="I79" i="17"/>
  <c r="H79" i="17"/>
  <c r="G79" i="17"/>
  <c r="F79" i="17"/>
  <c r="E79" i="17"/>
  <c r="D79" i="17"/>
  <c r="C79" i="17"/>
  <c r="B79" i="17"/>
  <c r="AM78" i="17"/>
  <c r="AL78" i="17"/>
  <c r="AK78" i="17"/>
  <c r="AJ78" i="17"/>
  <c r="AI78" i="17"/>
  <c r="AH78" i="17"/>
  <c r="Y78" i="17"/>
  <c r="U78" i="17"/>
  <c r="T78" i="17"/>
  <c r="S78" i="17"/>
  <c r="R78" i="17"/>
  <c r="Q78" i="17"/>
  <c r="P78" i="17"/>
  <c r="O78" i="17"/>
  <c r="N78" i="17"/>
  <c r="M78" i="17"/>
  <c r="J78" i="17"/>
  <c r="I78" i="17"/>
  <c r="H78" i="17"/>
  <c r="G78" i="17"/>
  <c r="F78" i="17"/>
  <c r="E78" i="17"/>
  <c r="D78" i="17"/>
  <c r="C78" i="17"/>
  <c r="B78" i="17"/>
  <c r="AM77" i="17"/>
  <c r="AL77" i="17"/>
  <c r="AK77" i="17"/>
  <c r="AJ77" i="17"/>
  <c r="AI77" i="17"/>
  <c r="AH77" i="17"/>
  <c r="Y77" i="17"/>
  <c r="U77" i="17"/>
  <c r="T77" i="17"/>
  <c r="S77" i="17"/>
  <c r="R77" i="17"/>
  <c r="Q77" i="17"/>
  <c r="P77" i="17"/>
  <c r="O77" i="17"/>
  <c r="N77" i="17"/>
  <c r="M77" i="17"/>
  <c r="J77" i="17"/>
  <c r="I77" i="17"/>
  <c r="H77" i="17"/>
  <c r="G77" i="17"/>
  <c r="F77" i="17"/>
  <c r="E77" i="17"/>
  <c r="D77" i="17"/>
  <c r="C77" i="17"/>
  <c r="B77" i="17"/>
  <c r="AM76" i="17"/>
  <c r="AL76" i="17"/>
  <c r="AK76" i="17"/>
  <c r="AJ76" i="17"/>
  <c r="AI76" i="17"/>
  <c r="AH76" i="17"/>
  <c r="Y76" i="17"/>
  <c r="U76" i="17"/>
  <c r="T76" i="17"/>
  <c r="S76" i="17"/>
  <c r="R76" i="17"/>
  <c r="Q76" i="17"/>
  <c r="P76" i="17"/>
  <c r="O76" i="17"/>
  <c r="N76" i="17"/>
  <c r="M76" i="17"/>
  <c r="J76" i="17"/>
  <c r="I76" i="17"/>
  <c r="H76" i="17"/>
  <c r="G76" i="17"/>
  <c r="F76" i="17"/>
  <c r="E76" i="17"/>
  <c r="D76" i="17"/>
  <c r="C76" i="17"/>
  <c r="B76" i="17"/>
  <c r="AM75" i="17"/>
  <c r="AL75" i="17"/>
  <c r="AK75" i="17"/>
  <c r="AJ75" i="17"/>
  <c r="AI75" i="17"/>
  <c r="AH75" i="17"/>
  <c r="Y75" i="17"/>
  <c r="U75" i="17"/>
  <c r="T75" i="17"/>
  <c r="S75" i="17"/>
  <c r="R75" i="17"/>
  <c r="Q75" i="17"/>
  <c r="P75" i="17"/>
  <c r="O75" i="17"/>
  <c r="N75" i="17"/>
  <c r="M75" i="17"/>
  <c r="J75" i="17"/>
  <c r="I75" i="17"/>
  <c r="H75" i="17"/>
  <c r="G75" i="17"/>
  <c r="F75" i="17"/>
  <c r="E75" i="17"/>
  <c r="D75" i="17"/>
  <c r="C75" i="17"/>
  <c r="B75" i="17"/>
  <c r="AM74" i="17"/>
  <c r="AL74" i="17"/>
  <c r="AK74" i="17"/>
  <c r="AJ74" i="17"/>
  <c r="AI74" i="17"/>
  <c r="AH74" i="17"/>
  <c r="Y74" i="17"/>
  <c r="U74" i="17"/>
  <c r="T74" i="17"/>
  <c r="S74" i="17"/>
  <c r="R74" i="17"/>
  <c r="Q74" i="17"/>
  <c r="P74" i="17"/>
  <c r="O74" i="17"/>
  <c r="N74" i="17"/>
  <c r="M74" i="17"/>
  <c r="J74" i="17"/>
  <c r="I74" i="17"/>
  <c r="H74" i="17"/>
  <c r="G74" i="17"/>
  <c r="F74" i="17"/>
  <c r="E74" i="17"/>
  <c r="D74" i="17"/>
  <c r="C74" i="17"/>
  <c r="B74" i="17"/>
  <c r="AM73" i="17"/>
  <c r="AL73" i="17"/>
  <c r="AK73" i="17"/>
  <c r="AJ73" i="17"/>
  <c r="AI73" i="17"/>
  <c r="AH73" i="17"/>
  <c r="Y73" i="17"/>
  <c r="U73" i="17"/>
  <c r="T73" i="17"/>
  <c r="S73" i="17"/>
  <c r="R73" i="17"/>
  <c r="Q73" i="17"/>
  <c r="P73" i="17"/>
  <c r="O73" i="17"/>
  <c r="N73" i="17"/>
  <c r="M73" i="17"/>
  <c r="J73" i="17"/>
  <c r="I73" i="17"/>
  <c r="H73" i="17"/>
  <c r="G73" i="17"/>
  <c r="F73" i="17"/>
  <c r="E73" i="17"/>
  <c r="D73" i="17"/>
  <c r="C73" i="17"/>
  <c r="B73" i="17"/>
  <c r="AM72" i="17"/>
  <c r="AL72" i="17"/>
  <c r="AK72" i="17"/>
  <c r="AJ72" i="17"/>
  <c r="AI72" i="17"/>
  <c r="AH72" i="17"/>
  <c r="Y72" i="17"/>
  <c r="U72" i="17"/>
  <c r="T72" i="17"/>
  <c r="S72" i="17"/>
  <c r="R72" i="17"/>
  <c r="Q72" i="17"/>
  <c r="P72" i="17"/>
  <c r="O72" i="17"/>
  <c r="N72" i="17"/>
  <c r="M72" i="17"/>
  <c r="J72" i="17"/>
  <c r="I72" i="17"/>
  <c r="H72" i="17"/>
  <c r="G72" i="17"/>
  <c r="F72" i="17"/>
  <c r="E72" i="17"/>
  <c r="D72" i="17"/>
  <c r="C72" i="17"/>
  <c r="B72" i="17"/>
  <c r="AM71" i="17"/>
  <c r="AL71" i="17"/>
  <c r="AK71" i="17"/>
  <c r="AJ71" i="17"/>
  <c r="AI71" i="17"/>
  <c r="AH71" i="17"/>
  <c r="Y71" i="17"/>
  <c r="U71" i="17"/>
  <c r="T71" i="17"/>
  <c r="S71" i="17"/>
  <c r="R71" i="17"/>
  <c r="Q71" i="17"/>
  <c r="P71" i="17"/>
  <c r="O71" i="17"/>
  <c r="N71" i="17"/>
  <c r="M71" i="17"/>
  <c r="J71" i="17"/>
  <c r="I71" i="17"/>
  <c r="H71" i="17"/>
  <c r="G71" i="17"/>
  <c r="F71" i="17"/>
  <c r="E71" i="17"/>
  <c r="D71" i="17"/>
  <c r="C71" i="17"/>
  <c r="B71" i="17"/>
  <c r="AM70" i="17"/>
  <c r="AL70" i="17"/>
  <c r="AK70" i="17"/>
  <c r="AJ70" i="17"/>
  <c r="AI70" i="17"/>
  <c r="AH70" i="17"/>
  <c r="Y70" i="17"/>
  <c r="U70" i="17"/>
  <c r="T70" i="17"/>
  <c r="S70" i="17"/>
  <c r="R70" i="17"/>
  <c r="Q70" i="17"/>
  <c r="P70" i="17"/>
  <c r="O70" i="17"/>
  <c r="N70" i="17"/>
  <c r="M70" i="17"/>
  <c r="J70" i="17"/>
  <c r="I70" i="17"/>
  <c r="H70" i="17"/>
  <c r="G70" i="17"/>
  <c r="F70" i="17"/>
  <c r="E70" i="17"/>
  <c r="D70" i="17"/>
  <c r="C70" i="17"/>
  <c r="B70" i="17"/>
  <c r="AM69" i="17"/>
  <c r="AL69" i="17"/>
  <c r="AK69" i="17"/>
  <c r="AJ69" i="17"/>
  <c r="AI69" i="17"/>
  <c r="AH69" i="17"/>
  <c r="Y69" i="17"/>
  <c r="U69" i="17"/>
  <c r="T69" i="17"/>
  <c r="S69" i="17"/>
  <c r="R69" i="17"/>
  <c r="Q69" i="17"/>
  <c r="P69" i="17"/>
  <c r="O69" i="17"/>
  <c r="N69" i="17"/>
  <c r="M69" i="17"/>
  <c r="J69" i="17"/>
  <c r="I69" i="17"/>
  <c r="H69" i="17"/>
  <c r="G69" i="17"/>
  <c r="F69" i="17"/>
  <c r="E69" i="17"/>
  <c r="D69" i="17"/>
  <c r="C69" i="17"/>
  <c r="B69" i="17"/>
  <c r="AM68" i="17"/>
  <c r="AL68" i="17"/>
  <c r="AK68" i="17"/>
  <c r="AJ68" i="17"/>
  <c r="AI68" i="17"/>
  <c r="AH68" i="17"/>
  <c r="Y68" i="17"/>
  <c r="U68" i="17"/>
  <c r="T68" i="17"/>
  <c r="S68" i="17"/>
  <c r="R68" i="17"/>
  <c r="Q68" i="17"/>
  <c r="P68" i="17"/>
  <c r="O68" i="17"/>
  <c r="N68" i="17"/>
  <c r="M68" i="17"/>
  <c r="J68" i="17"/>
  <c r="I68" i="17"/>
  <c r="H68" i="17"/>
  <c r="G68" i="17"/>
  <c r="F68" i="17"/>
  <c r="E68" i="17"/>
  <c r="D68" i="17"/>
  <c r="C68" i="17"/>
  <c r="B68" i="17"/>
  <c r="AM67" i="17"/>
  <c r="AL67" i="17"/>
  <c r="AK67" i="17"/>
  <c r="AJ67" i="17"/>
  <c r="AI67" i="17"/>
  <c r="AH67" i="17"/>
  <c r="Y67" i="17"/>
  <c r="U67" i="17"/>
  <c r="T67" i="17"/>
  <c r="S67" i="17"/>
  <c r="R67" i="17"/>
  <c r="Q67" i="17"/>
  <c r="P67" i="17"/>
  <c r="O67" i="17"/>
  <c r="N67" i="17"/>
  <c r="M67" i="17"/>
  <c r="J67" i="17"/>
  <c r="I67" i="17"/>
  <c r="H67" i="17"/>
  <c r="G67" i="17"/>
  <c r="F67" i="17"/>
  <c r="E67" i="17"/>
  <c r="D67" i="17"/>
  <c r="C67" i="17"/>
  <c r="B67" i="17"/>
  <c r="AM66" i="17"/>
  <c r="AL66" i="17"/>
  <c r="AK66" i="17"/>
  <c r="AJ66" i="17"/>
  <c r="AI66" i="17"/>
  <c r="AH66" i="17"/>
  <c r="Y66" i="17"/>
  <c r="U66" i="17"/>
  <c r="T66" i="17"/>
  <c r="S66" i="17"/>
  <c r="R66" i="17"/>
  <c r="Q66" i="17"/>
  <c r="P66" i="17"/>
  <c r="O66" i="17"/>
  <c r="N66" i="17"/>
  <c r="M66" i="17"/>
  <c r="J66" i="17"/>
  <c r="I66" i="17"/>
  <c r="H66" i="17"/>
  <c r="G66" i="17"/>
  <c r="F66" i="17"/>
  <c r="E66" i="17"/>
  <c r="D66" i="17"/>
  <c r="C66" i="17"/>
  <c r="B66" i="17"/>
  <c r="AM65" i="17"/>
  <c r="AL65" i="17"/>
  <c r="AK65" i="17"/>
  <c r="AJ65" i="17"/>
  <c r="AI65" i="17"/>
  <c r="AH65" i="17"/>
  <c r="Y65" i="17"/>
  <c r="U65" i="17"/>
  <c r="T65" i="17"/>
  <c r="S65" i="17"/>
  <c r="R65" i="17"/>
  <c r="Q65" i="17"/>
  <c r="P65" i="17"/>
  <c r="O65" i="17"/>
  <c r="N65" i="17"/>
  <c r="M65" i="17"/>
  <c r="J65" i="17"/>
  <c r="I65" i="17"/>
  <c r="H65" i="17"/>
  <c r="G65" i="17"/>
  <c r="F65" i="17"/>
  <c r="E65" i="17"/>
  <c r="D65" i="17"/>
  <c r="C65" i="17"/>
  <c r="B65" i="17"/>
  <c r="AM64" i="17"/>
  <c r="AL64" i="17"/>
  <c r="AK64" i="17"/>
  <c r="AJ64" i="17"/>
  <c r="AI64" i="17"/>
  <c r="AH64" i="17"/>
  <c r="Y64" i="17"/>
  <c r="U64" i="17"/>
  <c r="T64" i="17"/>
  <c r="S64" i="17"/>
  <c r="R64" i="17"/>
  <c r="Q64" i="17"/>
  <c r="P64" i="17"/>
  <c r="O64" i="17"/>
  <c r="N64" i="17"/>
  <c r="M64" i="17"/>
  <c r="J64" i="17"/>
  <c r="I64" i="17"/>
  <c r="H64" i="17"/>
  <c r="G64" i="17"/>
  <c r="F64" i="17"/>
  <c r="E64" i="17"/>
  <c r="D64" i="17"/>
  <c r="C64" i="17"/>
  <c r="B64" i="17"/>
  <c r="AM63" i="17"/>
  <c r="AL63" i="17"/>
  <c r="AK63" i="17"/>
  <c r="AJ63" i="17"/>
  <c r="AI63" i="17"/>
  <c r="AH63" i="17"/>
  <c r="Y63" i="17"/>
  <c r="U63" i="17"/>
  <c r="T63" i="17"/>
  <c r="S63" i="17"/>
  <c r="R63" i="17"/>
  <c r="Q63" i="17"/>
  <c r="P63" i="17"/>
  <c r="O63" i="17"/>
  <c r="N63" i="17"/>
  <c r="M63" i="17"/>
  <c r="J63" i="17"/>
  <c r="I63" i="17"/>
  <c r="H63" i="17"/>
  <c r="G63" i="17"/>
  <c r="F63" i="17"/>
  <c r="E63" i="17"/>
  <c r="D63" i="17"/>
  <c r="C63" i="17"/>
  <c r="B63" i="17"/>
  <c r="AM62" i="17"/>
  <c r="AL62" i="17"/>
  <c r="AK62" i="17"/>
  <c r="AJ62" i="17"/>
  <c r="AI62" i="17"/>
  <c r="AH62" i="17"/>
  <c r="Y62" i="17"/>
  <c r="U62" i="17"/>
  <c r="T62" i="17"/>
  <c r="S62" i="17"/>
  <c r="R62" i="17"/>
  <c r="Q62" i="17"/>
  <c r="P62" i="17"/>
  <c r="O62" i="17"/>
  <c r="N62" i="17"/>
  <c r="M62" i="17"/>
  <c r="J62" i="17"/>
  <c r="I62" i="17"/>
  <c r="H62" i="17"/>
  <c r="G62" i="17"/>
  <c r="F62" i="17"/>
  <c r="E62" i="17"/>
  <c r="D62" i="17"/>
  <c r="C62" i="17"/>
  <c r="B62" i="17"/>
  <c r="AM61" i="17"/>
  <c r="AL61" i="17"/>
  <c r="AK61" i="17"/>
  <c r="AJ61" i="17"/>
  <c r="AI61" i="17"/>
  <c r="AH61" i="17"/>
  <c r="Y61" i="17"/>
  <c r="U61" i="17"/>
  <c r="T61" i="17"/>
  <c r="S61" i="17"/>
  <c r="R61" i="17"/>
  <c r="Q61" i="17"/>
  <c r="P61" i="17"/>
  <c r="O61" i="17"/>
  <c r="N61" i="17"/>
  <c r="M61" i="17"/>
  <c r="J61" i="17"/>
  <c r="I61" i="17"/>
  <c r="H61" i="17"/>
  <c r="G61" i="17"/>
  <c r="F61" i="17"/>
  <c r="E61" i="17"/>
  <c r="D61" i="17"/>
  <c r="C61" i="17"/>
  <c r="B61" i="17"/>
  <c r="AM60" i="17"/>
  <c r="AL60" i="17"/>
  <c r="AK60" i="17"/>
  <c r="AJ60" i="17"/>
  <c r="AI60" i="17"/>
  <c r="AH60" i="17"/>
  <c r="Y60" i="17"/>
  <c r="U60" i="17"/>
  <c r="T60" i="17"/>
  <c r="S60" i="17"/>
  <c r="R60" i="17"/>
  <c r="Q60" i="17"/>
  <c r="P60" i="17"/>
  <c r="O60" i="17"/>
  <c r="N60" i="17"/>
  <c r="M60" i="17"/>
  <c r="J60" i="17"/>
  <c r="I60" i="17"/>
  <c r="H60" i="17"/>
  <c r="G60" i="17"/>
  <c r="F60" i="17"/>
  <c r="E60" i="17"/>
  <c r="D60" i="17"/>
  <c r="C60" i="17"/>
  <c r="B60" i="17"/>
  <c r="AM59" i="17"/>
  <c r="AL59" i="17"/>
  <c r="AK59" i="17"/>
  <c r="AJ59" i="17"/>
  <c r="AI59" i="17"/>
  <c r="AH59" i="17"/>
  <c r="Y59" i="17"/>
  <c r="U59" i="17"/>
  <c r="T59" i="17"/>
  <c r="S59" i="17"/>
  <c r="R59" i="17"/>
  <c r="Q59" i="17"/>
  <c r="P59" i="17"/>
  <c r="O59" i="17"/>
  <c r="N59" i="17"/>
  <c r="M59" i="17"/>
  <c r="J59" i="17"/>
  <c r="I59" i="17"/>
  <c r="H59" i="17"/>
  <c r="G59" i="17"/>
  <c r="F59" i="17"/>
  <c r="E59" i="17"/>
  <c r="D59" i="17"/>
  <c r="C59" i="17"/>
  <c r="B59" i="17"/>
  <c r="AM58" i="17"/>
  <c r="AL58" i="17"/>
  <c r="AK58" i="17"/>
  <c r="AJ58" i="17"/>
  <c r="AI58" i="17"/>
  <c r="AH58" i="17"/>
  <c r="Y58" i="17"/>
  <c r="U58" i="17"/>
  <c r="T58" i="17"/>
  <c r="S58" i="17"/>
  <c r="R58" i="17"/>
  <c r="Q58" i="17"/>
  <c r="P58" i="17"/>
  <c r="O58" i="17"/>
  <c r="N58" i="17"/>
  <c r="M58" i="17"/>
  <c r="J58" i="17"/>
  <c r="I58" i="17"/>
  <c r="H58" i="17"/>
  <c r="G58" i="17"/>
  <c r="F58" i="17"/>
  <c r="E58" i="17"/>
  <c r="D58" i="17"/>
  <c r="C58" i="17"/>
  <c r="B58" i="17"/>
  <c r="AM57" i="17"/>
  <c r="AL57" i="17"/>
  <c r="AK57" i="17"/>
  <c r="AJ57" i="17"/>
  <c r="AI57" i="17"/>
  <c r="AH57" i="17"/>
  <c r="Y57" i="17"/>
  <c r="U57" i="17"/>
  <c r="T57" i="17"/>
  <c r="S57" i="17"/>
  <c r="R57" i="17"/>
  <c r="Q57" i="17"/>
  <c r="P57" i="17"/>
  <c r="O57" i="17"/>
  <c r="N57" i="17"/>
  <c r="M57" i="17"/>
  <c r="J57" i="17"/>
  <c r="I57" i="17"/>
  <c r="H57" i="17"/>
  <c r="G57" i="17"/>
  <c r="F57" i="17"/>
  <c r="E57" i="17"/>
  <c r="D57" i="17"/>
  <c r="C57" i="17"/>
  <c r="B57" i="17"/>
  <c r="AM56" i="17"/>
  <c r="AL56" i="17"/>
  <c r="AK56" i="17"/>
  <c r="AJ56" i="17"/>
  <c r="AI56" i="17"/>
  <c r="AH56" i="17"/>
  <c r="Y56" i="17"/>
  <c r="U56" i="17"/>
  <c r="T56" i="17"/>
  <c r="S56" i="17"/>
  <c r="R56" i="17"/>
  <c r="Q56" i="17"/>
  <c r="P56" i="17"/>
  <c r="O56" i="17"/>
  <c r="N56" i="17"/>
  <c r="M56" i="17"/>
  <c r="J56" i="17"/>
  <c r="I56" i="17"/>
  <c r="H56" i="17"/>
  <c r="G56" i="17"/>
  <c r="F56" i="17"/>
  <c r="E56" i="17"/>
  <c r="D56" i="17"/>
  <c r="C56" i="17"/>
  <c r="B56" i="17"/>
  <c r="AM55" i="17"/>
  <c r="AL55" i="17"/>
  <c r="AK55" i="17"/>
  <c r="AJ55" i="17"/>
  <c r="AI55" i="17"/>
  <c r="AH55" i="17"/>
  <c r="Y55" i="17"/>
  <c r="U55" i="17"/>
  <c r="T55" i="17"/>
  <c r="S55" i="17"/>
  <c r="R55" i="17"/>
  <c r="Q55" i="17"/>
  <c r="P55" i="17"/>
  <c r="O55" i="17"/>
  <c r="N55" i="17"/>
  <c r="M55" i="17"/>
  <c r="J55" i="17"/>
  <c r="I55" i="17"/>
  <c r="H55" i="17"/>
  <c r="G55" i="17"/>
  <c r="F55" i="17"/>
  <c r="E55" i="17"/>
  <c r="D55" i="17"/>
  <c r="C55" i="17"/>
  <c r="B55" i="17"/>
  <c r="AM54" i="17"/>
  <c r="AL54" i="17"/>
  <c r="AK54" i="17"/>
  <c r="AJ54" i="17"/>
  <c r="AI54" i="17"/>
  <c r="AH54" i="17"/>
  <c r="Y54" i="17"/>
  <c r="U54" i="17"/>
  <c r="T54" i="17"/>
  <c r="S54" i="17"/>
  <c r="R54" i="17"/>
  <c r="Q54" i="17"/>
  <c r="P54" i="17"/>
  <c r="O54" i="17"/>
  <c r="N54" i="17"/>
  <c r="M54" i="17"/>
  <c r="J54" i="17"/>
  <c r="I54" i="17"/>
  <c r="H54" i="17"/>
  <c r="G54" i="17"/>
  <c r="F54" i="17"/>
  <c r="E54" i="17"/>
  <c r="D54" i="17"/>
  <c r="C54" i="17"/>
  <c r="B54" i="17"/>
  <c r="AM53" i="17"/>
  <c r="AL53" i="17"/>
  <c r="AK53" i="17"/>
  <c r="AJ53" i="17"/>
  <c r="AI53" i="17"/>
  <c r="AH53" i="17"/>
  <c r="Y53" i="17"/>
  <c r="U53" i="17"/>
  <c r="T53" i="17"/>
  <c r="S53" i="17"/>
  <c r="R53" i="17"/>
  <c r="Q53" i="17"/>
  <c r="P53" i="17"/>
  <c r="O53" i="17"/>
  <c r="N53" i="17"/>
  <c r="M53" i="17"/>
  <c r="J53" i="17"/>
  <c r="I53" i="17"/>
  <c r="H53" i="17"/>
  <c r="G53" i="17"/>
  <c r="F53" i="17"/>
  <c r="E53" i="17"/>
  <c r="D53" i="17"/>
  <c r="C53" i="17"/>
  <c r="B53" i="17"/>
  <c r="AM52" i="17"/>
  <c r="AL52" i="17"/>
  <c r="AK52" i="17"/>
  <c r="AJ52" i="17"/>
  <c r="AI52" i="17"/>
  <c r="AH52" i="17"/>
  <c r="Y52" i="17"/>
  <c r="U52" i="17"/>
  <c r="T52" i="17"/>
  <c r="S52" i="17"/>
  <c r="R52" i="17"/>
  <c r="Q52" i="17"/>
  <c r="P52" i="17"/>
  <c r="O52" i="17"/>
  <c r="N52" i="17"/>
  <c r="M52" i="17"/>
  <c r="J52" i="17"/>
  <c r="I52" i="17"/>
  <c r="H52" i="17"/>
  <c r="G52" i="17"/>
  <c r="F52" i="17"/>
  <c r="E52" i="17"/>
  <c r="D52" i="17"/>
  <c r="C52" i="17"/>
  <c r="B52" i="17"/>
  <c r="AM51" i="17"/>
  <c r="AL51" i="17"/>
  <c r="AK51" i="17"/>
  <c r="AJ51" i="17"/>
  <c r="AI51" i="17"/>
  <c r="AH51" i="17"/>
  <c r="Y51" i="17"/>
  <c r="U51" i="17"/>
  <c r="T51" i="17"/>
  <c r="S51" i="17"/>
  <c r="R51" i="17"/>
  <c r="Q51" i="17"/>
  <c r="P51" i="17"/>
  <c r="O51" i="17"/>
  <c r="N51" i="17"/>
  <c r="M51" i="17"/>
  <c r="J51" i="17"/>
  <c r="I51" i="17"/>
  <c r="H51" i="17"/>
  <c r="G51" i="17"/>
  <c r="F51" i="17"/>
  <c r="E51" i="17"/>
  <c r="D51" i="17"/>
  <c r="C51" i="17"/>
  <c r="B51" i="17"/>
  <c r="AM50" i="17"/>
  <c r="AL50" i="17"/>
  <c r="AK50" i="17"/>
  <c r="AJ50" i="17"/>
  <c r="AI50" i="17"/>
  <c r="AH50" i="17"/>
  <c r="Y50" i="17"/>
  <c r="U50" i="17"/>
  <c r="T50" i="17"/>
  <c r="S50" i="17"/>
  <c r="R50" i="17"/>
  <c r="Q50" i="17"/>
  <c r="P50" i="17"/>
  <c r="O50" i="17"/>
  <c r="N50" i="17"/>
  <c r="M50" i="17"/>
  <c r="J50" i="17"/>
  <c r="I50" i="17"/>
  <c r="H50" i="17"/>
  <c r="G50" i="17"/>
  <c r="F50" i="17"/>
  <c r="E50" i="17"/>
  <c r="D50" i="17"/>
  <c r="C50" i="17"/>
  <c r="B50" i="17"/>
  <c r="AM49" i="17"/>
  <c r="AL49" i="17"/>
  <c r="AK49" i="17"/>
  <c r="AJ49" i="17"/>
  <c r="AI49" i="17"/>
  <c r="AH49" i="17"/>
  <c r="Y49" i="17"/>
  <c r="U49" i="17"/>
  <c r="T49" i="17"/>
  <c r="S49" i="17"/>
  <c r="R49" i="17"/>
  <c r="Q49" i="17"/>
  <c r="P49" i="17"/>
  <c r="O49" i="17"/>
  <c r="N49" i="17"/>
  <c r="M49" i="17"/>
  <c r="L49" i="17"/>
  <c r="K49" i="17"/>
  <c r="J49" i="17"/>
  <c r="I49" i="17"/>
  <c r="H49" i="17"/>
  <c r="G49" i="17"/>
  <c r="F49" i="17"/>
  <c r="E49" i="17"/>
  <c r="D49" i="17"/>
  <c r="C49" i="17"/>
  <c r="B49" i="17"/>
  <c r="AM48" i="17"/>
  <c r="AL48" i="17"/>
  <c r="AK48" i="17"/>
  <c r="AJ48" i="17"/>
  <c r="AI48" i="17"/>
  <c r="AH48" i="17"/>
  <c r="Y48" i="17"/>
  <c r="U48" i="17"/>
  <c r="T48" i="17"/>
  <c r="S48" i="17"/>
  <c r="R48" i="17"/>
  <c r="Q48" i="17"/>
  <c r="P48" i="17"/>
  <c r="O48" i="17"/>
  <c r="N48" i="17"/>
  <c r="M48" i="17"/>
  <c r="J48" i="17"/>
  <c r="I48" i="17"/>
  <c r="H48" i="17"/>
  <c r="G48" i="17"/>
  <c r="F48" i="17"/>
  <c r="E48" i="17"/>
  <c r="D48" i="17"/>
  <c r="C48" i="17"/>
  <c r="B48" i="17"/>
  <c r="AM47" i="17"/>
  <c r="AL47" i="17"/>
  <c r="AK47" i="17"/>
  <c r="AJ47" i="17"/>
  <c r="AI47" i="17"/>
  <c r="AH47" i="17"/>
  <c r="Y47" i="17"/>
  <c r="U47" i="17"/>
  <c r="T47" i="17"/>
  <c r="S47" i="17"/>
  <c r="R47" i="17"/>
  <c r="Q47" i="17"/>
  <c r="P47" i="17"/>
  <c r="O47" i="17"/>
  <c r="N47" i="17"/>
  <c r="M47" i="17"/>
  <c r="J47" i="17"/>
  <c r="I47" i="17"/>
  <c r="H47" i="17"/>
  <c r="G47" i="17"/>
  <c r="F47" i="17"/>
  <c r="E47" i="17"/>
  <c r="D47" i="17"/>
  <c r="C47" i="17"/>
  <c r="B47" i="17"/>
  <c r="AM46" i="17"/>
  <c r="AL46" i="17"/>
  <c r="AK46" i="17"/>
  <c r="AJ46" i="17"/>
  <c r="AI46" i="17"/>
  <c r="AH46" i="17"/>
  <c r="Y46" i="17"/>
  <c r="U46" i="17"/>
  <c r="T46" i="17"/>
  <c r="S46" i="17"/>
  <c r="R46" i="17"/>
  <c r="Q46" i="17"/>
  <c r="P46" i="17"/>
  <c r="O46" i="17"/>
  <c r="N46" i="17"/>
  <c r="M46" i="17"/>
  <c r="J46" i="17"/>
  <c r="I46" i="17"/>
  <c r="H46" i="17"/>
  <c r="G46" i="17"/>
  <c r="F46" i="17"/>
  <c r="E46" i="17"/>
  <c r="D46" i="17"/>
  <c r="C46" i="17"/>
  <c r="B46" i="17"/>
  <c r="AM45" i="17"/>
  <c r="AL45" i="17"/>
  <c r="AK45" i="17"/>
  <c r="AJ45" i="17"/>
  <c r="AI45" i="17"/>
  <c r="AH45" i="17"/>
  <c r="Y45" i="17"/>
  <c r="U45" i="17"/>
  <c r="T45" i="17"/>
  <c r="S45" i="17"/>
  <c r="R45" i="17"/>
  <c r="Q45" i="17"/>
  <c r="P45" i="17"/>
  <c r="O45" i="17"/>
  <c r="N45" i="17"/>
  <c r="M45" i="17"/>
  <c r="J45" i="17"/>
  <c r="I45" i="17"/>
  <c r="H45" i="17"/>
  <c r="G45" i="17"/>
  <c r="F45" i="17"/>
  <c r="E45" i="17"/>
  <c r="D45" i="17"/>
  <c r="C45" i="17"/>
  <c r="B45" i="17"/>
  <c r="AM44" i="17"/>
  <c r="AL44" i="17"/>
  <c r="AK44" i="17"/>
  <c r="AJ44" i="17"/>
  <c r="AI44" i="17"/>
  <c r="AH44" i="17"/>
  <c r="Y44" i="17"/>
  <c r="U44" i="17"/>
  <c r="T44" i="17"/>
  <c r="S44" i="17"/>
  <c r="R44" i="17"/>
  <c r="Q44" i="17"/>
  <c r="P44" i="17"/>
  <c r="O44" i="17"/>
  <c r="N44" i="17"/>
  <c r="M44" i="17"/>
  <c r="J44" i="17"/>
  <c r="I44" i="17"/>
  <c r="H44" i="17"/>
  <c r="G44" i="17"/>
  <c r="F44" i="17"/>
  <c r="E44" i="17"/>
  <c r="D44" i="17"/>
  <c r="C44" i="17"/>
  <c r="B44" i="17"/>
  <c r="AM43" i="17"/>
  <c r="AL43" i="17"/>
  <c r="AK43" i="17"/>
  <c r="AJ43" i="17"/>
  <c r="AI43" i="17"/>
  <c r="AH43" i="17"/>
  <c r="Y43" i="17"/>
  <c r="U43" i="17"/>
  <c r="T43" i="17"/>
  <c r="S43" i="17"/>
  <c r="R43" i="17"/>
  <c r="Q43" i="17"/>
  <c r="P43" i="17"/>
  <c r="O43" i="17"/>
  <c r="N43" i="17"/>
  <c r="M43" i="17"/>
  <c r="J43" i="17"/>
  <c r="I43" i="17"/>
  <c r="H43" i="17"/>
  <c r="G43" i="17"/>
  <c r="F43" i="17"/>
  <c r="E43" i="17"/>
  <c r="D43" i="17"/>
  <c r="C43" i="17"/>
  <c r="B43" i="17"/>
  <c r="AM42" i="17"/>
  <c r="AL42" i="17"/>
  <c r="AK42" i="17"/>
  <c r="AJ42" i="17"/>
  <c r="AI42" i="17"/>
  <c r="AH42" i="17"/>
  <c r="Y42" i="17"/>
  <c r="U42" i="17"/>
  <c r="T42" i="17"/>
  <c r="S42" i="17"/>
  <c r="R42" i="17"/>
  <c r="Q42" i="17"/>
  <c r="P42" i="17"/>
  <c r="O42" i="17"/>
  <c r="N42" i="17"/>
  <c r="M42" i="17"/>
  <c r="J42" i="17"/>
  <c r="I42" i="17"/>
  <c r="H42" i="17"/>
  <c r="G42" i="17"/>
  <c r="F42" i="17"/>
  <c r="E42" i="17"/>
  <c r="D42" i="17"/>
  <c r="C42" i="17"/>
  <c r="B42" i="17"/>
  <c r="AM41" i="17"/>
  <c r="AL41" i="17"/>
  <c r="AK41" i="17"/>
  <c r="AJ41" i="17"/>
  <c r="AI41" i="17"/>
  <c r="AH41" i="17"/>
  <c r="Y41" i="17"/>
  <c r="U41" i="17"/>
  <c r="T41" i="17"/>
  <c r="S41" i="17"/>
  <c r="R41" i="17"/>
  <c r="Q41" i="17"/>
  <c r="P41" i="17"/>
  <c r="O41" i="17"/>
  <c r="N41" i="17"/>
  <c r="M41" i="17"/>
  <c r="J41" i="17"/>
  <c r="I41" i="17"/>
  <c r="H41" i="17"/>
  <c r="G41" i="17"/>
  <c r="F41" i="17"/>
  <c r="E41" i="17"/>
  <c r="D41" i="17"/>
  <c r="C41" i="17"/>
  <c r="B41" i="17"/>
  <c r="AM40" i="17"/>
  <c r="AL40" i="17"/>
  <c r="AK40" i="17"/>
  <c r="AJ40" i="17"/>
  <c r="AI40" i="17"/>
  <c r="AH40" i="17"/>
  <c r="Y40" i="17"/>
  <c r="U40" i="17"/>
  <c r="T40" i="17"/>
  <c r="S40" i="17"/>
  <c r="R40" i="17"/>
  <c r="Q40" i="17"/>
  <c r="P40" i="17"/>
  <c r="O40" i="17"/>
  <c r="N40" i="17"/>
  <c r="M40" i="17"/>
  <c r="J40" i="17"/>
  <c r="I40" i="17"/>
  <c r="H40" i="17"/>
  <c r="G40" i="17"/>
  <c r="F40" i="17"/>
  <c r="E40" i="17"/>
  <c r="D40" i="17"/>
  <c r="C40" i="17"/>
  <c r="B40" i="17"/>
  <c r="AM39" i="17"/>
  <c r="AL39" i="17"/>
  <c r="AK39" i="17"/>
  <c r="AJ39" i="17"/>
  <c r="AI39" i="17"/>
  <c r="AH39" i="17"/>
  <c r="Y39" i="17"/>
  <c r="U39" i="17"/>
  <c r="T39" i="17"/>
  <c r="S39" i="17"/>
  <c r="R39" i="17"/>
  <c r="Q39" i="17"/>
  <c r="P39" i="17"/>
  <c r="O39" i="17"/>
  <c r="N39" i="17"/>
  <c r="M39" i="17"/>
  <c r="J39" i="17"/>
  <c r="I39" i="17"/>
  <c r="H39" i="17"/>
  <c r="G39" i="17"/>
  <c r="F39" i="17"/>
  <c r="E39" i="17"/>
  <c r="D39" i="17"/>
  <c r="C39" i="17"/>
  <c r="B39" i="17"/>
  <c r="AM38" i="17"/>
  <c r="AL38" i="17"/>
  <c r="AK38" i="17"/>
  <c r="AJ38" i="17"/>
  <c r="AI38" i="17"/>
  <c r="AH38" i="17"/>
  <c r="Y38" i="17"/>
  <c r="U38" i="17"/>
  <c r="T38" i="17"/>
  <c r="S38" i="17"/>
  <c r="R38" i="17"/>
  <c r="Q38" i="17"/>
  <c r="P38" i="17"/>
  <c r="O38" i="17"/>
  <c r="N38" i="17"/>
  <c r="M38" i="17"/>
  <c r="J38" i="17"/>
  <c r="I38" i="17"/>
  <c r="H38" i="17"/>
  <c r="G38" i="17"/>
  <c r="F38" i="17"/>
  <c r="E38" i="17"/>
  <c r="D38" i="17"/>
  <c r="C38" i="17"/>
  <c r="B38" i="17"/>
  <c r="AM37" i="17"/>
  <c r="AL37" i="17"/>
  <c r="AK37" i="17"/>
  <c r="AJ37" i="17"/>
  <c r="AI37" i="17"/>
  <c r="AH37" i="17"/>
  <c r="Y37" i="17"/>
  <c r="U37" i="17"/>
  <c r="T37" i="17"/>
  <c r="S37" i="17"/>
  <c r="R37" i="17"/>
  <c r="Q37" i="17"/>
  <c r="P37" i="17"/>
  <c r="O37" i="17"/>
  <c r="N37" i="17"/>
  <c r="M37" i="17"/>
  <c r="J37" i="17"/>
  <c r="I37" i="17"/>
  <c r="H37" i="17"/>
  <c r="G37" i="17"/>
  <c r="F37" i="17"/>
  <c r="E37" i="17"/>
  <c r="D37" i="17"/>
  <c r="C37" i="17"/>
  <c r="B37" i="17"/>
  <c r="AM36" i="17"/>
  <c r="AL36" i="17"/>
  <c r="AK36" i="17"/>
  <c r="AJ36" i="17"/>
  <c r="AI36" i="17"/>
  <c r="AH36" i="17"/>
  <c r="Y36" i="17"/>
  <c r="U36" i="17"/>
  <c r="T36" i="17"/>
  <c r="S36" i="17"/>
  <c r="R36" i="17"/>
  <c r="Q36" i="17"/>
  <c r="P36" i="17"/>
  <c r="O36" i="17"/>
  <c r="N36" i="17"/>
  <c r="M36" i="17"/>
  <c r="J36" i="17"/>
  <c r="I36" i="17"/>
  <c r="H36" i="17"/>
  <c r="G36" i="17"/>
  <c r="F36" i="17"/>
  <c r="E36" i="17"/>
  <c r="D36" i="17"/>
  <c r="C36" i="17"/>
  <c r="B36" i="17"/>
  <c r="AM35" i="17"/>
  <c r="AL35" i="17"/>
  <c r="AK35" i="17"/>
  <c r="AJ35" i="17"/>
  <c r="AI35" i="17"/>
  <c r="AH35" i="17"/>
  <c r="Y35" i="17"/>
  <c r="U35" i="17"/>
  <c r="T35" i="17"/>
  <c r="S35" i="17"/>
  <c r="R35" i="17"/>
  <c r="Q35" i="17"/>
  <c r="P35" i="17"/>
  <c r="O35" i="17"/>
  <c r="N35" i="17"/>
  <c r="M35" i="17"/>
  <c r="J35" i="17"/>
  <c r="I35" i="17"/>
  <c r="H35" i="17"/>
  <c r="G35" i="17"/>
  <c r="F35" i="17"/>
  <c r="E35" i="17"/>
  <c r="D35" i="17"/>
  <c r="C35" i="17"/>
  <c r="B35" i="17"/>
  <c r="AM34" i="17"/>
  <c r="AL34" i="17"/>
  <c r="AK34" i="17"/>
  <c r="AJ34" i="17"/>
  <c r="AI34" i="17"/>
  <c r="AH34" i="17"/>
  <c r="Y34" i="17"/>
  <c r="U34" i="17"/>
  <c r="T34" i="17"/>
  <c r="S34" i="17"/>
  <c r="R34" i="17"/>
  <c r="Q34" i="17"/>
  <c r="P34" i="17"/>
  <c r="O34" i="17"/>
  <c r="N34" i="17"/>
  <c r="M34" i="17"/>
  <c r="J34" i="17"/>
  <c r="I34" i="17"/>
  <c r="H34" i="17"/>
  <c r="G34" i="17"/>
  <c r="F34" i="17"/>
  <c r="E34" i="17"/>
  <c r="D34" i="17"/>
  <c r="C34" i="17"/>
  <c r="B34" i="17"/>
  <c r="AM33" i="17"/>
  <c r="AL33" i="17"/>
  <c r="AK33" i="17"/>
  <c r="AJ33" i="17"/>
  <c r="AI33" i="17"/>
  <c r="AH33" i="17"/>
  <c r="Y33" i="17"/>
  <c r="U33" i="17"/>
  <c r="T33" i="17"/>
  <c r="S33" i="17"/>
  <c r="R33" i="17"/>
  <c r="Q33" i="17"/>
  <c r="P33" i="17"/>
  <c r="O33" i="17"/>
  <c r="N33" i="17"/>
  <c r="M33" i="17"/>
  <c r="J33" i="17"/>
  <c r="I33" i="17"/>
  <c r="H33" i="17"/>
  <c r="G33" i="17"/>
  <c r="F33" i="17"/>
  <c r="E33" i="17"/>
  <c r="D33" i="17"/>
  <c r="C33" i="17"/>
  <c r="B33" i="17"/>
  <c r="AM32" i="17"/>
  <c r="AL32" i="17"/>
  <c r="AK32" i="17"/>
  <c r="AJ32" i="17"/>
  <c r="AI32" i="17"/>
  <c r="AH32" i="17"/>
  <c r="Y32" i="17"/>
  <c r="U32" i="17"/>
  <c r="T32" i="17"/>
  <c r="S32" i="17"/>
  <c r="R32" i="17"/>
  <c r="Q32" i="17"/>
  <c r="P32" i="17"/>
  <c r="O32" i="17"/>
  <c r="N32" i="17"/>
  <c r="M32" i="17"/>
  <c r="J32" i="17"/>
  <c r="I32" i="17"/>
  <c r="H32" i="17"/>
  <c r="G32" i="17"/>
  <c r="F32" i="17"/>
  <c r="E32" i="17"/>
  <c r="D32" i="17"/>
  <c r="C32" i="17"/>
  <c r="B32" i="17"/>
  <c r="AM31" i="17"/>
  <c r="AL31" i="17"/>
  <c r="AK31" i="17"/>
  <c r="AJ31" i="17"/>
  <c r="AI31" i="17"/>
  <c r="AH31" i="17"/>
  <c r="Y31" i="17"/>
  <c r="U31" i="17"/>
  <c r="T31" i="17"/>
  <c r="S31" i="17"/>
  <c r="R31" i="17"/>
  <c r="Q31" i="17"/>
  <c r="P31" i="17"/>
  <c r="O31" i="17"/>
  <c r="N31" i="17"/>
  <c r="M31" i="17"/>
  <c r="J31" i="17"/>
  <c r="I31" i="17"/>
  <c r="H31" i="17"/>
  <c r="G31" i="17"/>
  <c r="F31" i="17"/>
  <c r="E31" i="17"/>
  <c r="D31" i="17"/>
  <c r="C31" i="17"/>
  <c r="B31" i="17"/>
  <c r="AM30" i="17"/>
  <c r="AL30" i="17"/>
  <c r="AK30" i="17"/>
  <c r="AJ30" i="17"/>
  <c r="AI30" i="17"/>
  <c r="AH30" i="17"/>
  <c r="Y30" i="17"/>
  <c r="V30" i="17"/>
  <c r="U30" i="17"/>
  <c r="T30" i="17"/>
  <c r="S30" i="17"/>
  <c r="R30" i="17"/>
  <c r="Q30" i="17"/>
  <c r="P30" i="17"/>
  <c r="O30" i="17"/>
  <c r="N30" i="17"/>
  <c r="M30" i="17"/>
  <c r="J30" i="17"/>
  <c r="I30" i="17"/>
  <c r="H30" i="17"/>
  <c r="G30" i="17"/>
  <c r="F30" i="17"/>
  <c r="E30" i="17"/>
  <c r="D30" i="17"/>
  <c r="C30" i="17"/>
  <c r="B30" i="17"/>
  <c r="AM29" i="17"/>
  <c r="AL29" i="17"/>
  <c r="AK29" i="17"/>
  <c r="AJ29" i="17"/>
  <c r="AI29" i="17"/>
  <c r="AH29" i="17"/>
  <c r="Y29" i="17"/>
  <c r="U29" i="17"/>
  <c r="T29" i="17"/>
  <c r="S29" i="17"/>
  <c r="R29" i="17"/>
  <c r="Q29" i="17"/>
  <c r="P29" i="17"/>
  <c r="O29" i="17"/>
  <c r="N29" i="17"/>
  <c r="M29" i="17"/>
  <c r="J29" i="17"/>
  <c r="I29" i="17"/>
  <c r="H29" i="17"/>
  <c r="G29" i="17"/>
  <c r="F29" i="17"/>
  <c r="E29" i="17"/>
  <c r="D29" i="17"/>
  <c r="C29" i="17"/>
  <c r="B29" i="17"/>
  <c r="AM28" i="17"/>
  <c r="AL28" i="17"/>
  <c r="AK28" i="17"/>
  <c r="AJ28" i="17"/>
  <c r="AI28" i="17"/>
  <c r="AH28" i="17"/>
  <c r="Y28" i="17"/>
  <c r="U28" i="17"/>
  <c r="T28" i="17"/>
  <c r="S28" i="17"/>
  <c r="R28" i="17"/>
  <c r="Q28" i="17"/>
  <c r="P28" i="17"/>
  <c r="O28" i="17"/>
  <c r="N28" i="17"/>
  <c r="M28" i="17"/>
  <c r="J28" i="17"/>
  <c r="I28" i="17"/>
  <c r="H28" i="17"/>
  <c r="G28" i="17"/>
  <c r="F28" i="17"/>
  <c r="E28" i="17"/>
  <c r="D28" i="17"/>
  <c r="C28" i="17"/>
  <c r="B28" i="17"/>
  <c r="AM27" i="17"/>
  <c r="AL27" i="17"/>
  <c r="AK27" i="17"/>
  <c r="AJ27" i="17"/>
  <c r="AI27" i="17"/>
  <c r="AH27" i="17"/>
  <c r="Y27" i="17"/>
  <c r="U27" i="17"/>
  <c r="T27" i="17"/>
  <c r="S27" i="17"/>
  <c r="R27" i="17"/>
  <c r="Q27" i="17"/>
  <c r="P27" i="17"/>
  <c r="O27" i="17"/>
  <c r="N27" i="17"/>
  <c r="M27" i="17"/>
  <c r="J27" i="17"/>
  <c r="I27" i="17"/>
  <c r="H27" i="17"/>
  <c r="G27" i="17"/>
  <c r="F27" i="17"/>
  <c r="E27" i="17"/>
  <c r="D27" i="17"/>
  <c r="C27" i="17"/>
  <c r="B27" i="17"/>
  <c r="AM26" i="17"/>
  <c r="AL26" i="17"/>
  <c r="AK26" i="17"/>
  <c r="AJ26" i="17"/>
  <c r="AI26" i="17"/>
  <c r="AH26" i="17"/>
  <c r="Y26" i="17"/>
  <c r="U26" i="17"/>
  <c r="T26" i="17"/>
  <c r="S26" i="17"/>
  <c r="R26" i="17"/>
  <c r="Q26" i="17"/>
  <c r="P26" i="17"/>
  <c r="O26" i="17"/>
  <c r="N26" i="17"/>
  <c r="M26" i="17"/>
  <c r="J26" i="17"/>
  <c r="I26" i="17"/>
  <c r="H26" i="17"/>
  <c r="G26" i="17"/>
  <c r="F26" i="17"/>
  <c r="E26" i="17"/>
  <c r="D26" i="17"/>
  <c r="C26" i="17"/>
  <c r="B26" i="17"/>
  <c r="AM25" i="17"/>
  <c r="AL25" i="17"/>
  <c r="AK25" i="17"/>
  <c r="AJ25" i="17"/>
  <c r="AI25" i="17"/>
  <c r="AH25" i="17"/>
  <c r="Y25" i="17"/>
  <c r="S25" i="17"/>
  <c r="R25" i="17"/>
  <c r="Q25" i="17"/>
  <c r="P25" i="17"/>
  <c r="O25" i="17"/>
  <c r="N25" i="17"/>
  <c r="M25" i="17"/>
  <c r="J25" i="17"/>
  <c r="I25" i="17"/>
  <c r="H25" i="17"/>
  <c r="G25" i="17"/>
  <c r="F25" i="17"/>
  <c r="E25" i="17"/>
  <c r="D25" i="17"/>
  <c r="C25" i="17"/>
  <c r="B25" i="17"/>
  <c r="AM24" i="17"/>
  <c r="AL24" i="17"/>
  <c r="AK24" i="17"/>
  <c r="AJ24" i="17"/>
  <c r="AI24" i="17"/>
  <c r="AH24" i="17"/>
  <c r="Y24" i="17"/>
  <c r="U24" i="17"/>
  <c r="T24" i="17"/>
  <c r="S24" i="17"/>
  <c r="R24" i="17"/>
  <c r="Q24" i="17"/>
  <c r="P24" i="17"/>
  <c r="O24" i="17"/>
  <c r="N24" i="17"/>
  <c r="M24" i="17"/>
  <c r="J24" i="17"/>
  <c r="I24" i="17"/>
  <c r="H24" i="17"/>
  <c r="G24" i="17"/>
  <c r="F24" i="17"/>
  <c r="E24" i="17"/>
  <c r="D24" i="17"/>
  <c r="C24" i="17"/>
  <c r="B24" i="17"/>
  <c r="AM23" i="17"/>
  <c r="AL23" i="17"/>
  <c r="AK23" i="17"/>
  <c r="AJ23" i="17"/>
  <c r="AI23" i="17"/>
  <c r="AH23" i="17"/>
  <c r="Y23" i="17"/>
  <c r="U23" i="17"/>
  <c r="T23" i="17"/>
  <c r="S23" i="17"/>
  <c r="R23" i="17"/>
  <c r="Q23" i="17"/>
  <c r="P23" i="17"/>
  <c r="O23" i="17"/>
  <c r="N23" i="17"/>
  <c r="M23" i="17"/>
  <c r="J23" i="17"/>
  <c r="I23" i="17"/>
  <c r="H23" i="17"/>
  <c r="G23" i="17"/>
  <c r="F23" i="17"/>
  <c r="E23" i="17"/>
  <c r="D23" i="17"/>
  <c r="C23" i="17"/>
  <c r="B23" i="17"/>
  <c r="AM22" i="17"/>
  <c r="AL22" i="17"/>
  <c r="AK22" i="17"/>
  <c r="AJ22" i="17"/>
  <c r="AI22" i="17"/>
  <c r="AH22" i="17"/>
  <c r="Y22" i="17"/>
  <c r="U22" i="17"/>
  <c r="T22" i="17"/>
  <c r="S22" i="17"/>
  <c r="R22" i="17"/>
  <c r="Q22" i="17"/>
  <c r="P22" i="17"/>
  <c r="O22" i="17"/>
  <c r="N22" i="17"/>
  <c r="M22" i="17"/>
  <c r="J22" i="17"/>
  <c r="I22" i="17"/>
  <c r="H22" i="17"/>
  <c r="G22" i="17"/>
  <c r="F22" i="17"/>
  <c r="E22" i="17"/>
  <c r="D22" i="17"/>
  <c r="C22" i="17"/>
  <c r="B22" i="17"/>
  <c r="AM21" i="17"/>
  <c r="AL21" i="17"/>
  <c r="AK21" i="17"/>
  <c r="AJ21" i="17"/>
  <c r="AI21" i="17"/>
  <c r="AH21" i="17"/>
  <c r="Y21" i="17"/>
  <c r="U21" i="17"/>
  <c r="T21" i="17"/>
  <c r="S21" i="17"/>
  <c r="R21" i="17"/>
  <c r="Q21" i="17"/>
  <c r="P21" i="17"/>
  <c r="O21" i="17"/>
  <c r="N21" i="17"/>
  <c r="M21" i="17"/>
  <c r="J21" i="17"/>
  <c r="I21" i="17"/>
  <c r="H21" i="17"/>
  <c r="G21" i="17"/>
  <c r="F21" i="17"/>
  <c r="E21" i="17"/>
  <c r="D21" i="17"/>
  <c r="C21" i="17"/>
  <c r="B21" i="17"/>
  <c r="AM20" i="17"/>
  <c r="AL20" i="17"/>
  <c r="AK20" i="17"/>
  <c r="AJ20" i="17"/>
  <c r="AI20" i="17"/>
  <c r="AH20" i="17"/>
  <c r="Y20" i="17"/>
  <c r="U20" i="17"/>
  <c r="T20" i="17"/>
  <c r="S20" i="17"/>
  <c r="R20" i="17"/>
  <c r="Q20" i="17"/>
  <c r="P20" i="17"/>
  <c r="O20" i="17"/>
  <c r="N20" i="17"/>
  <c r="M20" i="17"/>
  <c r="J20" i="17"/>
  <c r="I20" i="17"/>
  <c r="H20" i="17"/>
  <c r="G20" i="17"/>
  <c r="F20" i="17"/>
  <c r="E20" i="17"/>
  <c r="D20" i="17"/>
  <c r="C20" i="17"/>
  <c r="B20" i="17"/>
  <c r="AM19" i="17"/>
  <c r="AL19" i="17"/>
  <c r="AK19" i="17"/>
  <c r="AJ19" i="17"/>
  <c r="AI19" i="17"/>
  <c r="AH19" i="17"/>
  <c r="Y19" i="17"/>
  <c r="U19" i="17"/>
  <c r="T19" i="17"/>
  <c r="S19" i="17"/>
  <c r="R19" i="17"/>
  <c r="Q19" i="17"/>
  <c r="P19" i="17"/>
  <c r="O19" i="17"/>
  <c r="N19" i="17"/>
  <c r="M19" i="17"/>
  <c r="J19" i="17"/>
  <c r="I19" i="17"/>
  <c r="H19" i="17"/>
  <c r="G19" i="17"/>
  <c r="F19" i="17"/>
  <c r="E19" i="17"/>
  <c r="D19" i="17"/>
  <c r="C19" i="17"/>
  <c r="B19" i="17"/>
  <c r="AM18" i="17"/>
  <c r="AL18" i="17"/>
  <c r="AK18" i="17"/>
  <c r="AJ18" i="17"/>
  <c r="AI18" i="17"/>
  <c r="AH18" i="17"/>
  <c r="Y18" i="17"/>
  <c r="U18" i="17"/>
  <c r="T18" i="17"/>
  <c r="S18" i="17"/>
  <c r="R18" i="17"/>
  <c r="Q18" i="17"/>
  <c r="P18" i="17"/>
  <c r="O18" i="17"/>
  <c r="N18" i="17"/>
  <c r="M18" i="17"/>
  <c r="J18" i="17"/>
  <c r="I18" i="17"/>
  <c r="H18" i="17"/>
  <c r="G18" i="17"/>
  <c r="F18" i="17"/>
  <c r="E18" i="17"/>
  <c r="D18" i="17"/>
  <c r="C18" i="17"/>
  <c r="B18" i="17"/>
  <c r="AM17" i="17"/>
  <c r="AL17" i="17"/>
  <c r="AK17" i="17"/>
  <c r="AJ17" i="17"/>
  <c r="AI17" i="17"/>
  <c r="AH17" i="17"/>
  <c r="Y17" i="17"/>
  <c r="U17" i="17"/>
  <c r="T17" i="17"/>
  <c r="S17" i="17"/>
  <c r="R17" i="17"/>
  <c r="Q17" i="17"/>
  <c r="P17" i="17"/>
  <c r="O17" i="17"/>
  <c r="N17" i="17"/>
  <c r="M17" i="17"/>
  <c r="J17" i="17"/>
  <c r="I17" i="17"/>
  <c r="H17" i="17"/>
  <c r="G17" i="17"/>
  <c r="F17" i="17"/>
  <c r="E17" i="17"/>
  <c r="D17" i="17"/>
  <c r="C17" i="17"/>
  <c r="B17" i="17"/>
  <c r="AM16" i="17"/>
  <c r="AL16" i="17"/>
  <c r="AK16" i="17"/>
  <c r="AJ16" i="17"/>
  <c r="AI16" i="17"/>
  <c r="AH16" i="17"/>
  <c r="Y16" i="17"/>
  <c r="U16" i="17"/>
  <c r="T16" i="17"/>
  <c r="S16" i="17"/>
  <c r="R16" i="17"/>
  <c r="Q16" i="17"/>
  <c r="P16" i="17"/>
  <c r="O16" i="17"/>
  <c r="N16" i="17"/>
  <c r="M16" i="17"/>
  <c r="J16" i="17"/>
  <c r="I16" i="17"/>
  <c r="H16" i="17"/>
  <c r="G16" i="17"/>
  <c r="F16" i="17"/>
  <c r="E16" i="17"/>
  <c r="D16" i="17"/>
  <c r="C16" i="17"/>
  <c r="B16" i="17"/>
  <c r="AM15" i="17"/>
  <c r="AL15" i="17"/>
  <c r="AK15" i="17"/>
  <c r="AJ15" i="17"/>
  <c r="AI15" i="17"/>
  <c r="AH15" i="17"/>
  <c r="Y15" i="17"/>
  <c r="U15" i="17"/>
  <c r="T15" i="17"/>
  <c r="S15" i="17"/>
  <c r="R15" i="17"/>
  <c r="Q15" i="17"/>
  <c r="P15" i="17"/>
  <c r="O15" i="17"/>
  <c r="N15" i="17"/>
  <c r="M15" i="17"/>
  <c r="J15" i="17"/>
  <c r="I15" i="17"/>
  <c r="H15" i="17"/>
  <c r="G15" i="17"/>
  <c r="F15" i="17"/>
  <c r="E15" i="17"/>
  <c r="D15" i="17"/>
  <c r="C15" i="17"/>
  <c r="B15" i="17"/>
  <c r="AM14" i="17"/>
  <c r="AL14" i="17"/>
  <c r="AK14" i="17"/>
  <c r="AJ14" i="17"/>
  <c r="AI14" i="17"/>
  <c r="AH14" i="17"/>
  <c r="Y14" i="17"/>
  <c r="U14" i="17"/>
  <c r="T14" i="17"/>
  <c r="S14" i="17"/>
  <c r="R14" i="17"/>
  <c r="Q14" i="17"/>
  <c r="P14" i="17"/>
  <c r="O14" i="17"/>
  <c r="N14" i="17"/>
  <c r="M14" i="17"/>
  <c r="J14" i="17"/>
  <c r="I14" i="17"/>
  <c r="H14" i="17"/>
  <c r="G14" i="17"/>
  <c r="F14" i="17"/>
  <c r="E14" i="17"/>
  <c r="D14" i="17"/>
  <c r="C14" i="17"/>
  <c r="B14" i="17"/>
  <c r="AM13" i="17"/>
  <c r="AL13" i="17"/>
  <c r="AK13" i="17"/>
  <c r="AJ13" i="17"/>
  <c r="AI13" i="17"/>
  <c r="AH13" i="17"/>
  <c r="Y13" i="17"/>
  <c r="U13" i="17"/>
  <c r="T13" i="17"/>
  <c r="S13" i="17"/>
  <c r="R13" i="17"/>
  <c r="Q13" i="17"/>
  <c r="P13" i="17"/>
  <c r="O13" i="17"/>
  <c r="N13" i="17"/>
  <c r="M13" i="17"/>
  <c r="J13" i="17"/>
  <c r="I13" i="17"/>
  <c r="H13" i="17"/>
  <c r="G13" i="17"/>
  <c r="F13" i="17"/>
  <c r="E13" i="17"/>
  <c r="D13" i="17"/>
  <c r="C13" i="17"/>
  <c r="B13" i="17"/>
  <c r="AM12" i="17"/>
  <c r="AL12" i="17"/>
  <c r="AK12" i="17"/>
  <c r="AJ12" i="17"/>
  <c r="AI12" i="17"/>
  <c r="AH12" i="17"/>
  <c r="Y12" i="17"/>
  <c r="U12" i="17"/>
  <c r="T12" i="17"/>
  <c r="S12" i="17"/>
  <c r="R12" i="17"/>
  <c r="Q12" i="17"/>
  <c r="P12" i="17"/>
  <c r="O12" i="17"/>
  <c r="N12" i="17"/>
  <c r="M12" i="17"/>
  <c r="J12" i="17"/>
  <c r="I12" i="17"/>
  <c r="H12" i="17"/>
  <c r="G12" i="17"/>
  <c r="F12" i="17"/>
  <c r="E12" i="17"/>
  <c r="D12" i="17"/>
  <c r="C12" i="17"/>
  <c r="B12" i="17"/>
  <c r="AM11" i="17"/>
  <c r="AL11" i="17"/>
  <c r="AK11" i="17"/>
  <c r="AJ11" i="17"/>
  <c r="AI11" i="17"/>
  <c r="AH11" i="17"/>
  <c r="Y11" i="17"/>
  <c r="U11" i="17"/>
  <c r="T11" i="17"/>
  <c r="S11" i="17"/>
  <c r="R11" i="17"/>
  <c r="Q11" i="17"/>
  <c r="P11" i="17"/>
  <c r="O11" i="17"/>
  <c r="N11" i="17"/>
  <c r="M11" i="17"/>
  <c r="J11" i="17"/>
  <c r="I11" i="17"/>
  <c r="H11" i="17"/>
  <c r="G11" i="17"/>
  <c r="F11" i="17"/>
  <c r="E11" i="17"/>
  <c r="D11" i="17"/>
  <c r="C11" i="17"/>
  <c r="B11" i="17"/>
  <c r="AM10" i="17"/>
  <c r="AL10" i="17"/>
  <c r="AK10" i="17"/>
  <c r="AJ10" i="17"/>
  <c r="AI10" i="17"/>
  <c r="AH10" i="17"/>
  <c r="Y10" i="17"/>
  <c r="U10" i="17"/>
  <c r="T10" i="17"/>
  <c r="S10" i="17"/>
  <c r="R10" i="17"/>
  <c r="Q10" i="17"/>
  <c r="P10" i="17"/>
  <c r="O10" i="17"/>
  <c r="N10" i="17"/>
  <c r="M10" i="17"/>
  <c r="J10" i="17"/>
  <c r="I10" i="17"/>
  <c r="H10" i="17"/>
  <c r="G10" i="17"/>
  <c r="F10" i="17"/>
  <c r="E10" i="17"/>
  <c r="D10" i="17"/>
  <c r="C10" i="17"/>
  <c r="B10" i="17"/>
  <c r="AM9" i="17"/>
  <c r="AL9" i="17"/>
  <c r="AK9" i="17"/>
  <c r="AJ9" i="17"/>
  <c r="AI9" i="17"/>
  <c r="AH9" i="17"/>
  <c r="Y9" i="17"/>
  <c r="U9" i="17"/>
  <c r="T9" i="17"/>
  <c r="S9" i="17"/>
  <c r="R9" i="17"/>
  <c r="Q9" i="17"/>
  <c r="P9" i="17"/>
  <c r="O9" i="17"/>
  <c r="N9" i="17"/>
  <c r="M9" i="17"/>
  <c r="J9" i="17"/>
  <c r="I9" i="17"/>
  <c r="H9" i="17"/>
  <c r="G9" i="17"/>
  <c r="F9" i="17"/>
  <c r="E9" i="17"/>
  <c r="D9" i="17"/>
  <c r="C9" i="17"/>
  <c r="B9" i="17"/>
  <c r="AM8" i="17"/>
  <c r="AL8" i="17"/>
  <c r="AK8" i="17"/>
  <c r="AJ8" i="17"/>
  <c r="AI8" i="17"/>
  <c r="AH8" i="17"/>
  <c r="Y8" i="17"/>
  <c r="U8" i="17"/>
  <c r="T8" i="17"/>
  <c r="S8" i="17"/>
  <c r="R8" i="17"/>
  <c r="Q8" i="17"/>
  <c r="P8" i="17"/>
  <c r="O8" i="17"/>
  <c r="N8" i="17"/>
  <c r="M8" i="17"/>
  <c r="J8" i="17"/>
  <c r="I8" i="17"/>
  <c r="H8" i="17"/>
  <c r="G8" i="17"/>
  <c r="F8" i="17"/>
  <c r="E8" i="17"/>
  <c r="D8" i="17"/>
  <c r="C8" i="17"/>
  <c r="B8" i="17"/>
  <c r="AM7" i="17"/>
  <c r="AL7" i="17"/>
  <c r="AK7" i="17"/>
  <c r="AJ7" i="17"/>
  <c r="AI7" i="17"/>
  <c r="AH7" i="17"/>
  <c r="Y7" i="17"/>
  <c r="U7" i="17"/>
  <c r="T7" i="17"/>
  <c r="S7" i="17"/>
  <c r="R7" i="17"/>
  <c r="Q7" i="17"/>
  <c r="P7" i="17"/>
  <c r="O7" i="17"/>
  <c r="N7" i="17"/>
  <c r="M7" i="17"/>
  <c r="J7" i="17"/>
  <c r="I7" i="17"/>
  <c r="H7" i="17"/>
  <c r="G7" i="17"/>
  <c r="F7" i="17"/>
  <c r="E7" i="17"/>
  <c r="D7" i="17"/>
  <c r="C7" i="17"/>
  <c r="B7" i="17"/>
  <c r="AM6" i="17"/>
  <c r="AL6" i="17"/>
  <c r="AK6" i="17"/>
  <c r="AJ6" i="17"/>
  <c r="AI6" i="17"/>
  <c r="AH6" i="17"/>
  <c r="Y6" i="17"/>
  <c r="U6" i="17"/>
  <c r="T6" i="17"/>
  <c r="S6" i="17"/>
  <c r="R6" i="17"/>
  <c r="Q6" i="17"/>
  <c r="P6" i="17"/>
  <c r="O6" i="17"/>
  <c r="N6" i="17"/>
  <c r="M6" i="17"/>
  <c r="J6" i="17"/>
  <c r="I6" i="17"/>
  <c r="H6" i="17"/>
  <c r="G6" i="17"/>
  <c r="F6" i="17"/>
  <c r="E6" i="17"/>
  <c r="D6" i="17"/>
  <c r="C6" i="17"/>
  <c r="B6" i="17"/>
  <c r="AM5" i="17"/>
  <c r="AL5" i="17"/>
  <c r="AK5" i="17"/>
  <c r="AJ5" i="17"/>
  <c r="AI5" i="17"/>
  <c r="AH5" i="17"/>
  <c r="Y5" i="17"/>
  <c r="U5" i="17"/>
  <c r="T5" i="17"/>
  <c r="S5" i="17"/>
  <c r="R5" i="17"/>
  <c r="Q5" i="17"/>
  <c r="P5" i="17"/>
  <c r="O5" i="17"/>
  <c r="N5" i="17"/>
  <c r="M5" i="17"/>
  <c r="J5" i="17"/>
  <c r="I5" i="17"/>
  <c r="H5" i="17"/>
  <c r="G5" i="17"/>
  <c r="F5" i="17"/>
  <c r="E5" i="17"/>
  <c r="D5" i="17"/>
  <c r="C5" i="17"/>
  <c r="B5" i="17"/>
  <c r="AM4" i="17"/>
  <c r="AL4" i="17"/>
  <c r="AK4" i="17"/>
  <c r="AJ4" i="17"/>
  <c r="AI4" i="17"/>
  <c r="AH4" i="17"/>
  <c r="Y4" i="17"/>
  <c r="T4" i="17"/>
  <c r="S4" i="17"/>
  <c r="R4" i="17"/>
  <c r="Q4" i="17"/>
  <c r="P4" i="17"/>
  <c r="O4" i="17"/>
  <c r="N4" i="17"/>
  <c r="M4" i="17"/>
  <c r="J4" i="17"/>
  <c r="I4" i="17"/>
  <c r="H4" i="17"/>
  <c r="G4" i="17"/>
  <c r="F4" i="17"/>
  <c r="E4" i="17"/>
  <c r="D4" i="17"/>
  <c r="C4" i="17"/>
  <c r="B4" i="17"/>
  <c r="AM3" i="17"/>
  <c r="AL3" i="17"/>
  <c r="AK3" i="17"/>
  <c r="AJ3" i="17"/>
  <c r="AI3" i="17"/>
  <c r="AH3" i="17"/>
  <c r="Y3" i="17"/>
  <c r="U3" i="17"/>
  <c r="T3" i="17"/>
  <c r="S3" i="17"/>
  <c r="R3" i="17"/>
  <c r="Q3" i="17"/>
  <c r="P3" i="17"/>
  <c r="O3" i="17"/>
  <c r="N3" i="17"/>
  <c r="M3" i="17"/>
  <c r="J3" i="17"/>
  <c r="I3" i="17"/>
  <c r="H3" i="17"/>
  <c r="G3" i="17"/>
  <c r="F3" i="17"/>
  <c r="E3" i="17"/>
  <c r="D3" i="17"/>
  <c r="C3" i="17"/>
  <c r="B3" i="17"/>
  <c r="AM2" i="17"/>
  <c r="AL2" i="17"/>
  <c r="AK2" i="17"/>
  <c r="AJ2" i="17"/>
  <c r="AI2" i="17"/>
  <c r="AH2" i="17"/>
  <c r="Y2" i="17"/>
  <c r="U2" i="17"/>
  <c r="T2" i="17"/>
  <c r="S2" i="17"/>
  <c r="R2" i="17"/>
  <c r="Q2" i="17"/>
  <c r="P2" i="17"/>
  <c r="O2" i="17"/>
  <c r="N2" i="17"/>
  <c r="M2" i="17"/>
  <c r="J2" i="17"/>
  <c r="I2" i="17"/>
  <c r="H2" i="17"/>
  <c r="G2" i="17"/>
  <c r="F2" i="17"/>
  <c r="E2" i="17"/>
  <c r="D2" i="17"/>
  <c r="C2" i="17"/>
  <c r="B2" i="17"/>
  <c r="A999" i="16"/>
  <c r="A998" i="16"/>
  <c r="A997" i="16"/>
  <c r="A996" i="16"/>
  <c r="A995" i="16"/>
  <c r="A994" i="16"/>
  <c r="A993" i="16"/>
  <c r="A992" i="16"/>
  <c r="A991" i="16"/>
  <c r="A990" i="16"/>
  <c r="A989" i="16"/>
  <c r="A988" i="16"/>
  <c r="A987" i="16"/>
  <c r="A986" i="16"/>
  <c r="A985" i="16"/>
  <c r="A984" i="16"/>
  <c r="A983" i="16"/>
  <c r="A982" i="16"/>
  <c r="A981" i="16"/>
  <c r="A980" i="16"/>
  <c r="A979" i="16"/>
  <c r="A978" i="16"/>
  <c r="A977" i="16"/>
  <c r="A976" i="16"/>
  <c r="A975" i="16"/>
  <c r="A974" i="16"/>
  <c r="A973" i="16"/>
  <c r="A972" i="16"/>
  <c r="A971" i="16"/>
  <c r="A970" i="16"/>
  <c r="A969" i="16"/>
  <c r="A968" i="16"/>
  <c r="A967" i="16"/>
  <c r="A966" i="16"/>
  <c r="A965" i="16"/>
  <c r="A964" i="16"/>
  <c r="A963" i="16"/>
  <c r="A962" i="16"/>
  <c r="A961" i="16"/>
  <c r="A960" i="16"/>
  <c r="A959" i="16"/>
  <c r="A958" i="16"/>
  <c r="A957" i="16"/>
  <c r="A956" i="16"/>
  <c r="A955" i="16"/>
  <c r="A954" i="16"/>
  <c r="A953" i="16"/>
  <c r="A952" i="16"/>
  <c r="A951" i="16"/>
  <c r="A950" i="16"/>
  <c r="A949" i="16"/>
  <c r="A948" i="16"/>
  <c r="A947" i="16"/>
  <c r="A946" i="16"/>
  <c r="A945" i="16"/>
  <c r="A944" i="16"/>
  <c r="A943" i="16"/>
  <c r="A942" i="16"/>
  <c r="A941" i="16"/>
  <c r="A940" i="16"/>
  <c r="A939" i="16"/>
  <c r="A938" i="16"/>
  <c r="A937" i="16"/>
  <c r="A936" i="16"/>
  <c r="A935" i="16"/>
  <c r="A934" i="16"/>
  <c r="A933" i="16"/>
  <c r="A932" i="16"/>
  <c r="A931" i="16"/>
  <c r="A930" i="16"/>
  <c r="A929" i="16"/>
  <c r="A928" i="16"/>
  <c r="A927" i="16"/>
  <c r="A926" i="16"/>
  <c r="A925" i="16"/>
  <c r="A924" i="16"/>
  <c r="A923" i="16"/>
  <c r="A922" i="16"/>
  <c r="A921" i="16"/>
  <c r="A920" i="16"/>
  <c r="A919" i="16"/>
  <c r="A918" i="16"/>
  <c r="A917" i="16"/>
  <c r="A916" i="16"/>
  <c r="A915" i="16"/>
  <c r="A914" i="16"/>
  <c r="A913" i="16"/>
  <c r="A912" i="16"/>
  <c r="A911" i="16"/>
  <c r="A910" i="16"/>
  <c r="A909" i="16"/>
  <c r="A908" i="16"/>
  <c r="A907" i="16"/>
  <c r="A906" i="16"/>
  <c r="A905" i="16"/>
  <c r="A904" i="16"/>
  <c r="A903" i="16"/>
  <c r="A902" i="16"/>
  <c r="A901" i="16"/>
  <c r="A900" i="16"/>
  <c r="A899" i="16"/>
  <c r="A898" i="16"/>
  <c r="A897" i="16"/>
  <c r="A896" i="16"/>
  <c r="A895" i="16"/>
  <c r="A894" i="16"/>
  <c r="A893" i="16"/>
  <c r="A892" i="16"/>
  <c r="A891" i="16"/>
  <c r="A890" i="16"/>
  <c r="A889" i="16"/>
  <c r="A888" i="16"/>
  <c r="A887" i="16"/>
  <c r="A886" i="16"/>
  <c r="A885" i="16"/>
  <c r="A884" i="16"/>
  <c r="A883" i="16"/>
  <c r="A882" i="16"/>
  <c r="A881" i="16"/>
  <c r="A880" i="16"/>
  <c r="A879" i="16"/>
  <c r="A878" i="16"/>
  <c r="A877" i="16"/>
  <c r="A876" i="16"/>
  <c r="A875" i="16"/>
  <c r="A874" i="16"/>
  <c r="A873" i="16"/>
  <c r="A872" i="16"/>
  <c r="A871" i="16"/>
  <c r="A870" i="16"/>
  <c r="A869" i="16"/>
  <c r="A868" i="16"/>
  <c r="A867" i="16"/>
  <c r="A866" i="16"/>
  <c r="A865" i="16"/>
  <c r="A864" i="16"/>
  <c r="A863" i="16"/>
  <c r="A862" i="16"/>
  <c r="A861" i="16"/>
  <c r="A860" i="16"/>
  <c r="A859" i="16"/>
  <c r="A858" i="16"/>
  <c r="A857" i="16"/>
  <c r="A856" i="16"/>
  <c r="A855" i="16"/>
  <c r="A854" i="16"/>
  <c r="A853" i="16"/>
  <c r="A852" i="16"/>
  <c r="A851" i="16"/>
  <c r="A850" i="16"/>
  <c r="A849" i="16"/>
  <c r="A848" i="16"/>
  <c r="A847" i="16"/>
  <c r="A846" i="16"/>
  <c r="A845" i="16"/>
  <c r="A844" i="16"/>
  <c r="A843" i="16"/>
  <c r="A842" i="16"/>
  <c r="A841" i="16"/>
  <c r="A840" i="16"/>
  <c r="A839" i="16"/>
  <c r="A838" i="16"/>
  <c r="A837" i="16"/>
  <c r="A836" i="16"/>
  <c r="A835" i="16"/>
  <c r="A834" i="16"/>
  <c r="A833" i="16"/>
  <c r="A832" i="16"/>
  <c r="A831" i="16"/>
  <c r="A830" i="16"/>
  <c r="A829" i="16"/>
  <c r="A828" i="16"/>
  <c r="A827" i="16"/>
  <c r="A826" i="16"/>
  <c r="A825" i="16"/>
  <c r="A824" i="16"/>
  <c r="A823" i="16"/>
  <c r="A822" i="16"/>
  <c r="A821" i="16"/>
  <c r="A820" i="16"/>
  <c r="A819" i="16"/>
  <c r="A818" i="16"/>
  <c r="A817" i="16"/>
  <c r="A816" i="16"/>
  <c r="A815" i="16"/>
  <c r="A814" i="16"/>
  <c r="A813" i="16"/>
  <c r="A812" i="16"/>
  <c r="A811" i="16"/>
  <c r="A810" i="16"/>
  <c r="A809" i="16"/>
  <c r="A808" i="16"/>
  <c r="A807" i="16"/>
  <c r="A806" i="16"/>
  <c r="A805" i="16"/>
  <c r="A804" i="16"/>
  <c r="A803" i="16"/>
  <c r="A802" i="16"/>
  <c r="A801" i="16"/>
  <c r="A800" i="16"/>
  <c r="A799" i="16"/>
  <c r="A798" i="16"/>
  <c r="A797" i="16"/>
  <c r="A796" i="16"/>
  <c r="A795" i="16"/>
  <c r="A794" i="16"/>
  <c r="A793" i="16"/>
  <c r="A792" i="16"/>
  <c r="A791" i="16"/>
  <c r="A790" i="16"/>
  <c r="A789" i="16"/>
  <c r="A788" i="16"/>
  <c r="A787" i="16"/>
  <c r="A786" i="16"/>
  <c r="A785" i="16"/>
  <c r="A784" i="16"/>
  <c r="A783" i="16"/>
  <c r="A782" i="16"/>
  <c r="A781" i="16"/>
  <c r="A780" i="16"/>
  <c r="A779" i="16"/>
  <c r="A778" i="16"/>
  <c r="A777" i="16"/>
  <c r="A776" i="16"/>
  <c r="A775" i="16"/>
  <c r="A774" i="16"/>
  <c r="A773" i="16"/>
  <c r="A772" i="16"/>
  <c r="A771" i="16"/>
  <c r="A770" i="16"/>
  <c r="A769" i="16"/>
  <c r="A768" i="16"/>
  <c r="A767" i="16"/>
  <c r="A766" i="16"/>
  <c r="A765" i="16"/>
  <c r="A764" i="16"/>
  <c r="A763" i="16"/>
  <c r="A762" i="16"/>
  <c r="A761" i="16"/>
  <c r="A760" i="16"/>
  <c r="A759" i="16"/>
  <c r="A758" i="16"/>
  <c r="A757" i="16"/>
  <c r="A756" i="16"/>
  <c r="A755" i="16"/>
  <c r="A754" i="16"/>
  <c r="A753" i="16"/>
  <c r="A752" i="16"/>
  <c r="A751" i="16"/>
  <c r="A750" i="16"/>
  <c r="A749" i="16"/>
  <c r="A748" i="16"/>
  <c r="A747" i="16"/>
  <c r="A746" i="16"/>
  <c r="A745" i="16"/>
  <c r="A744" i="16"/>
  <c r="A743" i="16"/>
  <c r="A742" i="16"/>
  <c r="A741" i="16"/>
  <c r="A740" i="16"/>
  <c r="A739" i="16"/>
  <c r="A738" i="16"/>
  <c r="A737" i="16"/>
  <c r="A736" i="16"/>
  <c r="A735" i="16"/>
  <c r="A734" i="16"/>
  <c r="A733" i="16"/>
  <c r="A732" i="16"/>
  <c r="A731" i="16"/>
  <c r="A730" i="16"/>
  <c r="A729" i="16"/>
  <c r="A728" i="16"/>
  <c r="A727" i="16"/>
  <c r="A726" i="16"/>
  <c r="A725" i="16"/>
  <c r="A724" i="16"/>
  <c r="A723" i="16"/>
  <c r="A722" i="16"/>
  <c r="A721" i="16"/>
  <c r="A720" i="16"/>
  <c r="A719" i="16"/>
  <c r="A718" i="16"/>
  <c r="A717" i="16"/>
  <c r="A716" i="16"/>
  <c r="A715" i="16"/>
  <c r="A714" i="16"/>
  <c r="A713" i="16"/>
  <c r="A712" i="16"/>
  <c r="A711" i="16"/>
  <c r="A710" i="16"/>
  <c r="A709" i="16"/>
  <c r="A708" i="16"/>
  <c r="A707" i="16"/>
  <c r="A706" i="16"/>
  <c r="A705" i="16"/>
  <c r="A704" i="16"/>
  <c r="A703" i="16"/>
  <c r="A702" i="16"/>
  <c r="A701" i="16"/>
  <c r="A700" i="16"/>
  <c r="A699" i="16"/>
  <c r="A698" i="16"/>
  <c r="A697" i="16"/>
  <c r="A696" i="16"/>
  <c r="A695" i="16"/>
  <c r="A694" i="16"/>
  <c r="A693" i="16"/>
  <c r="A692" i="16"/>
  <c r="A691" i="16"/>
  <c r="A690" i="16"/>
  <c r="A689" i="16"/>
  <c r="A688" i="16"/>
  <c r="A687" i="16"/>
  <c r="A686" i="16"/>
  <c r="A685" i="16"/>
  <c r="A684" i="16"/>
  <c r="A683" i="16"/>
  <c r="A682" i="16"/>
  <c r="A681" i="16"/>
  <c r="A680" i="16"/>
  <c r="A679" i="16"/>
  <c r="A678" i="16"/>
  <c r="A677" i="16"/>
  <c r="A676" i="16"/>
  <c r="A675" i="16"/>
  <c r="A674" i="16"/>
  <c r="A673" i="16"/>
  <c r="A672" i="16"/>
  <c r="A671" i="16"/>
  <c r="A670" i="16"/>
  <c r="A669" i="16"/>
  <c r="A668" i="16"/>
  <c r="A667" i="16"/>
  <c r="A666" i="16"/>
  <c r="A665" i="16"/>
  <c r="A664" i="16"/>
  <c r="A663" i="16"/>
  <c r="A662" i="16"/>
  <c r="A661" i="16"/>
  <c r="A660" i="16"/>
  <c r="A659" i="16"/>
  <c r="A658" i="16"/>
  <c r="A657" i="16"/>
  <c r="A656" i="16"/>
  <c r="A655" i="16"/>
  <c r="A654" i="16"/>
  <c r="A653" i="16"/>
  <c r="A652" i="16"/>
  <c r="A651" i="16"/>
  <c r="A650" i="16"/>
  <c r="A649" i="16"/>
  <c r="A648" i="16"/>
  <c r="A647" i="16"/>
  <c r="A646" i="16"/>
  <c r="A645" i="16"/>
  <c r="A644" i="16"/>
  <c r="A643" i="16"/>
  <c r="A642" i="16"/>
  <c r="A641" i="16"/>
  <c r="A640" i="16"/>
  <c r="A639" i="16"/>
  <c r="A638" i="16"/>
  <c r="A637" i="16"/>
  <c r="A636" i="16"/>
  <c r="A635" i="16"/>
  <c r="A634" i="16"/>
  <c r="A633" i="16"/>
  <c r="A632" i="16"/>
  <c r="A631" i="16"/>
  <c r="A630" i="16"/>
  <c r="A629" i="16"/>
  <c r="A628" i="16"/>
  <c r="A627" i="16"/>
  <c r="A626" i="16"/>
  <c r="A625" i="16"/>
  <c r="A624" i="16"/>
  <c r="A623" i="16"/>
  <c r="A622" i="16"/>
  <c r="A621" i="16"/>
  <c r="A620" i="16"/>
  <c r="A619" i="16"/>
  <c r="A618" i="16"/>
  <c r="A617" i="16"/>
  <c r="A616" i="16"/>
  <c r="A615" i="16"/>
  <c r="A614" i="16"/>
  <c r="A613" i="16"/>
  <c r="A612" i="16"/>
  <c r="A611" i="16"/>
  <c r="A610" i="16"/>
  <c r="A609" i="16"/>
  <c r="A608" i="16"/>
  <c r="A607" i="16"/>
  <c r="A606" i="16"/>
  <c r="A605" i="16"/>
  <c r="A604" i="16"/>
  <c r="A603" i="16"/>
  <c r="A602" i="16"/>
  <c r="A601" i="16"/>
  <c r="A600" i="16"/>
  <c r="A599" i="16"/>
  <c r="A598" i="16"/>
  <c r="A597" i="16"/>
  <c r="A596" i="16"/>
  <c r="A595" i="16"/>
  <c r="A594" i="16"/>
  <c r="A593" i="16"/>
  <c r="A592" i="16"/>
  <c r="A591" i="16"/>
  <c r="A590" i="16"/>
  <c r="A589" i="16"/>
  <c r="A588" i="16"/>
  <c r="A587" i="16"/>
  <c r="A586" i="16"/>
  <c r="A585" i="16"/>
  <c r="A584" i="16"/>
  <c r="A583" i="16"/>
  <c r="A582" i="16"/>
  <c r="A581" i="16"/>
  <c r="A580" i="16"/>
  <c r="A579" i="16"/>
  <c r="A578" i="16"/>
  <c r="A577" i="16"/>
  <c r="A576" i="16"/>
  <c r="A575" i="16"/>
  <c r="A574" i="16"/>
  <c r="A573" i="16"/>
  <c r="A572" i="16"/>
  <c r="A571" i="16"/>
  <c r="A570" i="16"/>
  <c r="A569" i="16"/>
  <c r="A568" i="16"/>
  <c r="A567" i="16"/>
  <c r="A566" i="16"/>
  <c r="A565" i="16"/>
  <c r="A564" i="16"/>
  <c r="A563" i="16"/>
  <c r="A562" i="16"/>
  <c r="A561" i="16"/>
  <c r="A560" i="16"/>
  <c r="A559" i="16"/>
  <c r="A558" i="16"/>
  <c r="A557" i="16"/>
  <c r="A556" i="16"/>
  <c r="A555" i="16"/>
  <c r="A554" i="16"/>
  <c r="A553" i="16"/>
  <c r="A552" i="16"/>
  <c r="A551" i="16"/>
  <c r="A550" i="16"/>
  <c r="A549" i="16"/>
  <c r="A548" i="16"/>
  <c r="A547" i="16"/>
  <c r="A546" i="16"/>
  <c r="A545" i="16"/>
  <c r="A544" i="16"/>
  <c r="A543" i="16"/>
  <c r="A542" i="16"/>
  <c r="A541" i="16"/>
  <c r="A540" i="16"/>
  <c r="A539" i="16"/>
  <c r="A538" i="16"/>
  <c r="A537" i="16"/>
  <c r="A536" i="16"/>
  <c r="A535" i="16"/>
  <c r="A534" i="16"/>
  <c r="A533" i="16"/>
  <c r="A532" i="16"/>
  <c r="A531" i="16"/>
  <c r="A530" i="16"/>
  <c r="A529" i="16"/>
  <c r="A528" i="16"/>
  <c r="A527" i="16"/>
  <c r="A526" i="16"/>
  <c r="A525" i="16"/>
  <c r="A524" i="16"/>
  <c r="A523" i="16"/>
  <c r="A522" i="16"/>
  <c r="A521" i="16"/>
  <c r="A520" i="16"/>
  <c r="A519" i="16"/>
  <c r="A518" i="16"/>
  <c r="A517" i="16"/>
  <c r="A516" i="16"/>
  <c r="A515" i="16"/>
  <c r="A514" i="16"/>
  <c r="A513" i="16"/>
  <c r="A512" i="16"/>
  <c r="A511" i="16"/>
  <c r="A510" i="16"/>
  <c r="A509" i="16"/>
  <c r="A508" i="16"/>
  <c r="A507" i="16"/>
  <c r="A506" i="16"/>
  <c r="A505" i="16"/>
  <c r="A504" i="16"/>
  <c r="A503" i="16"/>
  <c r="A502" i="16"/>
  <c r="A501" i="16"/>
  <c r="A500" i="16"/>
  <c r="A499" i="16"/>
  <c r="A498" i="16"/>
  <c r="A497" i="16"/>
  <c r="A496" i="16"/>
  <c r="A495" i="16"/>
  <c r="A494" i="16"/>
  <c r="A493" i="16"/>
  <c r="A492" i="16"/>
  <c r="A491" i="16"/>
  <c r="A490" i="16"/>
  <c r="A489" i="16"/>
  <c r="A488" i="16"/>
  <c r="A487" i="16"/>
  <c r="A486" i="16"/>
  <c r="A485" i="16"/>
  <c r="A484" i="16"/>
  <c r="A483" i="16"/>
  <c r="A482" i="16"/>
  <c r="A481" i="16"/>
  <c r="A480" i="16"/>
  <c r="A479" i="16"/>
  <c r="A478" i="16"/>
  <c r="A477" i="16"/>
  <c r="A476" i="16"/>
  <c r="A475" i="16"/>
  <c r="A474" i="16"/>
  <c r="A473" i="16"/>
  <c r="A472" i="16"/>
  <c r="A471" i="16"/>
  <c r="A470" i="16"/>
  <c r="A469" i="16"/>
  <c r="A468" i="16"/>
  <c r="A467" i="16"/>
  <c r="A466" i="16"/>
  <c r="A465" i="16"/>
  <c r="A464" i="16"/>
  <c r="A463" i="16"/>
  <c r="A462" i="16"/>
  <c r="A461" i="16"/>
  <c r="A460" i="16"/>
  <c r="A459" i="16"/>
  <c r="A458" i="16"/>
  <c r="A457" i="16"/>
  <c r="A456" i="16"/>
  <c r="A455" i="16"/>
  <c r="A454" i="16"/>
  <c r="A453" i="16"/>
  <c r="A452" i="16"/>
  <c r="A451" i="16"/>
  <c r="A450" i="16"/>
  <c r="A449" i="16"/>
  <c r="A448" i="16"/>
  <c r="A447" i="16"/>
  <c r="A446" i="16"/>
  <c r="A445" i="16"/>
  <c r="A444" i="16"/>
  <c r="A443" i="16"/>
  <c r="A442" i="16"/>
  <c r="A441" i="16"/>
  <c r="A440" i="16"/>
  <c r="A439" i="16"/>
  <c r="A438" i="16"/>
  <c r="A437" i="16"/>
  <c r="A436" i="16"/>
  <c r="A435" i="16"/>
  <c r="A434" i="16"/>
  <c r="A433" i="16"/>
  <c r="A432" i="16"/>
  <c r="A431" i="16"/>
  <c r="A430" i="16"/>
  <c r="A429" i="16"/>
  <c r="A428" i="16"/>
  <c r="A427" i="16"/>
  <c r="A426" i="16"/>
  <c r="A425" i="16"/>
  <c r="A424" i="16"/>
  <c r="A423" i="16"/>
  <c r="A422" i="16"/>
  <c r="A421" i="16"/>
  <c r="A420" i="16"/>
  <c r="A419" i="16"/>
  <c r="A418" i="16"/>
  <c r="A417" i="16"/>
  <c r="A416" i="16"/>
  <c r="A415" i="16"/>
  <c r="A414" i="16"/>
  <c r="A413" i="16"/>
  <c r="A412" i="16"/>
  <c r="A411" i="16"/>
  <c r="A410" i="16"/>
  <c r="A409" i="16"/>
  <c r="A408" i="16"/>
  <c r="A407" i="16"/>
  <c r="A406" i="16"/>
  <c r="A405" i="16"/>
  <c r="A404" i="16"/>
  <c r="A403" i="16"/>
  <c r="A402" i="16"/>
  <c r="A401" i="16"/>
  <c r="A400" i="16"/>
  <c r="A399" i="16"/>
  <c r="A398" i="16"/>
  <c r="A397" i="16"/>
  <c r="A396" i="16"/>
  <c r="A395" i="16"/>
  <c r="A394" i="16"/>
  <c r="A393" i="16"/>
  <c r="A392" i="16"/>
  <c r="A391" i="16"/>
  <c r="A390" i="16"/>
  <c r="A389" i="16"/>
  <c r="A388" i="16"/>
  <c r="A387" i="16"/>
  <c r="A386" i="16"/>
  <c r="A385" i="16"/>
  <c r="A384" i="16"/>
  <c r="A383" i="16"/>
  <c r="A382" i="16"/>
  <c r="A381" i="16"/>
  <c r="A380" i="16"/>
  <c r="A379" i="16"/>
  <c r="A378" i="16"/>
  <c r="A377" i="16"/>
  <c r="A376" i="16"/>
  <c r="A375" i="16"/>
  <c r="A374" i="16"/>
  <c r="A373" i="16"/>
  <c r="A372" i="16"/>
  <c r="A371" i="16"/>
  <c r="A370" i="16"/>
  <c r="A369" i="16"/>
  <c r="A368" i="16"/>
  <c r="A367" i="16"/>
  <c r="A366" i="16"/>
  <c r="A365" i="16"/>
  <c r="A364" i="16"/>
  <c r="A363" i="16"/>
  <c r="A362" i="16"/>
  <c r="A361" i="16"/>
  <c r="A360" i="16"/>
  <c r="A359" i="16"/>
  <c r="A358" i="16"/>
  <c r="A357" i="16"/>
  <c r="A356" i="16"/>
  <c r="A355" i="16"/>
  <c r="A354" i="16"/>
  <c r="A353" i="16"/>
  <c r="A352" i="16"/>
  <c r="A351" i="16"/>
  <c r="A350" i="16"/>
  <c r="A349" i="16"/>
  <c r="A348" i="16"/>
  <c r="A347" i="16"/>
  <c r="A346" i="16"/>
  <c r="A345" i="16"/>
  <c r="A344" i="16"/>
  <c r="A343" i="16"/>
  <c r="A342" i="16"/>
  <c r="A341" i="16"/>
  <c r="A340" i="16"/>
  <c r="A339" i="16"/>
  <c r="A338" i="16"/>
  <c r="A337" i="16"/>
  <c r="A336" i="16"/>
  <c r="A335" i="16"/>
  <c r="A334" i="16"/>
  <c r="A333" i="16"/>
  <c r="A332" i="16"/>
  <c r="A331" i="16"/>
  <c r="A330" i="16"/>
  <c r="A329" i="16"/>
  <c r="A328" i="16"/>
  <c r="A327" i="16"/>
  <c r="A326" i="16"/>
  <c r="A325" i="16"/>
  <c r="A324" i="16"/>
  <c r="A323" i="16"/>
  <c r="A322" i="16"/>
  <c r="A321" i="16"/>
  <c r="A320" i="16"/>
  <c r="A319" i="16"/>
  <c r="A318" i="16"/>
  <c r="A317" i="16"/>
  <c r="A316" i="16"/>
  <c r="A315" i="16"/>
  <c r="A314" i="16"/>
  <c r="A313" i="16"/>
  <c r="A312" i="16"/>
  <c r="A311" i="16"/>
  <c r="A310" i="16"/>
  <c r="A309" i="16"/>
  <c r="A308" i="16"/>
  <c r="A307" i="16"/>
  <c r="A306" i="16"/>
  <c r="A305" i="16"/>
  <c r="A304" i="16"/>
  <c r="A303" i="16"/>
  <c r="A302" i="16"/>
  <c r="A301" i="16"/>
  <c r="A300" i="16"/>
  <c r="A299" i="16"/>
  <c r="A298" i="16"/>
  <c r="A297" i="16"/>
  <c r="A296" i="16"/>
  <c r="A295" i="16"/>
  <c r="A294" i="16"/>
  <c r="A293" i="16"/>
  <c r="A292" i="16"/>
  <c r="A291" i="16"/>
  <c r="A290" i="16"/>
  <c r="A289" i="16"/>
  <c r="A288" i="16"/>
  <c r="A287" i="16"/>
  <c r="A286" i="16"/>
  <c r="A285" i="16"/>
  <c r="A284" i="16"/>
  <c r="A283" i="16"/>
  <c r="A282" i="16"/>
  <c r="A281" i="16"/>
  <c r="A280" i="16"/>
  <c r="A279" i="16"/>
  <c r="A278" i="16"/>
  <c r="A277" i="16"/>
  <c r="A276" i="16"/>
  <c r="A275" i="16"/>
  <c r="A274" i="16"/>
  <c r="A273" i="16"/>
  <c r="A272" i="16"/>
  <c r="A271" i="16"/>
  <c r="A270" i="16"/>
  <c r="A269" i="16"/>
  <c r="A268" i="16"/>
  <c r="A267" i="16"/>
  <c r="A266" i="16"/>
  <c r="A265" i="16"/>
  <c r="A264" i="16"/>
  <c r="A263" i="16"/>
  <c r="A262" i="16"/>
  <c r="A261" i="16"/>
  <c r="A260" i="16"/>
  <c r="A259" i="16"/>
  <c r="A258" i="16"/>
  <c r="A257" i="16"/>
  <c r="A256" i="16"/>
  <c r="A255" i="16"/>
  <c r="A254" i="16"/>
  <c r="A253" i="16"/>
  <c r="A252" i="16"/>
  <c r="A251" i="16"/>
  <c r="A250" i="16"/>
  <c r="A249" i="16"/>
  <c r="A248" i="16"/>
  <c r="A247" i="16"/>
  <c r="A246" i="16"/>
  <c r="A245" i="16"/>
  <c r="A244" i="16"/>
  <c r="A243" i="16"/>
  <c r="A242" i="16"/>
  <c r="A241" i="16"/>
  <c r="A240" i="16"/>
  <c r="A239" i="16"/>
  <c r="A238" i="16"/>
  <c r="A237" i="16"/>
  <c r="A236" i="16"/>
  <c r="A235" i="16"/>
  <c r="A234" i="16"/>
  <c r="A233" i="16"/>
  <c r="A232" i="16"/>
  <c r="A231" i="16"/>
  <c r="A230" i="16"/>
  <c r="A229" i="16"/>
  <c r="A228" i="16"/>
  <c r="A227" i="16"/>
  <c r="A226" i="16"/>
  <c r="A225" i="16"/>
  <c r="A224" i="16"/>
  <c r="A223" i="16"/>
  <c r="A222" i="16"/>
  <c r="A221" i="16"/>
  <c r="A220" i="16"/>
  <c r="A219" i="16"/>
  <c r="A218" i="16"/>
  <c r="A217" i="16"/>
  <c r="A216" i="16"/>
  <c r="A215" i="16"/>
  <c r="A214" i="16"/>
  <c r="A213" i="16"/>
  <c r="A212" i="16"/>
  <c r="A211" i="16"/>
  <c r="A210" i="16"/>
  <c r="A209" i="16"/>
  <c r="A208" i="16"/>
  <c r="A207" i="16"/>
  <c r="A206" i="16"/>
  <c r="A205" i="16"/>
  <c r="A204" i="16"/>
  <c r="A203" i="16"/>
  <c r="A202" i="16"/>
  <c r="A201" i="16"/>
  <c r="A200" i="16"/>
  <c r="A199" i="16"/>
  <c r="A198" i="16"/>
  <c r="A197" i="16"/>
  <c r="A196" i="16"/>
  <c r="A195" i="16"/>
  <c r="A194" i="16"/>
  <c r="A193" i="16"/>
  <c r="A192" i="16"/>
  <c r="A191" i="16"/>
  <c r="A190" i="16"/>
  <c r="A189" i="16"/>
  <c r="A188" i="16"/>
  <c r="A187" i="16"/>
  <c r="A186" i="16"/>
  <c r="A185" i="16"/>
  <c r="A184" i="16"/>
  <c r="A183" i="16"/>
  <c r="A182" i="16"/>
  <c r="A181" i="16"/>
  <c r="A180" i="16"/>
  <c r="A179" i="16"/>
  <c r="A178" i="16"/>
  <c r="A177" i="16"/>
  <c r="A176" i="16"/>
  <c r="A175" i="16"/>
  <c r="A174" i="16"/>
  <c r="A173" i="16"/>
  <c r="A172" i="16"/>
  <c r="A171" i="16"/>
  <c r="A170" i="16"/>
  <c r="A169" i="16"/>
  <c r="A168" i="16"/>
  <c r="A167" i="16"/>
  <c r="A166" i="16"/>
  <c r="A165" i="16"/>
  <c r="A164" i="16"/>
  <c r="A163" i="16"/>
  <c r="A162" i="16"/>
  <c r="A161" i="16"/>
  <c r="A160" i="16"/>
  <c r="A159" i="16"/>
  <c r="A158" i="16"/>
  <c r="A157" i="16"/>
  <c r="A156" i="16"/>
  <c r="A155" i="16"/>
  <c r="A154" i="16"/>
  <c r="A153" i="16"/>
  <c r="A152" i="16"/>
  <c r="A151" i="16"/>
  <c r="A150" i="16"/>
  <c r="A149" i="16"/>
  <c r="A148" i="16"/>
  <c r="A147" i="16"/>
  <c r="A146" i="16"/>
  <c r="A145" i="16"/>
  <c r="A144" i="16"/>
  <c r="A143" i="16"/>
  <c r="A142" i="16"/>
  <c r="A141" i="16"/>
  <c r="A140" i="16"/>
  <c r="A139" i="16"/>
  <c r="A138" i="16"/>
  <c r="A137" i="16"/>
  <c r="A136" i="16"/>
  <c r="A135" i="16"/>
  <c r="A134" i="16"/>
  <c r="A133" i="16"/>
  <c r="A132" i="16"/>
  <c r="A131" i="16"/>
  <c r="A130" i="16"/>
  <c r="A129" i="16"/>
  <c r="A128" i="16"/>
  <c r="A127" i="16"/>
  <c r="A126" i="16"/>
  <c r="A125" i="16"/>
  <c r="A124" i="16"/>
  <c r="A123" i="16"/>
  <c r="A122" i="16"/>
  <c r="A121" i="16"/>
  <c r="A120" i="16"/>
  <c r="A119" i="16"/>
  <c r="A118" i="16"/>
  <c r="A117" i="16"/>
  <c r="A116" i="16"/>
  <c r="A115" i="16"/>
  <c r="A114" i="16"/>
  <c r="A113" i="16"/>
  <c r="A112"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A3" i="16"/>
  <c r="A2" i="16"/>
  <c r="S2273" i="12"/>
  <c r="A2273" i="12"/>
  <c r="S2272" i="12"/>
  <c r="A2272" i="12"/>
  <c r="S2271" i="12"/>
  <c r="A2271" i="12"/>
  <c r="A2270" i="12"/>
  <c r="S2270" i="12" s="1"/>
  <c r="S2269" i="12"/>
  <c r="A2269" i="12"/>
  <c r="A2268" i="12"/>
  <c r="S2268" i="12" s="1"/>
  <c r="S2267" i="12"/>
  <c r="A2267" i="12"/>
  <c r="S2266" i="12"/>
  <c r="A2266" i="12"/>
  <c r="S2265" i="12"/>
  <c r="A2265" i="12"/>
  <c r="A2264" i="12"/>
  <c r="S2264" i="12" s="1"/>
  <c r="A2263" i="12"/>
  <c r="S2263" i="12" s="1"/>
  <c r="S2262" i="12"/>
  <c r="A2262" i="12"/>
  <c r="S2261" i="12"/>
  <c r="A2261" i="12"/>
  <c r="S2260" i="12"/>
  <c r="A2260" i="12"/>
  <c r="S2259" i="12"/>
  <c r="A2259" i="12"/>
  <c r="A2258" i="12"/>
  <c r="S2258" i="12" s="1"/>
  <c r="S2257" i="12"/>
  <c r="A2257" i="12"/>
  <c r="A2256" i="12"/>
  <c r="S2256" i="12" s="1"/>
  <c r="A2255" i="12"/>
  <c r="S2255" i="12" s="1"/>
  <c r="S2254" i="12"/>
  <c r="A2254" i="12"/>
  <c r="S2253" i="12"/>
  <c r="A2253" i="12"/>
  <c r="A2252" i="12"/>
  <c r="S2252" i="12" s="1"/>
  <c r="A2251" i="12"/>
  <c r="S2251" i="12" s="1"/>
  <c r="A2250" i="12"/>
  <c r="S2250" i="12" s="1"/>
  <c r="S2249" i="12"/>
  <c r="A2249" i="12"/>
  <c r="S2248" i="12"/>
  <c r="A2248" i="12"/>
  <c r="S2247" i="12"/>
  <c r="A2247" i="12"/>
  <c r="A2246" i="12"/>
  <c r="S2246" i="12" s="1"/>
  <c r="S2245" i="12"/>
  <c r="A2245" i="12"/>
  <c r="S2244" i="12"/>
  <c r="A2244" i="12"/>
  <c r="A2243" i="12"/>
  <c r="S2243" i="12" s="1"/>
  <c r="S2242" i="12"/>
  <c r="A2242" i="12"/>
  <c r="S2241" i="12"/>
  <c r="A2241" i="12"/>
  <c r="A2240" i="12"/>
  <c r="S2240" i="12" s="1"/>
  <c r="S2239" i="12"/>
  <c r="A2239" i="12"/>
  <c r="A2238" i="12"/>
  <c r="S2238" i="12" s="1"/>
  <c r="A2237" i="12"/>
  <c r="S2237" i="12" s="1"/>
  <c r="S2236" i="12"/>
  <c r="A2236" i="12"/>
  <c r="S2235" i="12"/>
  <c r="A2235" i="12"/>
  <c r="A2234" i="12"/>
  <c r="S2234" i="12" s="1"/>
  <c r="A2233" i="12"/>
  <c r="S2233" i="12" s="1"/>
  <c r="S2232" i="12"/>
  <c r="A2232" i="12"/>
  <c r="S2231" i="12"/>
  <c r="A2231" i="12"/>
  <c r="S2230" i="12"/>
  <c r="A2230" i="12"/>
  <c r="S2229" i="12"/>
  <c r="A2229" i="12"/>
  <c r="A2228" i="12"/>
  <c r="S2228" i="12" s="1"/>
  <c r="S2227" i="12"/>
  <c r="A2227" i="12"/>
  <c r="S2226" i="12"/>
  <c r="A2226" i="12"/>
  <c r="A2225" i="12"/>
  <c r="S2225" i="12" s="1"/>
  <c r="S2224" i="12"/>
  <c r="A2224" i="12"/>
  <c r="S2223" i="12"/>
  <c r="A2223" i="12"/>
  <c r="A2222" i="12"/>
  <c r="S2222" i="12" s="1"/>
  <c r="S2221" i="12"/>
  <c r="A2221" i="12"/>
  <c r="A2220" i="12"/>
  <c r="S2220" i="12" s="1"/>
  <c r="S2219" i="12"/>
  <c r="A2219" i="12"/>
  <c r="S2218" i="12"/>
  <c r="A2218" i="12"/>
  <c r="S2217" i="12"/>
  <c r="A2217" i="12"/>
  <c r="A2216" i="12"/>
  <c r="S2216" i="12" s="1"/>
  <c r="A2215" i="12"/>
  <c r="S2215" i="12" s="1"/>
  <c r="S2214" i="12"/>
  <c r="A2214" i="12"/>
  <c r="A2213" i="12"/>
  <c r="S2213" i="12" s="1"/>
  <c r="S2212" i="12"/>
  <c r="A2212" i="12"/>
  <c r="S2211" i="12"/>
  <c r="A2211" i="12"/>
  <c r="A2210" i="12"/>
  <c r="S2210" i="12" s="1"/>
  <c r="A2209" i="12"/>
  <c r="S2209" i="12" s="1"/>
  <c r="S2208" i="12"/>
  <c r="A2208" i="12"/>
  <c r="A2207" i="12"/>
  <c r="S2207" i="12" s="1"/>
  <c r="S2206" i="12"/>
  <c r="A2206" i="12"/>
  <c r="S2205" i="12"/>
  <c r="A2205" i="12"/>
  <c r="A2204" i="12"/>
  <c r="S2204" i="12" s="1"/>
  <c r="S2203" i="12"/>
  <c r="A2203" i="12"/>
  <c r="A2202" i="12"/>
  <c r="S2202" i="12" s="1"/>
  <c r="S2201" i="12"/>
  <c r="A2201" i="12"/>
  <c r="S2200" i="12"/>
  <c r="A2200" i="12"/>
  <c r="S2199" i="12"/>
  <c r="A2199" i="12"/>
  <c r="A2198" i="12"/>
  <c r="S2198" i="12" s="1"/>
  <c r="A2197" i="12"/>
  <c r="S2197" i="12" s="1"/>
  <c r="A2196" i="12"/>
  <c r="S2196" i="12" s="1"/>
  <c r="S2195" i="12"/>
  <c r="A2195" i="12"/>
  <c r="S2194" i="12"/>
  <c r="A2194" i="12"/>
  <c r="S2193" i="12"/>
  <c r="A2193" i="12"/>
  <c r="A2192" i="12"/>
  <c r="S2192" i="12" s="1"/>
  <c r="S2191" i="12"/>
  <c r="A2191" i="12"/>
  <c r="S2190" i="12"/>
  <c r="A2190" i="12"/>
  <c r="A2189" i="12"/>
  <c r="S2189" i="12" s="1"/>
  <c r="S2188" i="12"/>
  <c r="A2188" i="12"/>
  <c r="S2187" i="12"/>
  <c r="A2187" i="12"/>
  <c r="A2186" i="12"/>
  <c r="S2186" i="12" s="1"/>
  <c r="A2185" i="12"/>
  <c r="S2185" i="12" s="1"/>
  <c r="A2184" i="12"/>
  <c r="S2184" i="12" s="1"/>
  <c r="A2183" i="12"/>
  <c r="S2183" i="12" s="1"/>
  <c r="S2182" i="12"/>
  <c r="A2182" i="12"/>
  <c r="S2181" i="12"/>
  <c r="A2181" i="12"/>
  <c r="A2180" i="12"/>
  <c r="S2180" i="12" s="1"/>
  <c r="A2179" i="12"/>
  <c r="S2179" i="12" s="1"/>
  <c r="S2178" i="12"/>
  <c r="A2178" i="12"/>
  <c r="S2177" i="12"/>
  <c r="A2177" i="12"/>
  <c r="S2176" i="12"/>
  <c r="A2176" i="12"/>
  <c r="S2175" i="12"/>
  <c r="A2175" i="12"/>
  <c r="A2174" i="12"/>
  <c r="S2174" i="12" s="1"/>
  <c r="S2173" i="12"/>
  <c r="A2173" i="12"/>
  <c r="A2172" i="12"/>
  <c r="S2172" i="12" s="1"/>
  <c r="A2171" i="12"/>
  <c r="S2171" i="12" s="1"/>
  <c r="S2170" i="12"/>
  <c r="A2170" i="12"/>
  <c r="S2169" i="12"/>
  <c r="A2169" i="12"/>
  <c r="A2168" i="12"/>
  <c r="S2168" i="12" s="1"/>
  <c r="A2167" i="12"/>
  <c r="S2167" i="12" s="1"/>
  <c r="A2166" i="12"/>
  <c r="S2166" i="12" s="1"/>
  <c r="S2165" i="12"/>
  <c r="A2165" i="12"/>
  <c r="S2164" i="12"/>
  <c r="A2164" i="12"/>
  <c r="S2163" i="12"/>
  <c r="A2163" i="12"/>
  <c r="A2162" i="12"/>
  <c r="S2162" i="12" s="1"/>
  <c r="A2161" i="12"/>
  <c r="S2161" i="12" s="1"/>
  <c r="S2160" i="12"/>
  <c r="A2160" i="12"/>
  <c r="S2159" i="12"/>
  <c r="A2159" i="12"/>
  <c r="S2158" i="12"/>
  <c r="A2158" i="12"/>
  <c r="S2157" i="12"/>
  <c r="A2157" i="12"/>
  <c r="A2156" i="12"/>
  <c r="S2156" i="12" s="1"/>
  <c r="S2155" i="12"/>
  <c r="A2155" i="12"/>
  <c r="S2154" i="12"/>
  <c r="A2154" i="12"/>
  <c r="A2153" i="12"/>
  <c r="S2153" i="12" s="1"/>
  <c r="S2152" i="12"/>
  <c r="A2152" i="12"/>
  <c r="S2151" i="12"/>
  <c r="A2151" i="12"/>
  <c r="A2150" i="12"/>
  <c r="S2150" i="12" s="1"/>
  <c r="A2149" i="12"/>
  <c r="S2149" i="12" s="1"/>
  <c r="A2148" i="12"/>
  <c r="S2148" i="12" s="1"/>
  <c r="S2147" i="12"/>
  <c r="A2147" i="12"/>
  <c r="S2146" i="12"/>
  <c r="A2146" i="12"/>
  <c r="S2145" i="12"/>
  <c r="A2145" i="12"/>
  <c r="A2144" i="12"/>
  <c r="S2144" i="12" s="1"/>
  <c r="A2143" i="12"/>
  <c r="S2143" i="12" s="1"/>
  <c r="S2142" i="12"/>
  <c r="A2142" i="12"/>
  <c r="A2141" i="12"/>
  <c r="S2141" i="12" s="1"/>
  <c r="A2140" i="12"/>
  <c r="S2140" i="12" s="1"/>
  <c r="S2139" i="12"/>
  <c r="A2139" i="12"/>
  <c r="A2138" i="12"/>
  <c r="S2138" i="12" s="1"/>
  <c r="A2137" i="12"/>
  <c r="S2137" i="12" s="1"/>
  <c r="S2136" i="12"/>
  <c r="A2136" i="12"/>
  <c r="A2135" i="12"/>
  <c r="S2135" i="12" s="1"/>
  <c r="S2134" i="12"/>
  <c r="A2134" i="12"/>
  <c r="S2133" i="12"/>
  <c r="A2133" i="12"/>
  <c r="A2132" i="12"/>
  <c r="S2132" i="12" s="1"/>
  <c r="A2131" i="12"/>
  <c r="S2131" i="12" s="1"/>
  <c r="A2130" i="12"/>
  <c r="S2130" i="12" s="1"/>
  <c r="A2129" i="12"/>
  <c r="S2129" i="12" s="1"/>
  <c r="S2128" i="12"/>
  <c r="A2128" i="12"/>
  <c r="S2127" i="12"/>
  <c r="A2127" i="12"/>
  <c r="A2126" i="12"/>
  <c r="S2126" i="12" s="1"/>
  <c r="A2125" i="12"/>
  <c r="S2125" i="12" s="1"/>
  <c r="S2124" i="12"/>
  <c r="A2124" i="12"/>
  <c r="A2123" i="12"/>
  <c r="S2123" i="12" s="1"/>
  <c r="S2122" i="12"/>
  <c r="A2122" i="12"/>
  <c r="S2121" i="12"/>
  <c r="A2121" i="12"/>
  <c r="A2120" i="12"/>
  <c r="S2120" i="12" s="1"/>
  <c r="A2119" i="12"/>
  <c r="S2119" i="12" s="1"/>
  <c r="A2118" i="12"/>
  <c r="S2118" i="12" s="1"/>
  <c r="A2117" i="12"/>
  <c r="S2117" i="12" s="1"/>
  <c r="S2116" i="12"/>
  <c r="A2116" i="12"/>
  <c r="S2115" i="12"/>
  <c r="A2115" i="12"/>
  <c r="A2114" i="12"/>
  <c r="S2114" i="12" s="1"/>
  <c r="A2113" i="12"/>
  <c r="S2113" i="12" s="1"/>
  <c r="S2112" i="12"/>
  <c r="A2112" i="12"/>
  <c r="A2111" i="12"/>
  <c r="S2111" i="12" s="1"/>
  <c r="S2110" i="12"/>
  <c r="A2110" i="12"/>
  <c r="S2109" i="12"/>
  <c r="A2109" i="12"/>
  <c r="A2108" i="12"/>
  <c r="S2108" i="12" s="1"/>
  <c r="A2107" i="12"/>
  <c r="S2107" i="12" s="1"/>
  <c r="A2106" i="12"/>
  <c r="S2106" i="12" s="1"/>
  <c r="A2105" i="12"/>
  <c r="S2105" i="12" s="1"/>
  <c r="S2104" i="12"/>
  <c r="A2104" i="12"/>
  <c r="S2103" i="12"/>
  <c r="A2103" i="12"/>
  <c r="A2102" i="12"/>
  <c r="S2102" i="12" s="1"/>
  <c r="A2101" i="12"/>
  <c r="S2101" i="12" s="1"/>
  <c r="A2100" i="12"/>
  <c r="S2100" i="12" s="1"/>
  <c r="A2099" i="12"/>
  <c r="S2099" i="12" s="1"/>
  <c r="S2098" i="12"/>
  <c r="A2098" i="12"/>
  <c r="S2097" i="12"/>
  <c r="A2097" i="12"/>
  <c r="A2096" i="12"/>
  <c r="S2096" i="12" s="1"/>
  <c r="A2095" i="12"/>
  <c r="S2095" i="12" s="1"/>
  <c r="A2094" i="12"/>
  <c r="S2094" i="12" s="1"/>
  <c r="A2093" i="12"/>
  <c r="S2093" i="12" s="1"/>
  <c r="S2092" i="12"/>
  <c r="A2092" i="12"/>
  <c r="S2091" i="12"/>
  <c r="A2091" i="12"/>
  <c r="A2090" i="12"/>
  <c r="S2090" i="12" s="1"/>
  <c r="A2089" i="12"/>
  <c r="S2089" i="12" s="1"/>
  <c r="S2088" i="12"/>
  <c r="A2088" i="12"/>
  <c r="A2087" i="12"/>
  <c r="S2087" i="12" s="1"/>
  <c r="S2086" i="12"/>
  <c r="A2086" i="12"/>
  <c r="S2085" i="12"/>
  <c r="A2085" i="12"/>
  <c r="A2084" i="12"/>
  <c r="S2084" i="12" s="1"/>
  <c r="A2083" i="12"/>
  <c r="S2083" i="12" s="1"/>
  <c r="A2082" i="12"/>
  <c r="S2082" i="12" s="1"/>
  <c r="A2081" i="12"/>
  <c r="S2081" i="12" s="1"/>
  <c r="S2080" i="12"/>
  <c r="A2080" i="12"/>
  <c r="S2079" i="12"/>
  <c r="A2079" i="12"/>
  <c r="A2078" i="12"/>
  <c r="S2078" i="12" s="1"/>
  <c r="A2077" i="12"/>
  <c r="S2077" i="12" s="1"/>
  <c r="A2076" i="12"/>
  <c r="S2076" i="12" s="1"/>
  <c r="A2075" i="12"/>
  <c r="S2075" i="12" s="1"/>
  <c r="S2074" i="12"/>
  <c r="A2074" i="12"/>
  <c r="S2073" i="12"/>
  <c r="A2073" i="12"/>
  <c r="A2072" i="12"/>
  <c r="S2072" i="12" s="1"/>
  <c r="A2071" i="12"/>
  <c r="S2071" i="12" s="1"/>
  <c r="A2070" i="12"/>
  <c r="S2070" i="12" s="1"/>
  <c r="A2069" i="12"/>
  <c r="S2069" i="12" s="1"/>
  <c r="S2068" i="12"/>
  <c r="A2068" i="12"/>
  <c r="S2067" i="12"/>
  <c r="A2067" i="12"/>
  <c r="A2066" i="12"/>
  <c r="S2066" i="12" s="1"/>
  <c r="A2065" i="12"/>
  <c r="S2065" i="12" s="1"/>
  <c r="S2064" i="12"/>
  <c r="A2064" i="12"/>
  <c r="A2063" i="12"/>
  <c r="S2063" i="12" s="1"/>
  <c r="S2062" i="12"/>
  <c r="A2062" i="12"/>
  <c r="S2061" i="12"/>
  <c r="A2061" i="12"/>
  <c r="A2060" i="12"/>
  <c r="S2060" i="12" s="1"/>
  <c r="A2059" i="12"/>
  <c r="S2059" i="12" s="1"/>
  <c r="A2058" i="12"/>
  <c r="S2058" i="12" s="1"/>
  <c r="A2057" i="12"/>
  <c r="S2057" i="12" s="1"/>
  <c r="S2056" i="12"/>
  <c r="A2056" i="12"/>
  <c r="S2055" i="12"/>
  <c r="A2055" i="12"/>
  <c r="A2054" i="12"/>
  <c r="S2054" i="12" s="1"/>
  <c r="A2053" i="12"/>
  <c r="S2053" i="12" s="1"/>
  <c r="S2052" i="12"/>
  <c r="A2052" i="12"/>
  <c r="A2051" i="12"/>
  <c r="S2051" i="12" s="1"/>
  <c r="S2050" i="12"/>
  <c r="A2050" i="12"/>
  <c r="S2049" i="12"/>
  <c r="A2049" i="12"/>
  <c r="A2048" i="12"/>
  <c r="S2048" i="12" s="1"/>
  <c r="A2047" i="12"/>
  <c r="S2047" i="12" s="1"/>
  <c r="A2046" i="12"/>
  <c r="S2046" i="12" s="1"/>
  <c r="A2045" i="12"/>
  <c r="S2045" i="12" s="1"/>
  <c r="S2044" i="12"/>
  <c r="A2044" i="12"/>
  <c r="S2043" i="12"/>
  <c r="A2043" i="12"/>
  <c r="A2042" i="12"/>
  <c r="S2042" i="12" s="1"/>
  <c r="A2041" i="12"/>
  <c r="S2041" i="12" s="1"/>
  <c r="S2040" i="12"/>
  <c r="A2040" i="12"/>
  <c r="A2039" i="12"/>
  <c r="S2039" i="12" s="1"/>
  <c r="A2038" i="12"/>
  <c r="S2038" i="12" s="1"/>
  <c r="S2037" i="12"/>
  <c r="A2037" i="12"/>
  <c r="A2036" i="12"/>
  <c r="S2036" i="12" s="1"/>
  <c r="A2035" i="12"/>
  <c r="S2035" i="12" s="1"/>
  <c r="A2034" i="12"/>
  <c r="S2034" i="12" s="1"/>
  <c r="A2033" i="12"/>
  <c r="S2033" i="12" s="1"/>
  <c r="S2032" i="12"/>
  <c r="A2032" i="12"/>
  <c r="S2031" i="12"/>
  <c r="A2031" i="12"/>
  <c r="A2030" i="12"/>
  <c r="S2030" i="12" s="1"/>
  <c r="A2029" i="12"/>
  <c r="S2029" i="12" s="1"/>
  <c r="A2028" i="12"/>
  <c r="S2028" i="12" s="1"/>
  <c r="A2027" i="12"/>
  <c r="S2027" i="12" s="1"/>
  <c r="A2026" i="12"/>
  <c r="S2026" i="12" s="1"/>
  <c r="S2025" i="12"/>
  <c r="A2025" i="12"/>
  <c r="A2024" i="12"/>
  <c r="S2024" i="12" s="1"/>
  <c r="A2023" i="12"/>
  <c r="S2023" i="12" s="1"/>
  <c r="A2022" i="12"/>
  <c r="S2022" i="12" s="1"/>
  <c r="A2021" i="12"/>
  <c r="S2021" i="12" s="1"/>
  <c r="A2020" i="12"/>
  <c r="S2020" i="12" s="1"/>
  <c r="S2019" i="12"/>
  <c r="A2019" i="12"/>
  <c r="A2018" i="12"/>
  <c r="S2018" i="12" s="1"/>
  <c r="A2017" i="12"/>
  <c r="S2017" i="12" s="1"/>
  <c r="S2016" i="12"/>
  <c r="A2016" i="12"/>
  <c r="A2015" i="12"/>
  <c r="S2015" i="12" s="1"/>
  <c r="A2014" i="12"/>
  <c r="S2014" i="12" s="1"/>
  <c r="S2013" i="12"/>
  <c r="A2013" i="12"/>
  <c r="A2012" i="12"/>
  <c r="S2012" i="12" s="1"/>
  <c r="A2011" i="12"/>
  <c r="S2011" i="12" s="1"/>
  <c r="A2010" i="12"/>
  <c r="S2010" i="12" s="1"/>
  <c r="A2009" i="12"/>
  <c r="S2009" i="12" s="1"/>
  <c r="S2008" i="12"/>
  <c r="A2008" i="12"/>
  <c r="S2007" i="12"/>
  <c r="A2007" i="12"/>
  <c r="A2006" i="12"/>
  <c r="S2006" i="12" s="1"/>
  <c r="A2005" i="12"/>
  <c r="S2005" i="12" s="1"/>
  <c r="S2004" i="12"/>
  <c r="A2004" i="12"/>
  <c r="A2003" i="12"/>
  <c r="S2003" i="12" s="1"/>
  <c r="A2002" i="12"/>
  <c r="S2002" i="12" s="1"/>
  <c r="S2001" i="12"/>
  <c r="A2001" i="12"/>
  <c r="A2000" i="12"/>
  <c r="S2000" i="12" s="1"/>
  <c r="A1999" i="12"/>
  <c r="S1999" i="12" s="1"/>
  <c r="A1998" i="12"/>
  <c r="S1998" i="12" s="1"/>
  <c r="A1997" i="12"/>
  <c r="S1997" i="12" s="1"/>
  <c r="A1996" i="12"/>
  <c r="S1996" i="12" s="1"/>
  <c r="S1995" i="12"/>
  <c r="A1995" i="12"/>
  <c r="A1994" i="12"/>
  <c r="S1994" i="12" s="1"/>
  <c r="A1993" i="12"/>
  <c r="S1993" i="12" s="1"/>
  <c r="S1992" i="12"/>
  <c r="A1992" i="12"/>
  <c r="A1991" i="12"/>
  <c r="S1991" i="12" s="1"/>
  <c r="A1990" i="12"/>
  <c r="S1990" i="12" s="1"/>
  <c r="S1989" i="12"/>
  <c r="A1989" i="12"/>
  <c r="A1988" i="12"/>
  <c r="S1988" i="12" s="1"/>
  <c r="A1987" i="12"/>
  <c r="S1987" i="12" s="1"/>
  <c r="A1986" i="12"/>
  <c r="S1986" i="12" s="1"/>
  <c r="A1985" i="12"/>
  <c r="S1985" i="12" s="1"/>
  <c r="S1984" i="12"/>
  <c r="A1984" i="12"/>
  <c r="S1983" i="12"/>
  <c r="A1983" i="12"/>
  <c r="A1982" i="12"/>
  <c r="S1982" i="12" s="1"/>
  <c r="A1981" i="12"/>
  <c r="S1981" i="12" s="1"/>
  <c r="S1980" i="12"/>
  <c r="A1980" i="12"/>
  <c r="A1979" i="12"/>
  <c r="S1979" i="12" s="1"/>
  <c r="A1978" i="12"/>
  <c r="S1978" i="12" s="1"/>
  <c r="S1977" i="12"/>
  <c r="A1977" i="12"/>
  <c r="A1976" i="12"/>
  <c r="S1976" i="12" s="1"/>
  <c r="A1975" i="12"/>
  <c r="S1975" i="12" s="1"/>
  <c r="A1974" i="12"/>
  <c r="S1974" i="12" s="1"/>
  <c r="A1973" i="12"/>
  <c r="S1973" i="12" s="1"/>
  <c r="A1972" i="12"/>
  <c r="S1972" i="12" s="1"/>
  <c r="S1971" i="12"/>
  <c r="A1971" i="12"/>
  <c r="A1970" i="12"/>
  <c r="S1970" i="12" s="1"/>
  <c r="A1969" i="12"/>
  <c r="S1969" i="12" s="1"/>
  <c r="S1968" i="12"/>
  <c r="A1968" i="12"/>
  <c r="A1967" i="12"/>
  <c r="S1967" i="12" s="1"/>
  <c r="A1966" i="12"/>
  <c r="S1966" i="12" s="1"/>
  <c r="S1965" i="12"/>
  <c r="A1965" i="12"/>
  <c r="A1964" i="12"/>
  <c r="S1964" i="12" s="1"/>
  <c r="A1963" i="12"/>
  <c r="S1963" i="12" s="1"/>
  <c r="A1962" i="12"/>
  <c r="S1962" i="12" s="1"/>
  <c r="A1961" i="12"/>
  <c r="S1961" i="12" s="1"/>
  <c r="S1960" i="12"/>
  <c r="A1960" i="12"/>
  <c r="S1959" i="12"/>
  <c r="A1959" i="12"/>
  <c r="A1958" i="12"/>
  <c r="S1958" i="12" s="1"/>
  <c r="A1957" i="12"/>
  <c r="S1957" i="12" s="1"/>
  <c r="A1956" i="12"/>
  <c r="S1956" i="12" s="1"/>
  <c r="A1955" i="12"/>
  <c r="S1955" i="12" s="1"/>
  <c r="A1954" i="12"/>
  <c r="S1954" i="12" s="1"/>
  <c r="S1953" i="12"/>
  <c r="A1953" i="12"/>
  <c r="A1952" i="12"/>
  <c r="S1952" i="12" s="1"/>
  <c r="A1951" i="12"/>
  <c r="S1951" i="12" s="1"/>
  <c r="A1950" i="12"/>
  <c r="S1950" i="12" s="1"/>
  <c r="A1949" i="12"/>
  <c r="S1949" i="12" s="1"/>
  <c r="A1948" i="12"/>
  <c r="S1948" i="12" s="1"/>
  <c r="S1947" i="12"/>
  <c r="A1947" i="12"/>
  <c r="A1946" i="12"/>
  <c r="S1946" i="12" s="1"/>
  <c r="A1945" i="12"/>
  <c r="S1945" i="12" s="1"/>
  <c r="S1944" i="12"/>
  <c r="A1944" i="12"/>
  <c r="A1943" i="12"/>
  <c r="S1943" i="12" s="1"/>
  <c r="A1942" i="12"/>
  <c r="S1942" i="12" s="1"/>
  <c r="S1941" i="12"/>
  <c r="A1941" i="12"/>
  <c r="A1940" i="12"/>
  <c r="S1940" i="12" s="1"/>
  <c r="A1939" i="12"/>
  <c r="S1939" i="12" s="1"/>
  <c r="S1938" i="12"/>
  <c r="A1938" i="12"/>
  <c r="A1937" i="12"/>
  <c r="S1937" i="12" s="1"/>
  <c r="A1936" i="12"/>
  <c r="S1936" i="12" s="1"/>
  <c r="S1935" i="12"/>
  <c r="A1935" i="12"/>
  <c r="A1934" i="12"/>
  <c r="S1934" i="12" s="1"/>
  <c r="A1933" i="12"/>
  <c r="S1933" i="12" s="1"/>
  <c r="S1932" i="12"/>
  <c r="A1932" i="12"/>
  <c r="A1931" i="12"/>
  <c r="S1931" i="12" s="1"/>
  <c r="A1930" i="12"/>
  <c r="S1930" i="12" s="1"/>
  <c r="S1929" i="12"/>
  <c r="A1929" i="12"/>
  <c r="A1928" i="12"/>
  <c r="S1928" i="12" s="1"/>
  <c r="A1927" i="12"/>
  <c r="S1927" i="12" s="1"/>
  <c r="S1926" i="12"/>
  <c r="A1926" i="12"/>
  <c r="A1925" i="12"/>
  <c r="S1925" i="12" s="1"/>
  <c r="S1924" i="12"/>
  <c r="A1924" i="12"/>
  <c r="S1923" i="12"/>
  <c r="A1923" i="12"/>
  <c r="A1922" i="12"/>
  <c r="S1922" i="12" s="1"/>
  <c r="A1921" i="12"/>
  <c r="S1921" i="12" s="1"/>
  <c r="A1920" i="12"/>
  <c r="S1920" i="12" s="1"/>
  <c r="A1919" i="12"/>
  <c r="S1919" i="12" s="1"/>
  <c r="A1918" i="12"/>
  <c r="S1918" i="12" s="1"/>
  <c r="S1917" i="12"/>
  <c r="A1917" i="12"/>
  <c r="A1916" i="12"/>
  <c r="S1916" i="12" s="1"/>
  <c r="A1915" i="12"/>
  <c r="S1915" i="12" s="1"/>
  <c r="A1914" i="12"/>
  <c r="S1914" i="12" s="1"/>
  <c r="A1913" i="12"/>
  <c r="S1913" i="12" s="1"/>
  <c r="S1912" i="12"/>
  <c r="A1912" i="12"/>
  <c r="S1911" i="12"/>
  <c r="A1911" i="12"/>
  <c r="A1910" i="12"/>
  <c r="S1910" i="12" s="1"/>
  <c r="A1909" i="12"/>
  <c r="S1909" i="12" s="1"/>
  <c r="S1908" i="12"/>
  <c r="A1908" i="12"/>
  <c r="A1907" i="12"/>
  <c r="S1907" i="12" s="1"/>
  <c r="S1906" i="12"/>
  <c r="A1906" i="12"/>
  <c r="S1905" i="12"/>
  <c r="A1905" i="12"/>
  <c r="A1904" i="12"/>
  <c r="S1904" i="12" s="1"/>
  <c r="A1903" i="12"/>
  <c r="S1903" i="12" s="1"/>
  <c r="S1902" i="12"/>
  <c r="A1902" i="12"/>
  <c r="A1901" i="12"/>
  <c r="S1901" i="12" s="1"/>
  <c r="A1900" i="12"/>
  <c r="S1900" i="12" s="1"/>
  <c r="S1899" i="12"/>
  <c r="A1899" i="12"/>
  <c r="S1898" i="12"/>
  <c r="A1898" i="12"/>
  <c r="A1897" i="12"/>
  <c r="S1897" i="12" s="1"/>
  <c r="S1896" i="12"/>
  <c r="A1896" i="12"/>
  <c r="A1895" i="12"/>
  <c r="S1895" i="12" s="1"/>
  <c r="A1894" i="12"/>
  <c r="S1894" i="12" s="1"/>
  <c r="S1893" i="12"/>
  <c r="A1893" i="12"/>
  <c r="A1892" i="12"/>
  <c r="S1892" i="12" s="1"/>
  <c r="A1891" i="12"/>
  <c r="S1891" i="12" s="1"/>
  <c r="S1890" i="12"/>
  <c r="A1890" i="12"/>
  <c r="A1889" i="12"/>
  <c r="S1889" i="12" s="1"/>
  <c r="S1888" i="12"/>
  <c r="A1888" i="12"/>
  <c r="S1887" i="12"/>
  <c r="A1887" i="12"/>
  <c r="A1886" i="12"/>
  <c r="S1886" i="12" s="1"/>
  <c r="A1885" i="12"/>
  <c r="S1885" i="12" s="1"/>
  <c r="A1884" i="12"/>
  <c r="S1884" i="12" s="1"/>
  <c r="A1883" i="12"/>
  <c r="S1883" i="12" s="1"/>
  <c r="A1882" i="12"/>
  <c r="S1882" i="12" s="1"/>
  <c r="S1881" i="12"/>
  <c r="A1881" i="12"/>
  <c r="A1880" i="12"/>
  <c r="S1880" i="12" s="1"/>
  <c r="A1879" i="12"/>
  <c r="S1879" i="12" s="1"/>
  <c r="A1878" i="12"/>
  <c r="S1878" i="12" s="1"/>
  <c r="A1877" i="12"/>
  <c r="S1877" i="12" s="1"/>
  <c r="A1876" i="12"/>
  <c r="S1876" i="12" s="1"/>
  <c r="S1875" i="12"/>
  <c r="A1875" i="12"/>
  <c r="A1874" i="12"/>
  <c r="S1874" i="12" s="1"/>
  <c r="A1873" i="12"/>
  <c r="S1873" i="12" s="1"/>
  <c r="S1872" i="12"/>
  <c r="A1872" i="12"/>
  <c r="A1871" i="12"/>
  <c r="S1871" i="12" s="1"/>
  <c r="S1870" i="12"/>
  <c r="A1870" i="12"/>
  <c r="S1869" i="12"/>
  <c r="A1869" i="12"/>
  <c r="A1868" i="12"/>
  <c r="S1868" i="12" s="1"/>
  <c r="A1867" i="12"/>
  <c r="S1867" i="12" s="1"/>
  <c r="S1866" i="12"/>
  <c r="A1866" i="12"/>
  <c r="A1865" i="12"/>
  <c r="S1865" i="12" s="1"/>
  <c r="A1864" i="12"/>
  <c r="S1864" i="12" s="1"/>
  <c r="S1863" i="12"/>
  <c r="A1863" i="12"/>
  <c r="S1862" i="12"/>
  <c r="A1862" i="12"/>
  <c r="A1861" i="12"/>
  <c r="S1861" i="12" s="1"/>
  <c r="S1860" i="12"/>
  <c r="A1860" i="12"/>
  <c r="A1859" i="12"/>
  <c r="S1859" i="12" s="1"/>
  <c r="A1858" i="12"/>
  <c r="S1858" i="12" s="1"/>
  <c r="S1857" i="12"/>
  <c r="A1857" i="12"/>
  <c r="S1856" i="12"/>
  <c r="A1856" i="12"/>
  <c r="A1855" i="12"/>
  <c r="S1855" i="12" s="1"/>
  <c r="S1854" i="12"/>
  <c r="A1854" i="12"/>
  <c r="A1853" i="12"/>
  <c r="S1853" i="12" s="1"/>
  <c r="S1852" i="12"/>
  <c r="A1852" i="12"/>
  <c r="S1851" i="12"/>
  <c r="A1851" i="12"/>
  <c r="S1850" i="12"/>
  <c r="A1850" i="12"/>
  <c r="A1849" i="12"/>
  <c r="S1849" i="12" s="1"/>
  <c r="S1848" i="12"/>
  <c r="A1848" i="12"/>
  <c r="A1847" i="12"/>
  <c r="S1847" i="12" s="1"/>
  <c r="A1846" i="12"/>
  <c r="S1846" i="12" s="1"/>
  <c r="S1845" i="12"/>
  <c r="A1845" i="12"/>
  <c r="A1844" i="12"/>
  <c r="S1844" i="12" s="1"/>
  <c r="S1843" i="12"/>
  <c r="A1843" i="12"/>
  <c r="S1842" i="12"/>
  <c r="A1842" i="12"/>
  <c r="A1841" i="12"/>
  <c r="S1841" i="12" s="1"/>
  <c r="S1840" i="12"/>
  <c r="A1840" i="12"/>
  <c r="S1839" i="12"/>
  <c r="A1839" i="12"/>
  <c r="S1838" i="12"/>
  <c r="A1838" i="12"/>
  <c r="A1837" i="12"/>
  <c r="S1837" i="12" s="1"/>
  <c r="A1836" i="12"/>
  <c r="S1836" i="12" s="1"/>
  <c r="A1835" i="12"/>
  <c r="S1835" i="12" s="1"/>
  <c r="A1834" i="12"/>
  <c r="S1834" i="12" s="1"/>
  <c r="S1833" i="12"/>
  <c r="A1833" i="12"/>
  <c r="S1832" i="12"/>
  <c r="A1832" i="12"/>
  <c r="A1831" i="12"/>
  <c r="S1831" i="12" s="1"/>
  <c r="S1830" i="12"/>
  <c r="A1830" i="12"/>
  <c r="A1829" i="12"/>
  <c r="S1829" i="12" s="1"/>
  <c r="A1828" i="12"/>
  <c r="S1828" i="12" s="1"/>
  <c r="S1827" i="12"/>
  <c r="A1827" i="12"/>
  <c r="S1826" i="12"/>
  <c r="A1826" i="12"/>
  <c r="S1825" i="12"/>
  <c r="A1825" i="12"/>
  <c r="S1824" i="12"/>
  <c r="A1824" i="12"/>
  <c r="A1823" i="12"/>
  <c r="S1823" i="12" s="1"/>
  <c r="S1822" i="12"/>
  <c r="A1822" i="12"/>
  <c r="S1821" i="12"/>
  <c r="A1821" i="12"/>
  <c r="A1820" i="12"/>
  <c r="S1820" i="12" s="1"/>
  <c r="S1819" i="12"/>
  <c r="A1819" i="12"/>
  <c r="A1818" i="12"/>
  <c r="S1818" i="12" s="1"/>
  <c r="A1817" i="12"/>
  <c r="S1817" i="12" s="1"/>
  <c r="A1816" i="12"/>
  <c r="S1816" i="12" s="1"/>
  <c r="S1815" i="12"/>
  <c r="A1815" i="12"/>
  <c r="S1814" i="12"/>
  <c r="A1814" i="12"/>
  <c r="S1813" i="12"/>
  <c r="A1813" i="12"/>
  <c r="S1812" i="12"/>
  <c r="A1812" i="12"/>
  <c r="A1811" i="12"/>
  <c r="S1811" i="12" s="1"/>
  <c r="S1810" i="12"/>
  <c r="A1810" i="12"/>
  <c r="S1809" i="12"/>
  <c r="A1809" i="12"/>
  <c r="A1808" i="12"/>
  <c r="S1808" i="12" s="1"/>
  <c r="A1807" i="12"/>
  <c r="S1807" i="12" s="1"/>
  <c r="S1806" i="12"/>
  <c r="A1806" i="12"/>
  <c r="A1805" i="12"/>
  <c r="S1805" i="12" s="1"/>
  <c r="S1804" i="12"/>
  <c r="A1804" i="12"/>
  <c r="S1803" i="12"/>
  <c r="A1803" i="12"/>
  <c r="A1802" i="12"/>
  <c r="S1802" i="12" s="1"/>
  <c r="S1801" i="12"/>
  <c r="A1801" i="12"/>
  <c r="A1800" i="12"/>
  <c r="S1800" i="12" s="1"/>
  <c r="A1799" i="12"/>
  <c r="S1799" i="12" s="1"/>
  <c r="A1798" i="12"/>
  <c r="S1798" i="12" s="1"/>
  <c r="S1797" i="12"/>
  <c r="A1797" i="12"/>
  <c r="S1796" i="12"/>
  <c r="A1796" i="12"/>
  <c r="S1795" i="12"/>
  <c r="A1795" i="12"/>
  <c r="A1794" i="12"/>
  <c r="S1794" i="12" s="1"/>
  <c r="A1793" i="12"/>
  <c r="S1793" i="12" s="1"/>
  <c r="S1792" i="12"/>
  <c r="A1792" i="12"/>
  <c r="S1791" i="12"/>
  <c r="A1791" i="12"/>
  <c r="A1790" i="12"/>
  <c r="S1790" i="12" s="1"/>
  <c r="A1789" i="12"/>
  <c r="S1789" i="12" s="1"/>
  <c r="S1788" i="12"/>
  <c r="A1788" i="12"/>
  <c r="A1787" i="12"/>
  <c r="S1787" i="12" s="1"/>
  <c r="A1786" i="12"/>
  <c r="S1786" i="12" s="1"/>
  <c r="S1785" i="12"/>
  <c r="A1785" i="12"/>
  <c r="S1784" i="12"/>
  <c r="A1784" i="12"/>
  <c r="S1783" i="12"/>
  <c r="A1783" i="12"/>
  <c r="S1782" i="12"/>
  <c r="A1782" i="12"/>
  <c r="A1781" i="12"/>
  <c r="S1781" i="12" s="1"/>
  <c r="S1780" i="12"/>
  <c r="A1780" i="12"/>
  <c r="S1779" i="12"/>
  <c r="A1779" i="12"/>
  <c r="S1778" i="12"/>
  <c r="A1778" i="12"/>
  <c r="A1777" i="12"/>
  <c r="S1777" i="12" s="1"/>
  <c r="S1776" i="12"/>
  <c r="A1776" i="12"/>
  <c r="A1775" i="12"/>
  <c r="S1775" i="12" s="1"/>
  <c r="A1774" i="12"/>
  <c r="S1774" i="12" s="1"/>
  <c r="S1773" i="12"/>
  <c r="A1773" i="12"/>
  <c r="A1772" i="12"/>
  <c r="S1772" i="12" s="1"/>
  <c r="S1771" i="12"/>
  <c r="A1771" i="12"/>
  <c r="A1770" i="12"/>
  <c r="S1770" i="12" s="1"/>
  <c r="A1769" i="12"/>
  <c r="S1769" i="12" s="1"/>
  <c r="A1768" i="12"/>
  <c r="S1768" i="12" s="1"/>
  <c r="S1767" i="12"/>
  <c r="A1767" i="12"/>
  <c r="S1766" i="12"/>
  <c r="A1766" i="12"/>
  <c r="S1765" i="12"/>
  <c r="A1765" i="12"/>
  <c r="A1764" i="12"/>
  <c r="S1764" i="12" s="1"/>
  <c r="A1763" i="12"/>
  <c r="S1763" i="12" s="1"/>
  <c r="S1762" i="12"/>
  <c r="A1762" i="12"/>
  <c r="S1761" i="12"/>
  <c r="A1761" i="12"/>
  <c r="A1760" i="12"/>
  <c r="S1760" i="12" s="1"/>
  <c r="S1759" i="12"/>
  <c r="A1759" i="12"/>
  <c r="S1758" i="12"/>
  <c r="A1758" i="12"/>
  <c r="A1757" i="12"/>
  <c r="S1757" i="12" s="1"/>
  <c r="A1756" i="12"/>
  <c r="S1756" i="12" s="1"/>
  <c r="S1755" i="12"/>
  <c r="A1755" i="12"/>
  <c r="S1754" i="12"/>
  <c r="A1754" i="12"/>
  <c r="S1753" i="12"/>
  <c r="A1753" i="12"/>
  <c r="A1752" i="12"/>
  <c r="S1752" i="12" s="1"/>
  <c r="A1751" i="12"/>
  <c r="S1751" i="12" s="1"/>
  <c r="S1750" i="12"/>
  <c r="A1750" i="12"/>
  <c r="S1749" i="12"/>
  <c r="A1749" i="12"/>
  <c r="A1748" i="12"/>
  <c r="S1748" i="12" s="1"/>
  <c r="A1747" i="12"/>
  <c r="S1747" i="12" s="1"/>
  <c r="S1746" i="12"/>
  <c r="A1746" i="12"/>
  <c r="A1745" i="12"/>
  <c r="S1745" i="12" s="1"/>
  <c r="A1744" i="12"/>
  <c r="S1744" i="12" s="1"/>
  <c r="S1743" i="12"/>
  <c r="A1743" i="12"/>
  <c r="S1742" i="12"/>
  <c r="A1742" i="12"/>
  <c r="A1741" i="12"/>
  <c r="S1741" i="12" s="1"/>
  <c r="A1740" i="12"/>
  <c r="S1740" i="12" s="1"/>
  <c r="A1739" i="12"/>
  <c r="S1739" i="12" s="1"/>
  <c r="S1738" i="12"/>
  <c r="A1738" i="12"/>
  <c r="S1737" i="12"/>
  <c r="A1737" i="12"/>
  <c r="A1736" i="12"/>
  <c r="S1736" i="12" s="1"/>
  <c r="S1735" i="12"/>
  <c r="A1735" i="12"/>
  <c r="S1734" i="12"/>
  <c r="A1734" i="12"/>
  <c r="A1733" i="12"/>
  <c r="S1733" i="12" s="1"/>
  <c r="S1732" i="12"/>
  <c r="A1732" i="12"/>
  <c r="S1731" i="12"/>
  <c r="A1731" i="12"/>
  <c r="S1730" i="12"/>
  <c r="A1730" i="12"/>
  <c r="S1729" i="12"/>
  <c r="A1729" i="12"/>
  <c r="A1728" i="12"/>
  <c r="S1728" i="12" s="1"/>
  <c r="A1727" i="12"/>
  <c r="S1727" i="12" s="1"/>
  <c r="A1726" i="12"/>
  <c r="S1726" i="12" s="1"/>
  <c r="S1725" i="12"/>
  <c r="A1725" i="12"/>
  <c r="A1724" i="12"/>
  <c r="S1724" i="12" s="1"/>
  <c r="A1723" i="12"/>
  <c r="S1723" i="12" s="1"/>
  <c r="S1722" i="12"/>
  <c r="A1722" i="12"/>
  <c r="A1721" i="12"/>
  <c r="S1721" i="12" s="1"/>
  <c r="A1720" i="12"/>
  <c r="S1720" i="12" s="1"/>
  <c r="S1719" i="12"/>
  <c r="A1719" i="12"/>
  <c r="A1718" i="12"/>
  <c r="S1718" i="12" s="1"/>
  <c r="A1717" i="12"/>
  <c r="S1717" i="12" s="1"/>
  <c r="A1716" i="12"/>
  <c r="S1716" i="12" s="1"/>
  <c r="A1715" i="12"/>
  <c r="S1715" i="12" s="1"/>
  <c r="A1714" i="12"/>
  <c r="S1714" i="12" s="1"/>
  <c r="S1713" i="12"/>
  <c r="A1713" i="12"/>
  <c r="S1712" i="12"/>
  <c r="A1712" i="12"/>
  <c r="S1711" i="12"/>
  <c r="A1711" i="12"/>
  <c r="S1710" i="12"/>
  <c r="A1710" i="12"/>
  <c r="A1709" i="12"/>
  <c r="S1709" i="12" s="1"/>
  <c r="S1708" i="12"/>
  <c r="A1708" i="12"/>
  <c r="S1707" i="12"/>
  <c r="A1707" i="12"/>
  <c r="S1706" i="12"/>
  <c r="A1706" i="12"/>
  <c r="A1705" i="12"/>
  <c r="S1705" i="12" s="1"/>
  <c r="S1704" i="12"/>
  <c r="A1704" i="12"/>
  <c r="A1703" i="12"/>
  <c r="S1703" i="12" s="1"/>
  <c r="A1702" i="12"/>
  <c r="S1702" i="12" s="1"/>
  <c r="S1701" i="12"/>
  <c r="A1701" i="12"/>
  <c r="A1700" i="12"/>
  <c r="S1700" i="12" s="1"/>
  <c r="S1699" i="12"/>
  <c r="A1699" i="12"/>
  <c r="A1698" i="12"/>
  <c r="S1698" i="12" s="1"/>
  <c r="A1697" i="12"/>
  <c r="S1697" i="12" s="1"/>
  <c r="S1696" i="12"/>
  <c r="A1696" i="12"/>
  <c r="S1695" i="12"/>
  <c r="A1695" i="12"/>
  <c r="A1694" i="12"/>
  <c r="S1694" i="12" s="1"/>
  <c r="S1693" i="12"/>
  <c r="A1693" i="12"/>
  <c r="A1692" i="12"/>
  <c r="S1692" i="12" s="1"/>
  <c r="A1691" i="12"/>
  <c r="S1691" i="12" s="1"/>
  <c r="S1690" i="12"/>
  <c r="A1690" i="12"/>
  <c r="S1689" i="12"/>
  <c r="A1689" i="12"/>
  <c r="S1688" i="12"/>
  <c r="A1688" i="12"/>
  <c r="A1687" i="12"/>
  <c r="S1687" i="12" s="1"/>
  <c r="S1686" i="12"/>
  <c r="A1686" i="12"/>
  <c r="A1685" i="12"/>
  <c r="S1685" i="12" s="1"/>
  <c r="A1684" i="12"/>
  <c r="S1684" i="12" s="1"/>
  <c r="S1683" i="12"/>
  <c r="A1683" i="12"/>
  <c r="A1682" i="12"/>
  <c r="S1682" i="12" s="1"/>
  <c r="S1681" i="12"/>
  <c r="A1681" i="12"/>
  <c r="S1680" i="12"/>
  <c r="A1680" i="12"/>
  <c r="A1679" i="12"/>
  <c r="S1679" i="12" s="1"/>
  <c r="S1678" i="12"/>
  <c r="A1678" i="12"/>
  <c r="S1677" i="12"/>
  <c r="A1677" i="12"/>
  <c r="S1676" i="12"/>
  <c r="A1676" i="12"/>
  <c r="S1675" i="12"/>
  <c r="A1675" i="12"/>
  <c r="A1674" i="12"/>
  <c r="S1674" i="12" s="1"/>
  <c r="A1673" i="12"/>
  <c r="S1673" i="12" s="1"/>
  <c r="S1672" i="12"/>
  <c r="A1672" i="12"/>
  <c r="S1671" i="12"/>
  <c r="A1671" i="12"/>
  <c r="S1670" i="12"/>
  <c r="A1670" i="12"/>
  <c r="A1669" i="12"/>
  <c r="S1669" i="12" s="1"/>
  <c r="S1668" i="12"/>
  <c r="A1668" i="12"/>
  <c r="A1667" i="12"/>
  <c r="S1667" i="12" s="1"/>
  <c r="A1666" i="12"/>
  <c r="S1666" i="12" s="1"/>
  <c r="S1665" i="12"/>
  <c r="A1665" i="12"/>
  <c r="S1664" i="12"/>
  <c r="A1664" i="12"/>
  <c r="S1663" i="12"/>
  <c r="A1663" i="12"/>
  <c r="S1662" i="12"/>
  <c r="A1662" i="12"/>
  <c r="A1661" i="12"/>
  <c r="S1661" i="12" s="1"/>
  <c r="A1660" i="12"/>
  <c r="S1660" i="12" s="1"/>
  <c r="S1659" i="12"/>
  <c r="A1659" i="12"/>
  <c r="A1658" i="12"/>
  <c r="S1658" i="12" s="1"/>
  <c r="S1657" i="12"/>
  <c r="A1657" i="12"/>
  <c r="S1656" i="12"/>
  <c r="A1656" i="12"/>
  <c r="A1655" i="12"/>
  <c r="S1655" i="12" s="1"/>
  <c r="A1654" i="12"/>
  <c r="S1654" i="12" s="1"/>
  <c r="S1653" i="12"/>
  <c r="A1653" i="12"/>
  <c r="S1652" i="12"/>
  <c r="A1652" i="12"/>
  <c r="A1651" i="12"/>
  <c r="S1651" i="12" s="1"/>
  <c r="S1650" i="12"/>
  <c r="A1650" i="12"/>
  <c r="A1649" i="12"/>
  <c r="S1649" i="12" s="1"/>
  <c r="S1648" i="12"/>
  <c r="A1648" i="12"/>
  <c r="S1647" i="12"/>
  <c r="A1647" i="12"/>
  <c r="A1646" i="12"/>
  <c r="S1646" i="12" s="1"/>
  <c r="A1645" i="12"/>
  <c r="S1645" i="12" s="1"/>
  <c r="A1644" i="12"/>
  <c r="S1644" i="12" s="1"/>
  <c r="A1643" i="12"/>
  <c r="S1643" i="12" s="1"/>
  <c r="S1642" i="12"/>
  <c r="A1642" i="12"/>
  <c r="S1641" i="12"/>
  <c r="A1641" i="12"/>
  <c r="S1640" i="12"/>
  <c r="A1640" i="12"/>
  <c r="S1639" i="12"/>
  <c r="A1639" i="12"/>
  <c r="S1638" i="12"/>
  <c r="A1638" i="12"/>
  <c r="A1637" i="12"/>
  <c r="S1637" i="12" s="1"/>
  <c r="S1636" i="12"/>
  <c r="A1636" i="12"/>
  <c r="S1635" i="12"/>
  <c r="A1635" i="12"/>
  <c r="S1634" i="12"/>
  <c r="A1634" i="12"/>
  <c r="A1633" i="12"/>
  <c r="S1633" i="12" s="1"/>
  <c r="A1632" i="12"/>
  <c r="S1632" i="12" s="1"/>
  <c r="A1631" i="12"/>
  <c r="S1631" i="12" s="1"/>
  <c r="A1630" i="12"/>
  <c r="S1630" i="12" s="1"/>
  <c r="S1629" i="12"/>
  <c r="A1629" i="12"/>
  <c r="A1628" i="12"/>
  <c r="S1628" i="12" s="1"/>
  <c r="A1627" i="12"/>
  <c r="S1627" i="12" s="1"/>
  <c r="S1626" i="12"/>
  <c r="A1626" i="12"/>
  <c r="A1625" i="12"/>
  <c r="S1625" i="12" s="1"/>
  <c r="A1624" i="12"/>
  <c r="S1624" i="12" s="1"/>
  <c r="S1623" i="12"/>
  <c r="A1623" i="12"/>
  <c r="S1622" i="12"/>
  <c r="A1622" i="12"/>
  <c r="S1621" i="12"/>
  <c r="A1621" i="12"/>
  <c r="S1620" i="12"/>
  <c r="A1620" i="12"/>
  <c r="A1619" i="12"/>
  <c r="S1619" i="12" s="1"/>
  <c r="A1618" i="12"/>
  <c r="S1618" i="12" s="1"/>
  <c r="S1617" i="12"/>
  <c r="A1617" i="12"/>
  <c r="A1616" i="12"/>
  <c r="S1616" i="12" s="1"/>
  <c r="A1615" i="12"/>
  <c r="S1615" i="12" s="1"/>
  <c r="S1614" i="12"/>
  <c r="A1614" i="12"/>
  <c r="A1613" i="12"/>
  <c r="S1613" i="12" s="1"/>
  <c r="A1612" i="12"/>
  <c r="S1612" i="12" s="1"/>
  <c r="S1611" i="12"/>
  <c r="A1611" i="12"/>
  <c r="A1610" i="12"/>
  <c r="S1610" i="12" s="1"/>
  <c r="S1609" i="12"/>
  <c r="A1609" i="12"/>
  <c r="S1608" i="12"/>
  <c r="A1608" i="12"/>
  <c r="A1607" i="12"/>
  <c r="S1607" i="12" s="1"/>
  <c r="S1606" i="12"/>
  <c r="A1606" i="12"/>
  <c r="S1605" i="12"/>
  <c r="A1605" i="12"/>
  <c r="A1604" i="12"/>
  <c r="S1604" i="12" s="1"/>
  <c r="S1603" i="12"/>
  <c r="A1603" i="12"/>
  <c r="A1602" i="12"/>
  <c r="S1602" i="12" s="1"/>
  <c r="A1601" i="12"/>
  <c r="S1601" i="12" s="1"/>
  <c r="A1600" i="12"/>
  <c r="S1600" i="12" s="1"/>
  <c r="S1599" i="12"/>
  <c r="A1599" i="12"/>
  <c r="S1598" i="12"/>
  <c r="A1598" i="12"/>
  <c r="A1597" i="12"/>
  <c r="S1597" i="12" s="1"/>
  <c r="S1596" i="12"/>
  <c r="A1596" i="12"/>
  <c r="A1595" i="12"/>
  <c r="S1595" i="12" s="1"/>
  <c r="S1594" i="12"/>
  <c r="A1594" i="12"/>
  <c r="S1593" i="12"/>
  <c r="A1593" i="12"/>
  <c r="A1592" i="12"/>
  <c r="S1592" i="12" s="1"/>
  <c r="A1591" i="12"/>
  <c r="S1591" i="12" s="1"/>
  <c r="A1590" i="12"/>
  <c r="S1590" i="12" s="1"/>
  <c r="A1589" i="12"/>
  <c r="S1589" i="12" s="1"/>
  <c r="A1588" i="12"/>
  <c r="S1588" i="12" s="1"/>
  <c r="S1587" i="12"/>
  <c r="A1587" i="12"/>
  <c r="A1586" i="12"/>
  <c r="S1586" i="12" s="1"/>
  <c r="A1585" i="12"/>
  <c r="S1585" i="12" s="1"/>
  <c r="A1584" i="12"/>
  <c r="S1584" i="12" s="1"/>
  <c r="A1583" i="12"/>
  <c r="S1583" i="12" s="1"/>
  <c r="A1582" i="12"/>
  <c r="S1582" i="12" s="1"/>
  <c r="S1581" i="12"/>
  <c r="A1581" i="12"/>
  <c r="S1580" i="12"/>
  <c r="A1580" i="12"/>
  <c r="S1579" i="12"/>
  <c r="A1579" i="12"/>
  <c r="A1578" i="12"/>
  <c r="S1578" i="12" s="1"/>
  <c r="A1577" i="12"/>
  <c r="S1577" i="12" s="1"/>
  <c r="S1576" i="12"/>
  <c r="A1576" i="12"/>
  <c r="S1575" i="12"/>
  <c r="A1575" i="12"/>
  <c r="A1574" i="12"/>
  <c r="S1574" i="12" s="1"/>
  <c r="A1573" i="12"/>
  <c r="S1573" i="12" s="1"/>
  <c r="S1572" i="12"/>
  <c r="A1572" i="12"/>
  <c r="A1571" i="12"/>
  <c r="S1571" i="12" s="1"/>
  <c r="S1570" i="12"/>
  <c r="A1570" i="12"/>
  <c r="S1569" i="12"/>
  <c r="A1569" i="12"/>
  <c r="S1568" i="12"/>
  <c r="A1568" i="12"/>
  <c r="S1567" i="12"/>
  <c r="A1567" i="12"/>
  <c r="A1566" i="12"/>
  <c r="S1566" i="12" s="1"/>
  <c r="A1565" i="12"/>
  <c r="S1565" i="12" s="1"/>
  <c r="A1564" i="12"/>
  <c r="S1564" i="12" s="1"/>
  <c r="S1563" i="12"/>
  <c r="A1563" i="12"/>
  <c r="A1562" i="12"/>
  <c r="S1562" i="12" s="1"/>
  <c r="A1561" i="12"/>
  <c r="S1561" i="12" s="1"/>
  <c r="A1560" i="12"/>
  <c r="S1560" i="12" s="1"/>
  <c r="A1559" i="12"/>
  <c r="S1559" i="12" s="1"/>
  <c r="S1558" i="12"/>
  <c r="A1558" i="12"/>
  <c r="S1557" i="12"/>
  <c r="A1557" i="12"/>
  <c r="A1556" i="12"/>
  <c r="S1556" i="12" s="1"/>
  <c r="A1555" i="12"/>
  <c r="S1555" i="12" s="1"/>
  <c r="S1554" i="12"/>
  <c r="A1554" i="12"/>
  <c r="A1553" i="12"/>
  <c r="S1553" i="12" s="1"/>
  <c r="S1552" i="12"/>
  <c r="A1552" i="12"/>
  <c r="S1551" i="12"/>
  <c r="A1551" i="12"/>
  <c r="S1550" i="12"/>
  <c r="A1550" i="12"/>
  <c r="A1549" i="12"/>
  <c r="S1549" i="12" s="1"/>
  <c r="A1548" i="12"/>
  <c r="S1548" i="12" s="1"/>
  <c r="A1547" i="12"/>
  <c r="S1547" i="12" s="1"/>
  <c r="A1546" i="12"/>
  <c r="S1546" i="12" s="1"/>
  <c r="S1545" i="12"/>
  <c r="A1545" i="12"/>
  <c r="A1544" i="12"/>
  <c r="S1544" i="12" s="1"/>
  <c r="A1543" i="12"/>
  <c r="S1543" i="12" s="1"/>
  <c r="A1542" i="12"/>
  <c r="S1542" i="12" s="1"/>
  <c r="A1541" i="12"/>
  <c r="S1541" i="12" s="1"/>
  <c r="A1540" i="12"/>
  <c r="S1540" i="12" s="1"/>
  <c r="S1539" i="12"/>
  <c r="A1539" i="12"/>
  <c r="S1538" i="12"/>
  <c r="A1538" i="12"/>
  <c r="S1537" i="12"/>
  <c r="A1537" i="12"/>
  <c r="A1536" i="12"/>
  <c r="S1536" i="12" s="1"/>
  <c r="A1535" i="12"/>
  <c r="S1535" i="12" s="1"/>
  <c r="S1534" i="12"/>
  <c r="A1534" i="12"/>
  <c r="S1533" i="12"/>
  <c r="A1533" i="12"/>
  <c r="A1532" i="12"/>
  <c r="S1532" i="12" s="1"/>
  <c r="A1531" i="12"/>
  <c r="S1531" i="12" s="1"/>
  <c r="A1530" i="12"/>
  <c r="S1530" i="12" s="1"/>
  <c r="A1529" i="12"/>
  <c r="S1529" i="12" s="1"/>
  <c r="S1528" i="12"/>
  <c r="A1528" i="12"/>
  <c r="S1527" i="12"/>
  <c r="A1527" i="12"/>
  <c r="S1526" i="12"/>
  <c r="A1526" i="12"/>
  <c r="A1525" i="12"/>
  <c r="S1525" i="12" s="1"/>
  <c r="S1524" i="12"/>
  <c r="A1524" i="12"/>
  <c r="A1523" i="12"/>
  <c r="S1523" i="12" s="1"/>
  <c r="A1522" i="12"/>
  <c r="S1522" i="12" s="1"/>
  <c r="S1521" i="12"/>
  <c r="A1521" i="12"/>
  <c r="S1520" i="12"/>
  <c r="A1520" i="12"/>
  <c r="A1519" i="12"/>
  <c r="S1519" i="12" s="1"/>
  <c r="S1518" i="12"/>
  <c r="A1518" i="12"/>
  <c r="A1517" i="12"/>
  <c r="S1517" i="12" s="1"/>
  <c r="A1516" i="12"/>
  <c r="S1516" i="12" s="1"/>
  <c r="S1515" i="12"/>
  <c r="A1515" i="12"/>
  <c r="A1514" i="12"/>
  <c r="S1514" i="12" s="1"/>
  <c r="S1513" i="12"/>
  <c r="A1513" i="12"/>
  <c r="A1512" i="12"/>
  <c r="S1512" i="12" s="1"/>
  <c r="A1511" i="12"/>
  <c r="S1511" i="12" s="1"/>
  <c r="A1510" i="12"/>
  <c r="S1510" i="12" s="1"/>
  <c r="S1509" i="12"/>
  <c r="A1509" i="12"/>
  <c r="S1508" i="12"/>
  <c r="A1508" i="12"/>
  <c r="A1507" i="12"/>
  <c r="S1507" i="12" s="1"/>
  <c r="A1506" i="12"/>
  <c r="S1506" i="12" s="1"/>
  <c r="A1505" i="12"/>
  <c r="S1505" i="12" s="1"/>
  <c r="S1504" i="12"/>
  <c r="A1504" i="12"/>
  <c r="S1503" i="12"/>
  <c r="A1503" i="12"/>
  <c r="A1502" i="12"/>
  <c r="S1502" i="12" s="1"/>
  <c r="A1501" i="12"/>
  <c r="S1501" i="12" s="1"/>
  <c r="A1500" i="12"/>
  <c r="S1500" i="12" s="1"/>
  <c r="A1499" i="12"/>
  <c r="S1499" i="12" s="1"/>
  <c r="S1498" i="12"/>
  <c r="A1498" i="12"/>
  <c r="S1497" i="12"/>
  <c r="A1497" i="12"/>
  <c r="S1496" i="12"/>
  <c r="A1496" i="12"/>
  <c r="S1495" i="12"/>
  <c r="A1495" i="12"/>
  <c r="S1494" i="12"/>
  <c r="A1494" i="12"/>
  <c r="A1493" i="12"/>
  <c r="S1493" i="12" s="1"/>
  <c r="A1492" i="12"/>
  <c r="S1492" i="12" s="1"/>
  <c r="S1491" i="12"/>
  <c r="A1491" i="12"/>
  <c r="S1490" i="12"/>
  <c r="A1490" i="12"/>
  <c r="S1489" i="12"/>
  <c r="A1489" i="12"/>
  <c r="A1488" i="12"/>
  <c r="S1488" i="12" s="1"/>
  <c r="A1487" i="12"/>
  <c r="S1487" i="12" s="1"/>
  <c r="A1486" i="12"/>
  <c r="S1486" i="12" s="1"/>
  <c r="S1485" i="12"/>
  <c r="A1485" i="12"/>
  <c r="A1484" i="12"/>
  <c r="S1484" i="12" s="1"/>
  <c r="A1483" i="12"/>
  <c r="S1483" i="12" s="1"/>
  <c r="S1482" i="12"/>
  <c r="A1482" i="12"/>
  <c r="A1481" i="12"/>
  <c r="S1481" i="12" s="1"/>
  <c r="A1480" i="12"/>
  <c r="S1480" i="12" s="1"/>
  <c r="S1479" i="12"/>
  <c r="A1479" i="12"/>
  <c r="S1478" i="12"/>
  <c r="A1478" i="12"/>
  <c r="A1477" i="12"/>
  <c r="S1477" i="12" s="1"/>
  <c r="S1476" i="12"/>
  <c r="A1476" i="12"/>
  <c r="A1475" i="12"/>
  <c r="S1475" i="12" s="1"/>
  <c r="A1474" i="12"/>
  <c r="S1474" i="12" s="1"/>
  <c r="S1473" i="12"/>
  <c r="A1473" i="12"/>
  <c r="A1472" i="12"/>
  <c r="S1472" i="12" s="1"/>
  <c r="A1471" i="12"/>
  <c r="S1471" i="12" s="1"/>
  <c r="A1470" i="12"/>
  <c r="S1470" i="12" s="1"/>
  <c r="A1469" i="12"/>
  <c r="S1469" i="12" s="1"/>
  <c r="A1468" i="12"/>
  <c r="S1468" i="12" s="1"/>
  <c r="S1467" i="12"/>
  <c r="A1467" i="12"/>
  <c r="A1466" i="12"/>
  <c r="S1466" i="12" s="1"/>
  <c r="S1465" i="12"/>
  <c r="A1465" i="12"/>
  <c r="S1464" i="12"/>
  <c r="A1464" i="12"/>
  <c r="A1463" i="12"/>
  <c r="S1463" i="12" s="1"/>
  <c r="S1462" i="12"/>
  <c r="A1462" i="12"/>
  <c r="S1461" i="12"/>
  <c r="A1461" i="12"/>
  <c r="A1460" i="12"/>
  <c r="S1460" i="12" s="1"/>
  <c r="S1459" i="12"/>
  <c r="A1459" i="12"/>
  <c r="A1458" i="12"/>
  <c r="S1458" i="12" s="1"/>
  <c r="A1457" i="12"/>
  <c r="S1457" i="12" s="1"/>
  <c r="S1456" i="12"/>
  <c r="A1456" i="12"/>
  <c r="S1455" i="12"/>
  <c r="A1455" i="12"/>
  <c r="S1454" i="12"/>
  <c r="A1454" i="12"/>
  <c r="A1453" i="12"/>
  <c r="S1453" i="12" s="1"/>
  <c r="S1452" i="12"/>
  <c r="A1452" i="12"/>
  <c r="A1451" i="12"/>
  <c r="S1451" i="12" s="1"/>
  <c r="A1450" i="12"/>
  <c r="S1450" i="12" s="1"/>
  <c r="S1449" i="12"/>
  <c r="A1449" i="12"/>
  <c r="S1448" i="12"/>
  <c r="A1448" i="12"/>
  <c r="S1447" i="12"/>
  <c r="A1447" i="12"/>
  <c r="A1446" i="12"/>
  <c r="S1446" i="12" s="1"/>
  <c r="A1445" i="12"/>
  <c r="S1445" i="12" s="1"/>
  <c r="A1444" i="12"/>
  <c r="S1444" i="12" s="1"/>
  <c r="S1443" i="12"/>
  <c r="A1443" i="12"/>
  <c r="A1442" i="12"/>
  <c r="S1442" i="12" s="1"/>
  <c r="S1441" i="12"/>
  <c r="A1441" i="12"/>
  <c r="S1440" i="12"/>
  <c r="A1440" i="12"/>
  <c r="A1439" i="12"/>
  <c r="S1439" i="12" s="1"/>
  <c r="A1438" i="12"/>
  <c r="S1438" i="12" s="1"/>
  <c r="S1437" i="12"/>
  <c r="A1437" i="12"/>
  <c r="S1436" i="12"/>
  <c r="A1436" i="12"/>
  <c r="A1435" i="12"/>
  <c r="S1435" i="12" s="1"/>
  <c r="S1434" i="12"/>
  <c r="A1434" i="12"/>
  <c r="A1433" i="12"/>
  <c r="S1433" i="12" s="1"/>
  <c r="S1432" i="12"/>
  <c r="A1432" i="12"/>
  <c r="S1431" i="12"/>
  <c r="A1431" i="12"/>
  <c r="A1430" i="12"/>
  <c r="S1430" i="12" s="1"/>
  <c r="A1429" i="12"/>
  <c r="S1429" i="12" s="1"/>
  <c r="A1428" i="12"/>
  <c r="S1428" i="12" s="1"/>
  <c r="A1427" i="12"/>
  <c r="S1427" i="12" s="1"/>
  <c r="S1426" i="12"/>
  <c r="A1426" i="12"/>
  <c r="S1425" i="12"/>
  <c r="A1425" i="12"/>
  <c r="S1424" i="12"/>
  <c r="A1424" i="12"/>
  <c r="S1423" i="12"/>
  <c r="A1423" i="12"/>
  <c r="S1422" i="12"/>
  <c r="A1422" i="12"/>
  <c r="A1421" i="12"/>
  <c r="S1421" i="12" s="1"/>
  <c r="S1420" i="12"/>
  <c r="A1420" i="12"/>
  <c r="S1419" i="12"/>
  <c r="A1419" i="12"/>
  <c r="A1418" i="12"/>
  <c r="S1418" i="12" s="1"/>
  <c r="A1417" i="12"/>
  <c r="S1417" i="12" s="1"/>
  <c r="A1416" i="12"/>
  <c r="S1416" i="12" s="1"/>
  <c r="A1415" i="12"/>
  <c r="S1415" i="12" s="1"/>
  <c r="A1414" i="12"/>
  <c r="S1414" i="12" s="1"/>
  <c r="S1413" i="12"/>
  <c r="A1413" i="12"/>
  <c r="A1412" i="12"/>
  <c r="S1412" i="12" s="1"/>
  <c r="A1411" i="12"/>
  <c r="S1411" i="12" s="1"/>
  <c r="S1410" i="12"/>
  <c r="A1410" i="12"/>
  <c r="A1409" i="12"/>
  <c r="S1409" i="12" s="1"/>
  <c r="A1408" i="12"/>
  <c r="S1408" i="12" s="1"/>
  <c r="S1407" i="12"/>
  <c r="A1407" i="12"/>
  <c r="S1406" i="12"/>
  <c r="A1406" i="12"/>
  <c r="S1405" i="12"/>
  <c r="A1405" i="12"/>
  <c r="A1404" i="12"/>
  <c r="S1404" i="12" s="1"/>
  <c r="A1403" i="12"/>
  <c r="S1403" i="12" s="1"/>
  <c r="A1402" i="12"/>
  <c r="S1402" i="12" s="1"/>
  <c r="S1401" i="12"/>
  <c r="A1401" i="12"/>
  <c r="A1400" i="12"/>
  <c r="S1400" i="12" s="1"/>
  <c r="A1399" i="12"/>
  <c r="S1399" i="12" s="1"/>
  <c r="S1398" i="12"/>
  <c r="A1398" i="12"/>
  <c r="A1397" i="12"/>
  <c r="S1397" i="12" s="1"/>
  <c r="A1396" i="12"/>
  <c r="S1396" i="12" s="1"/>
  <c r="S1395" i="12"/>
  <c r="A1395" i="12"/>
  <c r="A1394" i="12"/>
  <c r="S1394" i="12" s="1"/>
  <c r="S1393" i="12"/>
  <c r="A1393" i="12"/>
  <c r="S1392" i="12"/>
  <c r="A1392" i="12"/>
  <c r="A1391" i="12"/>
  <c r="S1391" i="12" s="1"/>
  <c r="S1390" i="12"/>
  <c r="A1390" i="12"/>
  <c r="S1389" i="12"/>
  <c r="A1389" i="12"/>
  <c r="A1388" i="12"/>
  <c r="S1388" i="12" s="1"/>
  <c r="S1387" i="12"/>
  <c r="A1387" i="12"/>
  <c r="A1386" i="12"/>
  <c r="S1386" i="12" s="1"/>
  <c r="A1385" i="12"/>
  <c r="S1385" i="12" s="1"/>
  <c r="S1384" i="12"/>
  <c r="A1384" i="12"/>
  <c r="S1383" i="12"/>
  <c r="A1383" i="12"/>
  <c r="S1382" i="12"/>
  <c r="A1382" i="12"/>
  <c r="A1381" i="12"/>
  <c r="S1381" i="12" s="1"/>
  <c r="S1380" i="12"/>
  <c r="A1380" i="12"/>
  <c r="A1379" i="12"/>
  <c r="S1379" i="12" s="1"/>
  <c r="S1378" i="12"/>
  <c r="A1378" i="12"/>
  <c r="S1377" i="12"/>
  <c r="A1377" i="12"/>
  <c r="A1376" i="12"/>
  <c r="S1376" i="12" s="1"/>
  <c r="A1375" i="12"/>
  <c r="S1375" i="12" s="1"/>
  <c r="S1374" i="12"/>
  <c r="A1374" i="12"/>
  <c r="A1373" i="12"/>
  <c r="S1373" i="12" s="1"/>
  <c r="A1372" i="12"/>
  <c r="S1372" i="12" s="1"/>
  <c r="S1371" i="12"/>
  <c r="A1371" i="12"/>
  <c r="A1370" i="12"/>
  <c r="S1370" i="12" s="1"/>
  <c r="A1369" i="12"/>
  <c r="S1369" i="12" s="1"/>
  <c r="A1368" i="12"/>
  <c r="S1368" i="12" s="1"/>
  <c r="A1367" i="12"/>
  <c r="S1367" i="12" s="1"/>
  <c r="A1366" i="12"/>
  <c r="S1366" i="12" s="1"/>
  <c r="S1365" i="12"/>
  <c r="A1365" i="12"/>
  <c r="S1364" i="12"/>
  <c r="A1364" i="12"/>
  <c r="S1363" i="12"/>
  <c r="A1363" i="12"/>
  <c r="A1362" i="12"/>
  <c r="S1362" i="12" s="1"/>
  <c r="A1361" i="12"/>
  <c r="S1361" i="12" s="1"/>
  <c r="S1360" i="12"/>
  <c r="A1360" i="12"/>
  <c r="S1359" i="12"/>
  <c r="A1359" i="12"/>
  <c r="A1358" i="12"/>
  <c r="S1358" i="12" s="1"/>
  <c r="A1357" i="12"/>
  <c r="S1357" i="12" s="1"/>
  <c r="S1356" i="12"/>
  <c r="A1356" i="12"/>
  <c r="A1355" i="12"/>
  <c r="S1355" i="12" s="1"/>
  <c r="S1354" i="12"/>
  <c r="A1354" i="12"/>
  <c r="S1353" i="12"/>
  <c r="A1353" i="12"/>
  <c r="S1352" i="12"/>
  <c r="A1352" i="12"/>
  <c r="S1351" i="12"/>
  <c r="A1351" i="12"/>
  <c r="S1350" i="12"/>
  <c r="A1350" i="12"/>
  <c r="A1349" i="12"/>
  <c r="S1349" i="12" s="1"/>
  <c r="A1348" i="12"/>
  <c r="S1348" i="12" s="1"/>
  <c r="S1347" i="12"/>
  <c r="A1347" i="12"/>
  <c r="S1346" i="12"/>
  <c r="A1346" i="12"/>
  <c r="A1345" i="12"/>
  <c r="S1345" i="12" s="1"/>
  <c r="A1344" i="12"/>
  <c r="S1344" i="12" s="1"/>
  <c r="A1343" i="12"/>
  <c r="S1343" i="12" s="1"/>
  <c r="S1342" i="12"/>
  <c r="A1342" i="12"/>
  <c r="S1341" i="12"/>
  <c r="A1341" i="12"/>
  <c r="A1340" i="12"/>
  <c r="S1340" i="12" s="1"/>
  <c r="A1339" i="12"/>
  <c r="S1339" i="12" s="1"/>
  <c r="S1338" i="12"/>
  <c r="A1338" i="12"/>
  <c r="A1337" i="12"/>
  <c r="S1337" i="12" s="1"/>
  <c r="S1336" i="12"/>
  <c r="A1336" i="12"/>
  <c r="S1335" i="12"/>
  <c r="A1335" i="12"/>
  <c r="S1334" i="12"/>
  <c r="A1334" i="12"/>
  <c r="A1333" i="12"/>
  <c r="S1333" i="12" s="1"/>
  <c r="S1332" i="12"/>
  <c r="A1332" i="12"/>
  <c r="A1331" i="12"/>
  <c r="S1331" i="12" s="1"/>
  <c r="A1330" i="12"/>
  <c r="S1330" i="12" s="1"/>
  <c r="S1329" i="12"/>
  <c r="A1329" i="12"/>
  <c r="A1328" i="12"/>
  <c r="S1328" i="12" s="1"/>
  <c r="A1327" i="12"/>
  <c r="S1327" i="12" s="1"/>
  <c r="A1326" i="12"/>
  <c r="S1326" i="12" s="1"/>
  <c r="A1325" i="12"/>
  <c r="S1325" i="12" s="1"/>
  <c r="A1324" i="12"/>
  <c r="S1324" i="12" s="1"/>
  <c r="S1323" i="12"/>
  <c r="A1323" i="12"/>
  <c r="S1322" i="12"/>
  <c r="A1322" i="12"/>
  <c r="S1321" i="12"/>
  <c r="A1321" i="12"/>
  <c r="A1320" i="12"/>
  <c r="S1320" i="12" s="1"/>
  <c r="A1319" i="12"/>
  <c r="S1319" i="12" s="1"/>
  <c r="S1318" i="12"/>
  <c r="A1318" i="12"/>
  <c r="S1317" i="12"/>
  <c r="A1317" i="12"/>
  <c r="A1316" i="12"/>
  <c r="S1316" i="12" s="1"/>
  <c r="S1315" i="12"/>
  <c r="A1315" i="12"/>
  <c r="A1314" i="12"/>
  <c r="S1314" i="12" s="1"/>
  <c r="A1313" i="12"/>
  <c r="S1313" i="12" s="1"/>
  <c r="S1312" i="12"/>
  <c r="A1312" i="12"/>
  <c r="S1311" i="12"/>
  <c r="A1311" i="12"/>
  <c r="S1310" i="12"/>
  <c r="A1310" i="12"/>
  <c r="A1309" i="12"/>
  <c r="S1309" i="12" s="1"/>
  <c r="S1308" i="12"/>
  <c r="A1308" i="12"/>
  <c r="A1307" i="12"/>
  <c r="S1307" i="12" s="1"/>
  <c r="A1306" i="12"/>
  <c r="S1306" i="12" s="1"/>
  <c r="S1305" i="12"/>
  <c r="A1305" i="12"/>
  <c r="S1304" i="12"/>
  <c r="A1304" i="12"/>
  <c r="A1303" i="12"/>
  <c r="S1303" i="12" s="1"/>
  <c r="S1302" i="12"/>
  <c r="A1302" i="12"/>
  <c r="A1301" i="12"/>
  <c r="S1301" i="12" s="1"/>
  <c r="S1300" i="12"/>
  <c r="A1300" i="12"/>
  <c r="S1299" i="12"/>
  <c r="A1299" i="12"/>
  <c r="A1298" i="12"/>
  <c r="S1298" i="12" s="1"/>
  <c r="A1297" i="12"/>
  <c r="S1297" i="12" s="1"/>
  <c r="A1296" i="12"/>
  <c r="S1296" i="12" s="1"/>
  <c r="A1295" i="12"/>
  <c r="S1295" i="12" s="1"/>
  <c r="A1294" i="12"/>
  <c r="S1294" i="12" s="1"/>
  <c r="S1293" i="12"/>
  <c r="A1293" i="12"/>
  <c r="S1292" i="12"/>
  <c r="A1292" i="12"/>
  <c r="A1291" i="12"/>
  <c r="S1291" i="12" s="1"/>
  <c r="A1290" i="12"/>
  <c r="S1290" i="12" s="1"/>
  <c r="A1289" i="12"/>
  <c r="S1289" i="12" s="1"/>
  <c r="S1288" i="12"/>
  <c r="A1288" i="12"/>
  <c r="S1287" i="12"/>
  <c r="A1287" i="12"/>
  <c r="S1286" i="12"/>
  <c r="A1286" i="12"/>
  <c r="A1285" i="12"/>
  <c r="S1285" i="12" s="1"/>
  <c r="A1284" i="12"/>
  <c r="S1284" i="12" s="1"/>
  <c r="A1283" i="12"/>
  <c r="S1283" i="12" s="1"/>
  <c r="S1282" i="12"/>
  <c r="A1282" i="12"/>
  <c r="S1281" i="12"/>
  <c r="A1281" i="12"/>
  <c r="S1280" i="12"/>
  <c r="A1280" i="12"/>
  <c r="S1279" i="12"/>
  <c r="A1279" i="12"/>
  <c r="S1278" i="12"/>
  <c r="A1278" i="12"/>
  <c r="A1277" i="12"/>
  <c r="S1277" i="12" s="1"/>
  <c r="A1276" i="12"/>
  <c r="S1276" i="12" s="1"/>
  <c r="S1275" i="12"/>
  <c r="A1275" i="12"/>
  <c r="S1274" i="12"/>
  <c r="A1274" i="12"/>
  <c r="A1273" i="12"/>
  <c r="S1273" i="12" s="1"/>
  <c r="A1272" i="12"/>
  <c r="S1272" i="12" s="1"/>
  <c r="A1271" i="12"/>
  <c r="S1271" i="12" s="1"/>
  <c r="A1270" i="12"/>
  <c r="S1270" i="12" s="1"/>
  <c r="S1269" i="12"/>
  <c r="A1269" i="12"/>
  <c r="A1268" i="12"/>
  <c r="S1268" i="12" s="1"/>
  <c r="A1267" i="12"/>
  <c r="S1267" i="12" s="1"/>
  <c r="S1266" i="12"/>
  <c r="A1266" i="12"/>
  <c r="A1265" i="12"/>
  <c r="S1265" i="12" s="1"/>
  <c r="A1264" i="12"/>
  <c r="S1264" i="12" s="1"/>
  <c r="S1263" i="12"/>
  <c r="A1263" i="12"/>
  <c r="S1262" i="12"/>
  <c r="A1262" i="12"/>
  <c r="A1261" i="12"/>
  <c r="S1261" i="12" s="1"/>
  <c r="S1260" i="12"/>
  <c r="A1260" i="12"/>
  <c r="A1259" i="12"/>
  <c r="S1259" i="12" s="1"/>
  <c r="S1258" i="12"/>
  <c r="A1258" i="12"/>
  <c r="S1257" i="12"/>
  <c r="A1257" i="12"/>
  <c r="A1256" i="12"/>
  <c r="S1256" i="12" s="1"/>
  <c r="A1255" i="12"/>
  <c r="S1255" i="12" s="1"/>
  <c r="A1254" i="12"/>
  <c r="S1254" i="12" s="1"/>
  <c r="A1253" i="12"/>
  <c r="S1253" i="12" s="1"/>
  <c r="A1252" i="12"/>
  <c r="S1252" i="12" s="1"/>
  <c r="S1251" i="12"/>
  <c r="A1251" i="12"/>
  <c r="A1250" i="12"/>
  <c r="S1250" i="12" s="1"/>
  <c r="S1249" i="12"/>
  <c r="A1249" i="12"/>
  <c r="S1248" i="12"/>
  <c r="A1248" i="12"/>
  <c r="A1247" i="12"/>
  <c r="S1247" i="12" s="1"/>
  <c r="A1246" i="12"/>
  <c r="S1246" i="12" s="1"/>
  <c r="S1245" i="12"/>
  <c r="A1245" i="12"/>
  <c r="S1244" i="12"/>
  <c r="A1244" i="12"/>
  <c r="S1243" i="12"/>
  <c r="A1243" i="12"/>
  <c r="A1242" i="12"/>
  <c r="S1242" i="12" s="1"/>
  <c r="S1241" i="12"/>
  <c r="A1241" i="12"/>
  <c r="A1240" i="12"/>
  <c r="S1240" i="12" s="1"/>
  <c r="S1239" i="12"/>
  <c r="A1239" i="12"/>
  <c r="A1238" i="12"/>
  <c r="S1238" i="12" s="1"/>
  <c r="S1237" i="12"/>
  <c r="A1237" i="12"/>
  <c r="A1236" i="12"/>
  <c r="S1236" i="12" s="1"/>
  <c r="A1235" i="12"/>
  <c r="S1235" i="12" s="1"/>
  <c r="A1234" i="12"/>
  <c r="S1234" i="12" s="1"/>
  <c r="S1233" i="12"/>
  <c r="A1233" i="12"/>
  <c r="S1232" i="12"/>
  <c r="A1232" i="12"/>
  <c r="S1231" i="12"/>
  <c r="A1231" i="12"/>
  <c r="S1230" i="12"/>
  <c r="A1230" i="12"/>
  <c r="A1229" i="12"/>
  <c r="S1229" i="12" s="1"/>
  <c r="A1228" i="12"/>
  <c r="S1228" i="12" s="1"/>
  <c r="S1227" i="12"/>
  <c r="A1227" i="12"/>
  <c r="S1226" i="12"/>
  <c r="A1226" i="12"/>
  <c r="S1225" i="12"/>
  <c r="A1225" i="12"/>
  <c r="A1224" i="12"/>
  <c r="S1224" i="12" s="1"/>
  <c r="A1223" i="12"/>
  <c r="S1223" i="12" s="1"/>
  <c r="A1222" i="12"/>
  <c r="S1222" i="12" s="1"/>
  <c r="S1221" i="12"/>
  <c r="A1221" i="12"/>
  <c r="A1220" i="12"/>
  <c r="S1220" i="12" s="1"/>
  <c r="S1219" i="12"/>
  <c r="A1219" i="12"/>
  <c r="S1218" i="12"/>
  <c r="A1218" i="12"/>
  <c r="S1217" i="12"/>
  <c r="A1217" i="12"/>
  <c r="A1216" i="12"/>
  <c r="S1216" i="12" s="1"/>
  <c r="S1215" i="12"/>
  <c r="A1215" i="12"/>
  <c r="A1214" i="12"/>
  <c r="S1214" i="12" s="1"/>
  <c r="S1213" i="12"/>
  <c r="A1213" i="12"/>
  <c r="A1212" i="12"/>
  <c r="S1212" i="12" s="1"/>
  <c r="A1211" i="12"/>
  <c r="S1211" i="12" s="1"/>
  <c r="A1210" i="12"/>
  <c r="S1210" i="12" s="1"/>
  <c r="S1209" i="12"/>
  <c r="A1209" i="12"/>
  <c r="S1208" i="12"/>
  <c r="A1208" i="12"/>
  <c r="S1207" i="12"/>
  <c r="A1207" i="12"/>
  <c r="S1206" i="12"/>
  <c r="A1206" i="12"/>
  <c r="S1205" i="12"/>
  <c r="A1205" i="12"/>
  <c r="A1204" i="12"/>
  <c r="S1204" i="12" s="1"/>
  <c r="S1203" i="12"/>
  <c r="A1203" i="12"/>
  <c r="A1202" i="12"/>
  <c r="S1202" i="12" s="1"/>
  <c r="S1201" i="12"/>
  <c r="A1201" i="12"/>
  <c r="S1200" i="12"/>
  <c r="A1200" i="12"/>
  <c r="A1199" i="12"/>
  <c r="S1199" i="12" s="1"/>
  <c r="A1198" i="12"/>
  <c r="S1198" i="12" s="1"/>
  <c r="S1197" i="12"/>
  <c r="A1197" i="12"/>
  <c r="A1196" i="12"/>
  <c r="S1196" i="12" s="1"/>
  <c r="S1195" i="12"/>
  <c r="A1195" i="12"/>
  <c r="A1194" i="12"/>
  <c r="S1194" i="12" s="1"/>
  <c r="S1193" i="12"/>
  <c r="A1193" i="12"/>
  <c r="A1192" i="12"/>
  <c r="S1192" i="12" s="1"/>
  <c r="S1191" i="12"/>
  <c r="A1191" i="12"/>
  <c r="A1190" i="12"/>
  <c r="S1190" i="12" s="1"/>
  <c r="S1189" i="12"/>
  <c r="A1189" i="12"/>
  <c r="A1188" i="12"/>
  <c r="S1188" i="12" s="1"/>
  <c r="S1187" i="12"/>
  <c r="A1187" i="12"/>
  <c r="A1186" i="12"/>
  <c r="S1186" i="12" s="1"/>
  <c r="S1185" i="12"/>
  <c r="A1185" i="12"/>
  <c r="S1184" i="12"/>
  <c r="A1184" i="12"/>
  <c r="S1183" i="12"/>
  <c r="A1183" i="12"/>
  <c r="S1182" i="12"/>
  <c r="A1182" i="12"/>
  <c r="A1181" i="12"/>
  <c r="S1181" i="12" s="1"/>
  <c r="A1180" i="12"/>
  <c r="S1180" i="12" s="1"/>
  <c r="S1179" i="12"/>
  <c r="A1179" i="12"/>
  <c r="A1178" i="12"/>
  <c r="S1178" i="12" s="1"/>
  <c r="S1177" i="12"/>
  <c r="A1177" i="12"/>
  <c r="A1176" i="12"/>
  <c r="S1176" i="12" s="1"/>
  <c r="A1175" i="12"/>
  <c r="S1175" i="12" s="1"/>
  <c r="A1174" i="12"/>
  <c r="S1174" i="12" s="1"/>
  <c r="S1173" i="12"/>
  <c r="A1173" i="12"/>
  <c r="S1172" i="12"/>
  <c r="A1172" i="12"/>
  <c r="S1171" i="12"/>
  <c r="A1171" i="12"/>
  <c r="S1170" i="12"/>
  <c r="A1170" i="12"/>
  <c r="S1169" i="12"/>
  <c r="A1169" i="12"/>
  <c r="A1168" i="12"/>
  <c r="S1168" i="12" s="1"/>
  <c r="S1167" i="12"/>
  <c r="A1167" i="12"/>
  <c r="A1166" i="12"/>
  <c r="S1166" i="12" s="1"/>
  <c r="S1165" i="12"/>
  <c r="A1165" i="12"/>
  <c r="A1164" i="12"/>
  <c r="S1164" i="12" s="1"/>
  <c r="A1163" i="12"/>
  <c r="S1163" i="12" s="1"/>
  <c r="A1162" i="12"/>
  <c r="S1162" i="12" s="1"/>
  <c r="S1161" i="12"/>
  <c r="A1161" i="12"/>
  <c r="S1160" i="12"/>
  <c r="A1160" i="12"/>
  <c r="S1159" i="12"/>
  <c r="A1159" i="12"/>
  <c r="S1158" i="12"/>
  <c r="A1158" i="12"/>
  <c r="A1157" i="12"/>
  <c r="S1157" i="12" s="1"/>
  <c r="A1156" i="12"/>
  <c r="S1156" i="12" s="1"/>
  <c r="S1155" i="12"/>
  <c r="A1155" i="12"/>
  <c r="S1154" i="12"/>
  <c r="A1154" i="12"/>
  <c r="S1153" i="12"/>
  <c r="A1153" i="12"/>
  <c r="A1152" i="12"/>
  <c r="S1152" i="12" s="1"/>
  <c r="A1151" i="12"/>
  <c r="S1151" i="12" s="1"/>
  <c r="A1150" i="12"/>
  <c r="S1150" i="12" s="1"/>
  <c r="S1149" i="12"/>
  <c r="A1149" i="12"/>
  <c r="A1148" i="12"/>
  <c r="S1148" i="12" s="1"/>
  <c r="S1147" i="12"/>
  <c r="A1147" i="12"/>
  <c r="S1146" i="12"/>
  <c r="A1146" i="12"/>
  <c r="S1145" i="12"/>
  <c r="A1145" i="12"/>
  <c r="A1144" i="12"/>
  <c r="S1144" i="12" s="1"/>
  <c r="S1143" i="12"/>
  <c r="A1143" i="12"/>
  <c r="A1142" i="12"/>
  <c r="S1142" i="12" s="1"/>
  <c r="S1141" i="12"/>
  <c r="A1141" i="12"/>
  <c r="A1140" i="12"/>
  <c r="S1140" i="12" s="1"/>
  <c r="A1139" i="12"/>
  <c r="S1139" i="12" s="1"/>
  <c r="A1138" i="12"/>
  <c r="S1138" i="12" s="1"/>
  <c r="S1137" i="12"/>
  <c r="A1137" i="12"/>
  <c r="S1136" i="12"/>
  <c r="A1136" i="12"/>
  <c r="S1135" i="12"/>
  <c r="A1135" i="12"/>
  <c r="S1134" i="12"/>
  <c r="A1134" i="12"/>
  <c r="S1133" i="12"/>
  <c r="A1133" i="12"/>
  <c r="A1132" i="12"/>
  <c r="S1132" i="12" s="1"/>
  <c r="S1131" i="12"/>
  <c r="A1131" i="12"/>
  <c r="A1130" i="12"/>
  <c r="S1130" i="12" s="1"/>
  <c r="S1129" i="12"/>
  <c r="A1129" i="12"/>
  <c r="A1128" i="12"/>
  <c r="S1128" i="12" s="1"/>
  <c r="A1127" i="12"/>
  <c r="S1127" i="12" s="1"/>
  <c r="A1126" i="12"/>
  <c r="S1126" i="12" s="1"/>
  <c r="S1125" i="12"/>
  <c r="A1125" i="12"/>
  <c r="S1124" i="12"/>
  <c r="A1124" i="12"/>
  <c r="S1123" i="12"/>
  <c r="A1123" i="12"/>
  <c r="A1122" i="12"/>
  <c r="S1122" i="12" s="1"/>
  <c r="S1121" i="12"/>
  <c r="A1121" i="12"/>
  <c r="A1120" i="12"/>
  <c r="S1120" i="12" s="1"/>
  <c r="S1119" i="12"/>
  <c r="A1119" i="12"/>
  <c r="A1118" i="12"/>
  <c r="S1118" i="12" s="1"/>
  <c r="S1117" i="12"/>
  <c r="A1117" i="12"/>
  <c r="A1116" i="12"/>
  <c r="S1116" i="12" s="1"/>
  <c r="A1115" i="12"/>
  <c r="S1115" i="12" s="1"/>
  <c r="A1114" i="12"/>
  <c r="S1114" i="12" s="1"/>
  <c r="S1113" i="12"/>
  <c r="A1113" i="12"/>
  <c r="S1112" i="12"/>
  <c r="A1112" i="12"/>
  <c r="S1111" i="12"/>
  <c r="A1111" i="12"/>
  <c r="S1110" i="12"/>
  <c r="A1110" i="12"/>
  <c r="A1109" i="12"/>
  <c r="S1109" i="12" s="1"/>
  <c r="A1108" i="12"/>
  <c r="S1108" i="12" s="1"/>
  <c r="S1107" i="12"/>
  <c r="A1107" i="12"/>
  <c r="S1106" i="12"/>
  <c r="A1106" i="12"/>
  <c r="S1105" i="12"/>
  <c r="A1105" i="12"/>
  <c r="S1104" i="12"/>
  <c r="A1104" i="12"/>
  <c r="A1103" i="12"/>
  <c r="S1103" i="12" s="1"/>
  <c r="A1102" i="12"/>
  <c r="S1102" i="12" s="1"/>
  <c r="S1101" i="12"/>
  <c r="A1101" i="12"/>
  <c r="A1100" i="12"/>
  <c r="S1100" i="12" s="1"/>
  <c r="S1099" i="12"/>
  <c r="A1099" i="12"/>
  <c r="S1098" i="12"/>
  <c r="A1098" i="12"/>
  <c r="S1097" i="12"/>
  <c r="A1097" i="12"/>
  <c r="A1096" i="12"/>
  <c r="S1096" i="12" s="1"/>
  <c r="S1095" i="12"/>
  <c r="A1095" i="12"/>
  <c r="A1094" i="12"/>
  <c r="S1094" i="12" s="1"/>
  <c r="S1093" i="12"/>
  <c r="A1093" i="12"/>
  <c r="A1092" i="12"/>
  <c r="S1092" i="12" s="1"/>
  <c r="A1091" i="12"/>
  <c r="S1091" i="12" s="1"/>
  <c r="A1090" i="12"/>
  <c r="S1090" i="12" s="1"/>
  <c r="S1089" i="12"/>
  <c r="A1089" i="12"/>
  <c r="S1088" i="12"/>
  <c r="A1088" i="12"/>
  <c r="S1087" i="12"/>
  <c r="A1087" i="12"/>
  <c r="S1086" i="12"/>
  <c r="A1086" i="12"/>
  <c r="S1085" i="12"/>
  <c r="A1085" i="12"/>
  <c r="A1084" i="12"/>
  <c r="S1084" i="12" s="1"/>
  <c r="S1083" i="12"/>
  <c r="A1083" i="12"/>
  <c r="S1082" i="12"/>
  <c r="A1082" i="12"/>
  <c r="S1081" i="12"/>
  <c r="A1081" i="12"/>
  <c r="A1080" i="12"/>
  <c r="S1080" i="12" s="1"/>
  <c r="A1079" i="12"/>
  <c r="S1079" i="12" s="1"/>
  <c r="A1078" i="12"/>
  <c r="S1078" i="12" s="1"/>
  <c r="S1077" i="12"/>
  <c r="A1077" i="12"/>
  <c r="A1076" i="12"/>
  <c r="S1076" i="12" s="1"/>
  <c r="S1075" i="12"/>
  <c r="A1075" i="12"/>
  <c r="A1074" i="12"/>
  <c r="S1074" i="12" s="1"/>
  <c r="S1073" i="12"/>
  <c r="A1073" i="12"/>
  <c r="A1072" i="12"/>
  <c r="S1072" i="12" s="1"/>
  <c r="S1071" i="12"/>
  <c r="A1071" i="12"/>
  <c r="A1070" i="12"/>
  <c r="S1070" i="12" s="1"/>
  <c r="S1069" i="12"/>
  <c r="A1069" i="12"/>
  <c r="A1068" i="12"/>
  <c r="S1068" i="12" s="1"/>
  <c r="S1067" i="12"/>
  <c r="A1067" i="12"/>
  <c r="A1066" i="12"/>
  <c r="S1066" i="12" s="1"/>
  <c r="S1065" i="12"/>
  <c r="A1065" i="12"/>
  <c r="S1064" i="12"/>
  <c r="A1064" i="12"/>
  <c r="S1063" i="12"/>
  <c r="A1063" i="12"/>
  <c r="S1062" i="12"/>
  <c r="A1062" i="12"/>
  <c r="S1061" i="12"/>
  <c r="A1061" i="12"/>
  <c r="A1060" i="12"/>
  <c r="S1060" i="12" s="1"/>
  <c r="S1059" i="12"/>
  <c r="A1059" i="12"/>
  <c r="A1058" i="12"/>
  <c r="S1058" i="12" s="1"/>
  <c r="S1057" i="12"/>
  <c r="A1057" i="12"/>
  <c r="A1056" i="12"/>
  <c r="S1056" i="12" s="1"/>
  <c r="A1055" i="12"/>
  <c r="S1055" i="12" s="1"/>
  <c r="A1054" i="12"/>
  <c r="S1054" i="12" s="1"/>
  <c r="S1053" i="12"/>
  <c r="A1053" i="12"/>
  <c r="A1052" i="12"/>
  <c r="S1052" i="12" s="1"/>
  <c r="S1051" i="12"/>
  <c r="A1051" i="12"/>
  <c r="A1050" i="12"/>
  <c r="S1050" i="12" s="1"/>
  <c r="S1049" i="12"/>
  <c r="A1049" i="12"/>
  <c r="A1048" i="12"/>
  <c r="S1048" i="12" s="1"/>
  <c r="S1047" i="12"/>
  <c r="A1047" i="12"/>
  <c r="A1046" i="12"/>
  <c r="S1046" i="12" s="1"/>
  <c r="S1045" i="12"/>
  <c r="A1045" i="12"/>
  <c r="A1044" i="12"/>
  <c r="S1044" i="12" s="1"/>
  <c r="A1043" i="12"/>
  <c r="S1043" i="12" s="1"/>
  <c r="A1042" i="12"/>
  <c r="S1042" i="12" s="1"/>
  <c r="S1041" i="12"/>
  <c r="A1041" i="12"/>
  <c r="S1040" i="12"/>
  <c r="A1040" i="12"/>
  <c r="S1039" i="12"/>
  <c r="A1039" i="12"/>
  <c r="S1038" i="12"/>
  <c r="A1038" i="12"/>
  <c r="A1037" i="12"/>
  <c r="S1037" i="12" s="1"/>
  <c r="A1036" i="12"/>
  <c r="S1036" i="12" s="1"/>
  <c r="S1035" i="12"/>
  <c r="A1035" i="12"/>
  <c r="S1034" i="12"/>
  <c r="A1034" i="12"/>
  <c r="S1033" i="12"/>
  <c r="A1033" i="12"/>
  <c r="S1032" i="12"/>
  <c r="A1032" i="12"/>
  <c r="A1031" i="12"/>
  <c r="S1031" i="12" s="1"/>
  <c r="A1030" i="12"/>
  <c r="S1030" i="12" s="1"/>
  <c r="S1029" i="12"/>
  <c r="A1029" i="12"/>
  <c r="A1028" i="12"/>
  <c r="S1028" i="12" s="1"/>
  <c r="S1027" i="12"/>
  <c r="A1027" i="12"/>
  <c r="S1026" i="12"/>
  <c r="A1026" i="12"/>
  <c r="S1025" i="12"/>
  <c r="A1025" i="12"/>
  <c r="A1024" i="12"/>
  <c r="S1024" i="12" s="1"/>
  <c r="S1023" i="12"/>
  <c r="A1023" i="12"/>
  <c r="A1022" i="12"/>
  <c r="S1022" i="12" s="1"/>
  <c r="S1021" i="12"/>
  <c r="A1021" i="12"/>
  <c r="A1020" i="12"/>
  <c r="S1020" i="12" s="1"/>
  <c r="A1019" i="12"/>
  <c r="S1019" i="12" s="1"/>
  <c r="A1018" i="12"/>
  <c r="S1018" i="12" s="1"/>
  <c r="S1017" i="12"/>
  <c r="A1017" i="12"/>
  <c r="S1016" i="12"/>
  <c r="A1016" i="12"/>
  <c r="S1015" i="12"/>
  <c r="A1015" i="12"/>
  <c r="S1014" i="12"/>
  <c r="A1014" i="12"/>
  <c r="S1013" i="12"/>
  <c r="A1013" i="12"/>
  <c r="A1012" i="12"/>
  <c r="S1012" i="12" s="1"/>
  <c r="S1011" i="12"/>
  <c r="A1011" i="12"/>
  <c r="S1010" i="12"/>
  <c r="A1010" i="12"/>
  <c r="S1009" i="12"/>
  <c r="A1009" i="12"/>
  <c r="A1008" i="12"/>
  <c r="S1008" i="12" s="1"/>
  <c r="A1007" i="12"/>
  <c r="S1007" i="12" s="1"/>
  <c r="A1006" i="12"/>
  <c r="S1006" i="12" s="1"/>
  <c r="S1005" i="12"/>
  <c r="A1005" i="12"/>
  <c r="A1004" i="12"/>
  <c r="S1004" i="12" s="1"/>
  <c r="S1003" i="12"/>
  <c r="A1003" i="12"/>
  <c r="A1002" i="12"/>
  <c r="S1002" i="12" s="1"/>
  <c r="S1001" i="12"/>
  <c r="A1001" i="12"/>
  <c r="A1000" i="12"/>
  <c r="S1000" i="12" s="1"/>
  <c r="S999" i="12"/>
  <c r="A999" i="12"/>
  <c r="A998" i="12"/>
  <c r="S998" i="12" s="1"/>
  <c r="S997" i="12"/>
  <c r="A997" i="12"/>
  <c r="A996" i="12"/>
  <c r="S996" i="12" s="1"/>
  <c r="S995" i="12"/>
  <c r="A995" i="12"/>
  <c r="A994" i="12"/>
  <c r="S994" i="12" s="1"/>
  <c r="S993" i="12"/>
  <c r="A993" i="12"/>
  <c r="S992" i="12"/>
  <c r="A992" i="12"/>
  <c r="S991" i="12"/>
  <c r="A991" i="12"/>
  <c r="S990" i="12"/>
  <c r="A990" i="12"/>
  <c r="S989" i="12"/>
  <c r="A989" i="12"/>
  <c r="A988" i="12"/>
  <c r="S988" i="12" s="1"/>
  <c r="S987" i="12"/>
  <c r="A987" i="12"/>
  <c r="A986" i="12"/>
  <c r="S986" i="12" s="1"/>
  <c r="S985" i="12"/>
  <c r="A985" i="12"/>
  <c r="A984" i="12"/>
  <c r="S984" i="12" s="1"/>
  <c r="A983" i="12"/>
  <c r="S983" i="12" s="1"/>
  <c r="A982" i="12"/>
  <c r="S982" i="12" s="1"/>
  <c r="S981" i="12"/>
  <c r="A981" i="12"/>
  <c r="A980" i="12"/>
  <c r="S980" i="12" s="1"/>
  <c r="S979" i="12"/>
  <c r="A979" i="12"/>
  <c r="A978" i="12"/>
  <c r="S978" i="12" s="1"/>
  <c r="S977" i="12"/>
  <c r="A977" i="12"/>
  <c r="A976" i="12"/>
  <c r="S976" i="12" s="1"/>
  <c r="S975" i="12"/>
  <c r="A975" i="12"/>
  <c r="S974" i="12"/>
  <c r="A974" i="12"/>
  <c r="S973" i="12"/>
  <c r="A973" i="12"/>
  <c r="A972" i="12"/>
  <c r="S972" i="12" s="1"/>
  <c r="A971" i="12"/>
  <c r="S971" i="12" s="1"/>
  <c r="A970" i="12"/>
  <c r="S970" i="12" s="1"/>
  <c r="S969" i="12"/>
  <c r="A969" i="12"/>
  <c r="A968" i="12"/>
  <c r="S968" i="12" s="1"/>
  <c r="S967" i="12"/>
  <c r="A967" i="12"/>
  <c r="S966" i="12"/>
  <c r="A966" i="12"/>
  <c r="A965" i="12"/>
  <c r="S965" i="12" s="1"/>
  <c r="A964" i="12"/>
  <c r="S964" i="12" s="1"/>
  <c r="S963" i="12"/>
  <c r="A963" i="12"/>
  <c r="A962" i="12"/>
  <c r="S962" i="12" s="1"/>
  <c r="S961" i="12"/>
  <c r="A961" i="12"/>
  <c r="S960" i="12"/>
  <c r="A960" i="12"/>
  <c r="A959" i="12"/>
  <c r="S959" i="12" s="1"/>
  <c r="A958" i="12"/>
  <c r="S958" i="12" s="1"/>
  <c r="S957" i="12"/>
  <c r="A957" i="12"/>
  <c r="A956" i="12"/>
  <c r="S956" i="12" s="1"/>
  <c r="S955" i="12"/>
  <c r="A955" i="12"/>
  <c r="A954" i="12"/>
  <c r="S954" i="12" s="1"/>
  <c r="S953" i="12"/>
  <c r="A953" i="12"/>
  <c r="A952" i="12"/>
  <c r="S952" i="12" s="1"/>
  <c r="S951" i="12"/>
  <c r="A951" i="12"/>
  <c r="A950" i="12"/>
  <c r="S950" i="12" s="1"/>
  <c r="S949" i="12"/>
  <c r="A949" i="12"/>
  <c r="A948" i="12"/>
  <c r="S948" i="12" s="1"/>
  <c r="A947" i="12"/>
  <c r="S947" i="12" s="1"/>
  <c r="A946" i="12"/>
  <c r="S946" i="12" s="1"/>
  <c r="S945" i="12"/>
  <c r="A945" i="12"/>
  <c r="A944" i="12"/>
  <c r="S944" i="12" s="1"/>
  <c r="S943" i="12"/>
  <c r="A943" i="12"/>
  <c r="S942" i="12"/>
  <c r="A942" i="12"/>
  <c r="A941" i="12"/>
  <c r="S941" i="12" s="1"/>
  <c r="A940" i="12"/>
  <c r="S940" i="12" s="1"/>
  <c r="S939" i="12"/>
  <c r="A939" i="12"/>
  <c r="A938" i="12"/>
  <c r="S938" i="12" s="1"/>
  <c r="S937" i="12"/>
  <c r="A937" i="12"/>
  <c r="A936" i="12"/>
  <c r="S936" i="12" s="1"/>
  <c r="S935" i="12"/>
  <c r="A935" i="12"/>
  <c r="A934" i="12"/>
  <c r="S934" i="12" s="1"/>
  <c r="S933" i="12"/>
  <c r="A933" i="12"/>
  <c r="A932" i="12"/>
  <c r="S932" i="12" s="1"/>
  <c r="S931" i="12"/>
  <c r="A931" i="12"/>
  <c r="A930" i="12"/>
  <c r="S930" i="12" s="1"/>
  <c r="A929" i="12"/>
  <c r="S929" i="12" s="1"/>
  <c r="A928" i="12"/>
  <c r="S928" i="12" s="1"/>
  <c r="S927" i="12"/>
  <c r="A927" i="12"/>
  <c r="A926" i="12"/>
  <c r="S926" i="12" s="1"/>
  <c r="S925" i="12"/>
  <c r="A925" i="12"/>
  <c r="S924" i="12"/>
  <c r="A924" i="12"/>
  <c r="A923" i="12"/>
  <c r="S923" i="12" s="1"/>
  <c r="A922" i="12"/>
  <c r="S922" i="12" s="1"/>
  <c r="S921" i="12"/>
  <c r="A921" i="12"/>
  <c r="A920" i="12"/>
  <c r="S920" i="12" s="1"/>
  <c r="S919" i="12"/>
  <c r="A919" i="12"/>
  <c r="A918" i="12"/>
  <c r="S918" i="12" s="1"/>
  <c r="S917" i="12"/>
  <c r="A917" i="12"/>
  <c r="A916" i="12"/>
  <c r="S916" i="12" s="1"/>
  <c r="S915" i="12"/>
  <c r="A915" i="12"/>
  <c r="A914" i="12"/>
  <c r="S914" i="12" s="1"/>
  <c r="S913" i="12"/>
  <c r="A913" i="12"/>
  <c r="A912" i="12"/>
  <c r="S912" i="12" s="1"/>
  <c r="A911" i="12"/>
  <c r="S911" i="12" s="1"/>
  <c r="A910" i="12"/>
  <c r="S910" i="12" s="1"/>
  <c r="S909" i="12"/>
  <c r="A909" i="12"/>
  <c r="A908" i="12"/>
  <c r="S908" i="12" s="1"/>
  <c r="S907" i="12"/>
  <c r="A907" i="12"/>
  <c r="S906" i="12"/>
  <c r="A906" i="12"/>
  <c r="A905" i="12"/>
  <c r="S905" i="12" s="1"/>
  <c r="A904" i="12"/>
  <c r="S904" i="12" s="1"/>
  <c r="S903" i="12"/>
  <c r="A903" i="12"/>
  <c r="A902" i="12"/>
  <c r="S902" i="12" s="1"/>
  <c r="S901" i="12"/>
  <c r="A901" i="12"/>
  <c r="A900" i="12"/>
  <c r="S900" i="12" s="1"/>
  <c r="S899" i="12"/>
  <c r="A899" i="12"/>
  <c r="A898" i="12"/>
  <c r="S898" i="12" s="1"/>
  <c r="S897" i="12"/>
  <c r="A897" i="12"/>
  <c r="A896" i="12"/>
  <c r="S896" i="12" s="1"/>
  <c r="S895" i="12"/>
  <c r="A895" i="12"/>
  <c r="A894" i="12"/>
  <c r="S894" i="12" s="1"/>
  <c r="A893" i="12"/>
  <c r="S893" i="12" s="1"/>
  <c r="A892" i="12"/>
  <c r="S892" i="12" s="1"/>
  <c r="S891" i="12"/>
  <c r="A891" i="12"/>
  <c r="A890" i="12"/>
  <c r="S890" i="12" s="1"/>
  <c r="S889" i="12"/>
  <c r="A889" i="12"/>
  <c r="S888" i="12"/>
  <c r="A888" i="12"/>
  <c r="A887" i="12"/>
  <c r="S887" i="12" s="1"/>
  <c r="A886" i="12"/>
  <c r="S886" i="12" s="1"/>
  <c r="S885" i="12"/>
  <c r="A885" i="12"/>
  <c r="A884" i="12"/>
  <c r="S884" i="12" s="1"/>
  <c r="S883" i="12"/>
  <c r="A883" i="12"/>
  <c r="A882" i="12"/>
  <c r="S882" i="12" s="1"/>
  <c r="S881" i="12"/>
  <c r="A881" i="12"/>
  <c r="A880" i="12"/>
  <c r="S880" i="12" s="1"/>
  <c r="S879" i="12"/>
  <c r="A879" i="12"/>
  <c r="A878" i="12"/>
  <c r="S878" i="12" s="1"/>
  <c r="S877" i="12"/>
  <c r="A877" i="12"/>
  <c r="A876" i="12"/>
  <c r="S876" i="12" s="1"/>
  <c r="A875" i="12"/>
  <c r="S875" i="12" s="1"/>
  <c r="A874" i="12"/>
  <c r="S874" i="12" s="1"/>
  <c r="S873" i="12"/>
  <c r="A873" i="12"/>
  <c r="A872" i="12"/>
  <c r="S872" i="12" s="1"/>
  <c r="S871" i="12"/>
  <c r="A871" i="12"/>
  <c r="S870" i="12"/>
  <c r="A870" i="12"/>
  <c r="A869" i="12"/>
  <c r="S869" i="12" s="1"/>
  <c r="A868" i="12"/>
  <c r="S868" i="12" s="1"/>
  <c r="S867" i="12"/>
  <c r="A867" i="12"/>
  <c r="A866" i="12"/>
  <c r="S866" i="12" s="1"/>
  <c r="S865" i="12"/>
  <c r="A865" i="12"/>
  <c r="A864" i="12"/>
  <c r="S864" i="12" s="1"/>
  <c r="S863" i="12"/>
  <c r="A863" i="12"/>
  <c r="A862" i="12"/>
  <c r="S862" i="12" s="1"/>
  <c r="S861" i="12"/>
  <c r="A861" i="12"/>
  <c r="A860" i="12"/>
  <c r="S860" i="12" s="1"/>
  <c r="S859" i="12"/>
  <c r="A859" i="12"/>
  <c r="A858" i="12"/>
  <c r="S858" i="12" s="1"/>
  <c r="A857" i="12"/>
  <c r="S857" i="12" s="1"/>
  <c r="A856" i="12"/>
  <c r="S856" i="12" s="1"/>
  <c r="S855" i="12"/>
  <c r="A855" i="12"/>
  <c r="A854" i="12"/>
  <c r="S854" i="12" s="1"/>
  <c r="S853" i="12"/>
  <c r="A853" i="12"/>
  <c r="S852" i="12"/>
  <c r="A852" i="12"/>
  <c r="A851" i="12"/>
  <c r="S851" i="12" s="1"/>
  <c r="A850" i="12"/>
  <c r="S850" i="12" s="1"/>
  <c r="S849" i="12"/>
  <c r="A849" i="12"/>
  <c r="A848" i="12"/>
  <c r="S848" i="12" s="1"/>
  <c r="S847" i="12"/>
  <c r="A847" i="12"/>
  <c r="A846" i="12"/>
  <c r="S846" i="12" s="1"/>
  <c r="S845" i="12"/>
  <c r="A845" i="12"/>
  <c r="A844" i="12"/>
  <c r="S844" i="12" s="1"/>
  <c r="S843" i="12"/>
  <c r="A843" i="12"/>
  <c r="A842" i="12"/>
  <c r="S842" i="12" s="1"/>
  <c r="S841" i="12"/>
  <c r="A841" i="12"/>
  <c r="A840" i="12"/>
  <c r="S840" i="12" s="1"/>
  <c r="A839" i="12"/>
  <c r="S839" i="12" s="1"/>
  <c r="A838" i="12"/>
  <c r="S838" i="12" s="1"/>
  <c r="S837" i="12"/>
  <c r="A837" i="12"/>
  <c r="A836" i="12"/>
  <c r="S836" i="12" s="1"/>
  <c r="S835" i="12"/>
  <c r="A835" i="12"/>
  <c r="S834" i="12"/>
  <c r="A834" i="12"/>
  <c r="A833" i="12"/>
  <c r="S833" i="12" s="1"/>
  <c r="A832" i="12"/>
  <c r="S832" i="12" s="1"/>
  <c r="S831" i="12"/>
  <c r="A831" i="12"/>
  <c r="A830" i="12"/>
  <c r="S830" i="12" s="1"/>
  <c r="S829" i="12"/>
  <c r="A829" i="12"/>
  <c r="A828" i="12"/>
  <c r="S828" i="12" s="1"/>
  <c r="S827" i="12"/>
  <c r="A827" i="12"/>
  <c r="A826" i="12"/>
  <c r="S826" i="12" s="1"/>
  <c r="S825" i="12"/>
  <c r="A825" i="12"/>
  <c r="A824" i="12"/>
  <c r="S824" i="12" s="1"/>
  <c r="S823" i="12"/>
  <c r="A823" i="12"/>
  <c r="A822" i="12"/>
  <c r="S822" i="12" s="1"/>
  <c r="A821" i="12"/>
  <c r="S821" i="12" s="1"/>
  <c r="A820" i="12"/>
  <c r="S820" i="12" s="1"/>
  <c r="S819" i="12"/>
  <c r="A819" i="12"/>
  <c r="A818" i="12"/>
  <c r="S818" i="12" s="1"/>
  <c r="S817" i="12"/>
  <c r="A817" i="12"/>
  <c r="S816" i="12"/>
  <c r="A816" i="12"/>
  <c r="A815" i="12"/>
  <c r="S815" i="12" s="1"/>
  <c r="A814" i="12"/>
  <c r="S814" i="12" s="1"/>
  <c r="S813" i="12"/>
  <c r="A813" i="12"/>
  <c r="A812" i="12"/>
  <c r="S812" i="12" s="1"/>
  <c r="S811" i="12"/>
  <c r="A811" i="12"/>
  <c r="A810" i="12"/>
  <c r="S810" i="12" s="1"/>
  <c r="S809" i="12"/>
  <c r="A809" i="12"/>
  <c r="A808" i="12"/>
  <c r="S808" i="12" s="1"/>
  <c r="S807" i="12"/>
  <c r="A807" i="12"/>
  <c r="A806" i="12"/>
  <c r="S806" i="12" s="1"/>
  <c r="S805" i="12"/>
  <c r="A805" i="12"/>
  <c r="A804" i="12"/>
  <c r="S804" i="12" s="1"/>
  <c r="A803" i="12"/>
  <c r="S803" i="12" s="1"/>
  <c r="A802" i="12"/>
  <c r="S802" i="12" s="1"/>
  <c r="S801" i="12"/>
  <c r="A801" i="12"/>
  <c r="A800" i="12"/>
  <c r="S800" i="12" s="1"/>
  <c r="S799" i="12"/>
  <c r="A799" i="12"/>
  <c r="S798" i="12"/>
  <c r="A798" i="12"/>
  <c r="A797" i="12"/>
  <c r="S797" i="12" s="1"/>
  <c r="A796" i="12"/>
  <c r="S796" i="12" s="1"/>
  <c r="S795" i="12"/>
  <c r="A795" i="12"/>
  <c r="A794" i="12"/>
  <c r="S794" i="12" s="1"/>
  <c r="S793" i="12"/>
  <c r="A793" i="12"/>
  <c r="A792" i="12"/>
  <c r="S792" i="12" s="1"/>
  <c r="S791" i="12"/>
  <c r="A791" i="12"/>
  <c r="A790" i="12"/>
  <c r="S790" i="12" s="1"/>
  <c r="S789" i="12"/>
  <c r="A789" i="12"/>
  <c r="A788" i="12"/>
  <c r="S788" i="12" s="1"/>
  <c r="S787" i="12"/>
  <c r="A787" i="12"/>
  <c r="A786" i="12"/>
  <c r="S786" i="12" s="1"/>
  <c r="A785" i="12"/>
  <c r="S785" i="12" s="1"/>
  <c r="A784" i="12"/>
  <c r="S784" i="12" s="1"/>
  <c r="S783" i="12"/>
  <c r="A783" i="12"/>
  <c r="A782" i="12"/>
  <c r="S782" i="12" s="1"/>
  <c r="S781" i="12"/>
  <c r="A781" i="12"/>
  <c r="S780" i="12"/>
  <c r="A780" i="12"/>
  <c r="A779" i="12"/>
  <c r="S779" i="12" s="1"/>
  <c r="A778" i="12"/>
  <c r="S778" i="12" s="1"/>
  <c r="S777" i="12"/>
  <c r="A777" i="12"/>
  <c r="A776" i="12"/>
  <c r="S776" i="12" s="1"/>
  <c r="S775" i="12"/>
  <c r="A775" i="12"/>
  <c r="A774" i="12"/>
  <c r="S774" i="12" s="1"/>
  <c r="S773" i="12"/>
  <c r="A773" i="12"/>
  <c r="A772" i="12"/>
  <c r="S772" i="12" s="1"/>
  <c r="S771" i="12"/>
  <c r="A771" i="12"/>
  <c r="A770" i="12"/>
  <c r="S770" i="12" s="1"/>
  <c r="S769" i="12"/>
  <c r="A769" i="12"/>
  <c r="A768" i="12"/>
  <c r="S768" i="12" s="1"/>
  <c r="A767" i="12"/>
  <c r="S767" i="12" s="1"/>
  <c r="A766" i="12"/>
  <c r="S766" i="12" s="1"/>
  <c r="S765" i="12"/>
  <c r="A765" i="12"/>
  <c r="A764" i="12"/>
  <c r="S764" i="12" s="1"/>
  <c r="S763" i="12"/>
  <c r="A763" i="12"/>
  <c r="S762" i="12"/>
  <c r="A762" i="12"/>
  <c r="A761" i="12"/>
  <c r="S761" i="12" s="1"/>
  <c r="A760" i="12"/>
  <c r="S760" i="12" s="1"/>
  <c r="S759" i="12"/>
  <c r="A759" i="12"/>
  <c r="A758" i="12"/>
  <c r="S758" i="12" s="1"/>
  <c r="S757" i="12"/>
  <c r="A757" i="12"/>
  <c r="A756" i="12"/>
  <c r="S756" i="12" s="1"/>
  <c r="S755" i="12"/>
  <c r="A755" i="12"/>
  <c r="A754" i="12"/>
  <c r="S754" i="12" s="1"/>
  <c r="S753" i="12"/>
  <c r="A753" i="12"/>
  <c r="A752" i="12"/>
  <c r="S752" i="12" s="1"/>
  <c r="S751" i="12"/>
  <c r="A751" i="12"/>
  <c r="A750" i="12"/>
  <c r="S750" i="12" s="1"/>
  <c r="A749" i="12"/>
  <c r="S749" i="12" s="1"/>
  <c r="A748" i="12"/>
  <c r="S748" i="12" s="1"/>
  <c r="S747" i="12"/>
  <c r="A747" i="12"/>
  <c r="A746" i="12"/>
  <c r="S746" i="12" s="1"/>
  <c r="S745" i="12"/>
  <c r="A745" i="12"/>
  <c r="S744" i="12"/>
  <c r="A744" i="12"/>
  <c r="A743" i="12"/>
  <c r="S743" i="12" s="1"/>
  <c r="A742" i="12"/>
  <c r="S742" i="12" s="1"/>
  <c r="S741" i="12"/>
  <c r="A741" i="12"/>
  <c r="A740" i="12"/>
  <c r="S740" i="12" s="1"/>
  <c r="S739" i="12"/>
  <c r="A739" i="12"/>
  <c r="A738" i="12"/>
  <c r="S738" i="12" s="1"/>
  <c r="S737" i="12"/>
  <c r="A737" i="12"/>
  <c r="A736" i="12"/>
  <c r="S736" i="12" s="1"/>
  <c r="S735" i="12"/>
  <c r="A735" i="12"/>
  <c r="A734" i="12"/>
  <c r="S734" i="12" s="1"/>
  <c r="S733" i="12"/>
  <c r="A733" i="12"/>
  <c r="A732" i="12"/>
  <c r="S732" i="12" s="1"/>
  <c r="A731" i="12"/>
  <c r="S731" i="12" s="1"/>
  <c r="A730" i="12"/>
  <c r="S730" i="12" s="1"/>
  <c r="S729" i="12"/>
  <c r="A729" i="12"/>
  <c r="A728" i="12"/>
  <c r="S728" i="12" s="1"/>
  <c r="S727" i="12"/>
  <c r="A727" i="12"/>
  <c r="S726" i="12"/>
  <c r="A726" i="12"/>
  <c r="A725" i="12"/>
  <c r="S725" i="12" s="1"/>
  <c r="A724" i="12"/>
  <c r="S724" i="12" s="1"/>
  <c r="S723" i="12"/>
  <c r="A723" i="12"/>
  <c r="A722" i="12"/>
  <c r="S722" i="12" s="1"/>
  <c r="S721" i="12"/>
  <c r="A721" i="12"/>
  <c r="A720" i="12"/>
  <c r="S720" i="12" s="1"/>
  <c r="S719" i="12"/>
  <c r="A719" i="12"/>
  <c r="A718" i="12"/>
  <c r="S718" i="12" s="1"/>
  <c r="S717" i="12"/>
  <c r="A717" i="12"/>
  <c r="A716" i="12"/>
  <c r="S716" i="12" s="1"/>
  <c r="S715" i="12"/>
  <c r="A715" i="12"/>
  <c r="A714" i="12"/>
  <c r="S714" i="12" s="1"/>
  <c r="A713" i="12"/>
  <c r="S713" i="12" s="1"/>
  <c r="A712" i="12"/>
  <c r="S712" i="12" s="1"/>
  <c r="S711" i="12"/>
  <c r="A711" i="12"/>
  <c r="A710" i="12"/>
  <c r="S710" i="12" s="1"/>
  <c r="S709" i="12"/>
  <c r="A709" i="12"/>
  <c r="S708" i="12"/>
  <c r="A708" i="12"/>
  <c r="A707" i="12"/>
  <c r="S707" i="12" s="1"/>
  <c r="A706" i="12"/>
  <c r="S706" i="12" s="1"/>
  <c r="S705" i="12"/>
  <c r="A705" i="12"/>
  <c r="A704" i="12"/>
  <c r="S704" i="12" s="1"/>
  <c r="S703" i="12"/>
  <c r="A703" i="12"/>
  <c r="A702" i="12"/>
  <c r="S702" i="12" s="1"/>
  <c r="S701" i="12"/>
  <c r="A701" i="12"/>
  <c r="A700" i="12"/>
  <c r="S700" i="12" s="1"/>
  <c r="S699" i="12"/>
  <c r="A699" i="12"/>
  <c r="A698" i="12"/>
  <c r="S698" i="12" s="1"/>
  <c r="S697" i="12"/>
  <c r="A697" i="12"/>
  <c r="A696" i="12"/>
  <c r="S696" i="12" s="1"/>
  <c r="A695" i="12"/>
  <c r="S695" i="12" s="1"/>
  <c r="A694" i="12"/>
  <c r="S694" i="12" s="1"/>
  <c r="S693" i="12"/>
  <c r="A693" i="12"/>
  <c r="A692" i="12"/>
  <c r="S692" i="12" s="1"/>
  <c r="S691" i="12"/>
  <c r="A691" i="12"/>
  <c r="S690" i="12"/>
  <c r="A690" i="12"/>
  <c r="A689" i="12"/>
  <c r="S689" i="12" s="1"/>
  <c r="A688" i="12"/>
  <c r="S688" i="12" s="1"/>
  <c r="S687" i="12"/>
  <c r="A687" i="12"/>
  <c r="A686" i="12"/>
  <c r="S686" i="12" s="1"/>
  <c r="S685" i="12"/>
  <c r="A685" i="12"/>
  <c r="A684" i="12"/>
  <c r="S684" i="12" s="1"/>
  <c r="S683" i="12"/>
  <c r="A683" i="12"/>
  <c r="A682" i="12"/>
  <c r="S682" i="12" s="1"/>
  <c r="S681" i="12"/>
  <c r="A681" i="12"/>
  <c r="A680" i="12"/>
  <c r="S680" i="12" s="1"/>
  <c r="S679" i="12"/>
  <c r="A679" i="12"/>
  <c r="A678" i="12"/>
  <c r="S678" i="12" s="1"/>
  <c r="A677" i="12"/>
  <c r="S677" i="12" s="1"/>
  <c r="A676" i="12"/>
  <c r="S676" i="12" s="1"/>
  <c r="S675" i="12"/>
  <c r="A675" i="12"/>
  <c r="A674" i="12"/>
  <c r="S674" i="12" s="1"/>
  <c r="S673" i="12"/>
  <c r="A673" i="12"/>
  <c r="S672" i="12"/>
  <c r="A672" i="12"/>
  <c r="A671" i="12"/>
  <c r="S671" i="12" s="1"/>
  <c r="A670" i="12"/>
  <c r="S670" i="12" s="1"/>
  <c r="S669" i="12"/>
  <c r="A669" i="12"/>
  <c r="A668" i="12"/>
  <c r="S668" i="12" s="1"/>
  <c r="S667" i="12"/>
  <c r="A667" i="12"/>
  <c r="A666" i="12"/>
  <c r="S666" i="12" s="1"/>
  <c r="S665" i="12"/>
  <c r="A665" i="12"/>
  <c r="A664" i="12"/>
  <c r="S664" i="12" s="1"/>
  <c r="S663" i="12"/>
  <c r="A663" i="12"/>
  <c r="A662" i="12"/>
  <c r="S662" i="12" s="1"/>
  <c r="S661" i="12"/>
  <c r="A661" i="12"/>
  <c r="A660" i="12"/>
  <c r="S660" i="12" s="1"/>
  <c r="A659" i="12"/>
  <c r="S659" i="12" s="1"/>
  <c r="A658" i="12"/>
  <c r="S658" i="12" s="1"/>
  <c r="S657" i="12"/>
  <c r="A657" i="12"/>
  <c r="A656" i="12"/>
  <c r="S656" i="12" s="1"/>
  <c r="S655" i="12"/>
  <c r="A655" i="12"/>
  <c r="A654" i="12"/>
  <c r="S654" i="12" s="1"/>
  <c r="A653" i="12"/>
  <c r="S653" i="12" s="1"/>
  <c r="A652" i="12"/>
  <c r="S652" i="12" s="1"/>
  <c r="S651" i="12"/>
  <c r="A651" i="12"/>
  <c r="A650" i="12"/>
  <c r="S650" i="12" s="1"/>
  <c r="S649" i="12"/>
  <c r="A649" i="12"/>
  <c r="A648" i="12"/>
  <c r="S648" i="12" s="1"/>
  <c r="S647" i="12"/>
  <c r="A647" i="12"/>
  <c r="A646" i="12"/>
  <c r="S646" i="12" s="1"/>
  <c r="S645" i="12"/>
  <c r="A645" i="12"/>
  <c r="A644" i="12"/>
  <c r="S644" i="12" s="1"/>
  <c r="S643" i="12"/>
  <c r="A643" i="12"/>
  <c r="A642" i="12"/>
  <c r="S642" i="12" s="1"/>
  <c r="A641" i="12"/>
  <c r="S641" i="12" s="1"/>
  <c r="A640" i="12"/>
  <c r="S640" i="12" s="1"/>
  <c r="S639" i="12"/>
  <c r="A639" i="12"/>
  <c r="A638" i="12"/>
  <c r="S638" i="12" s="1"/>
  <c r="S637" i="12"/>
  <c r="A637" i="12"/>
  <c r="S636" i="12"/>
  <c r="A636" i="12"/>
  <c r="A635" i="12"/>
  <c r="S635" i="12" s="1"/>
  <c r="A634" i="12"/>
  <c r="S634" i="12" s="1"/>
  <c r="S633" i="12"/>
  <c r="A633" i="12"/>
  <c r="A632" i="12"/>
  <c r="S632" i="12" s="1"/>
  <c r="S631" i="12"/>
  <c r="A631" i="12"/>
  <c r="A630" i="12"/>
  <c r="S630" i="12" s="1"/>
  <c r="S629" i="12"/>
  <c r="A629" i="12"/>
  <c r="A628" i="12"/>
  <c r="S628" i="12" s="1"/>
  <c r="S627" i="12"/>
  <c r="A627" i="12"/>
  <c r="A626" i="12"/>
  <c r="S626" i="12" s="1"/>
  <c r="S625" i="12"/>
  <c r="A625" i="12"/>
  <c r="A624" i="12"/>
  <c r="S624" i="12" s="1"/>
  <c r="A623" i="12"/>
  <c r="S623" i="12" s="1"/>
  <c r="A622" i="12"/>
  <c r="S622" i="12" s="1"/>
  <c r="S621" i="12"/>
  <c r="A621" i="12"/>
  <c r="A620" i="12"/>
  <c r="S620" i="12" s="1"/>
  <c r="S619" i="12"/>
  <c r="A619" i="12"/>
  <c r="A618" i="12"/>
  <c r="S618" i="12" s="1"/>
  <c r="A617" i="12"/>
  <c r="S617" i="12" s="1"/>
  <c r="A616" i="12"/>
  <c r="S616" i="12" s="1"/>
  <c r="S615" i="12"/>
  <c r="A615" i="12"/>
  <c r="A614" i="12"/>
  <c r="S614" i="12" s="1"/>
  <c r="S613" i="12"/>
  <c r="A613" i="12"/>
  <c r="A612" i="12"/>
  <c r="S612" i="12" s="1"/>
  <c r="S611" i="12"/>
  <c r="A611" i="12"/>
  <c r="A610" i="12"/>
  <c r="S610" i="12" s="1"/>
  <c r="S609" i="12"/>
  <c r="A609" i="12"/>
  <c r="A608" i="12"/>
  <c r="S608" i="12" s="1"/>
  <c r="S607" i="12"/>
  <c r="A607" i="12"/>
  <c r="A606" i="12"/>
  <c r="S606" i="12" s="1"/>
  <c r="A605" i="12"/>
  <c r="S605" i="12" s="1"/>
  <c r="A604" i="12"/>
  <c r="S604" i="12" s="1"/>
  <c r="S603" i="12"/>
  <c r="A603" i="12"/>
  <c r="A602" i="12"/>
  <c r="S602" i="12" s="1"/>
  <c r="S601" i="12"/>
  <c r="A601" i="12"/>
  <c r="S600" i="12"/>
  <c r="A600" i="12"/>
  <c r="A599" i="12"/>
  <c r="S599" i="12" s="1"/>
  <c r="A598" i="12"/>
  <c r="S598" i="12" s="1"/>
  <c r="S597" i="12"/>
  <c r="A597" i="12"/>
  <c r="A596" i="12"/>
  <c r="S596" i="12" s="1"/>
  <c r="S595" i="12"/>
  <c r="A595" i="12"/>
  <c r="A594" i="12"/>
  <c r="S594" i="12" s="1"/>
  <c r="S593" i="12"/>
  <c r="A593" i="12"/>
  <c r="A592" i="12"/>
  <c r="S592" i="12" s="1"/>
  <c r="S591" i="12"/>
  <c r="A591" i="12"/>
  <c r="A590" i="12"/>
  <c r="S590" i="12" s="1"/>
  <c r="S589" i="12"/>
  <c r="A589" i="12"/>
  <c r="A588" i="12"/>
  <c r="S588" i="12" s="1"/>
  <c r="A587" i="12"/>
  <c r="S587" i="12" s="1"/>
  <c r="A586" i="12"/>
  <c r="S586" i="12" s="1"/>
  <c r="S585" i="12"/>
  <c r="A585" i="12"/>
  <c r="A584" i="12"/>
  <c r="S584" i="12" s="1"/>
  <c r="S583" i="12"/>
  <c r="A583" i="12"/>
  <c r="S582" i="12"/>
  <c r="A582" i="12"/>
  <c r="A581" i="12"/>
  <c r="S581" i="12" s="1"/>
  <c r="A580" i="12"/>
  <c r="S580" i="12" s="1"/>
  <c r="S579" i="12"/>
  <c r="A579" i="12"/>
  <c r="A578" i="12"/>
  <c r="S578" i="12" s="1"/>
  <c r="S577" i="12"/>
  <c r="A577" i="12"/>
  <c r="A576" i="12"/>
  <c r="S576" i="12" s="1"/>
  <c r="S575" i="12"/>
  <c r="A575" i="12"/>
  <c r="A574" i="12"/>
  <c r="S574" i="12" s="1"/>
  <c r="S573" i="12"/>
  <c r="A573" i="12"/>
  <c r="A572" i="12"/>
  <c r="S572" i="12" s="1"/>
  <c r="S571" i="12"/>
  <c r="A571" i="12"/>
  <c r="A570" i="12"/>
  <c r="S570" i="12" s="1"/>
  <c r="A569" i="12"/>
  <c r="S569" i="12" s="1"/>
  <c r="A568" i="12"/>
  <c r="S568" i="12" s="1"/>
  <c r="S567" i="12"/>
  <c r="A567" i="12"/>
  <c r="A566" i="12"/>
  <c r="S566" i="12" s="1"/>
  <c r="S565" i="12"/>
  <c r="A565" i="12"/>
  <c r="S564" i="12"/>
  <c r="A564" i="12"/>
  <c r="A563" i="12"/>
  <c r="S563" i="12" s="1"/>
  <c r="A562" i="12"/>
  <c r="S562" i="12" s="1"/>
  <c r="S561" i="12"/>
  <c r="A561" i="12"/>
  <c r="A560" i="12"/>
  <c r="S560" i="12" s="1"/>
  <c r="S559" i="12"/>
  <c r="A559" i="12"/>
  <c r="A558" i="12"/>
  <c r="S558" i="12" s="1"/>
  <c r="S557" i="12"/>
  <c r="A557" i="12"/>
  <c r="A556" i="12"/>
  <c r="S556" i="12" s="1"/>
  <c r="S555" i="12"/>
  <c r="A555" i="12"/>
  <c r="A554" i="12"/>
  <c r="S554" i="12" s="1"/>
  <c r="S553" i="12"/>
  <c r="A553" i="12"/>
  <c r="A552" i="12"/>
  <c r="S552" i="12" s="1"/>
  <c r="A551" i="12"/>
  <c r="S551" i="12" s="1"/>
  <c r="A550" i="12"/>
  <c r="S550" i="12" s="1"/>
  <c r="S549" i="12"/>
  <c r="A549" i="12"/>
  <c r="A548" i="12"/>
  <c r="S548" i="12" s="1"/>
  <c r="S547" i="12"/>
  <c r="A547" i="12"/>
  <c r="A546" i="12"/>
  <c r="S546" i="12" s="1"/>
  <c r="A545" i="12"/>
  <c r="S545" i="12" s="1"/>
  <c r="A544" i="12"/>
  <c r="S544" i="12" s="1"/>
  <c r="S543" i="12"/>
  <c r="A543" i="12"/>
  <c r="A542" i="12"/>
  <c r="S542" i="12" s="1"/>
  <c r="S541" i="12"/>
  <c r="A541" i="12"/>
  <c r="A540" i="12"/>
  <c r="S540" i="12" s="1"/>
  <c r="S539" i="12"/>
  <c r="A539" i="12"/>
  <c r="A538" i="12"/>
  <c r="S538" i="12" s="1"/>
  <c r="S537" i="12"/>
  <c r="A537" i="12"/>
  <c r="A536" i="12"/>
  <c r="S536" i="12" s="1"/>
  <c r="S535" i="12"/>
  <c r="A535" i="12"/>
  <c r="A534" i="12"/>
  <c r="S534" i="12" s="1"/>
  <c r="A533" i="12"/>
  <c r="S533" i="12" s="1"/>
  <c r="A532" i="12"/>
  <c r="S532" i="12" s="1"/>
  <c r="S531" i="12"/>
  <c r="A531" i="12"/>
  <c r="A530" i="12"/>
  <c r="S530" i="12" s="1"/>
  <c r="S529" i="12"/>
  <c r="A529" i="12"/>
  <c r="S528" i="12"/>
  <c r="A528" i="12"/>
  <c r="A527" i="12"/>
  <c r="S527" i="12" s="1"/>
  <c r="A526" i="12"/>
  <c r="S526" i="12" s="1"/>
  <c r="S525" i="12"/>
  <c r="A525" i="12"/>
  <c r="A524" i="12"/>
  <c r="S524" i="12" s="1"/>
  <c r="S523" i="12"/>
  <c r="A523" i="12"/>
  <c r="A522" i="12"/>
  <c r="S522" i="12" s="1"/>
  <c r="S521" i="12"/>
  <c r="A521" i="12"/>
  <c r="A520" i="12"/>
  <c r="S520" i="12" s="1"/>
  <c r="S519" i="12"/>
  <c r="A519" i="12"/>
  <c r="A518" i="12"/>
  <c r="S518" i="12" s="1"/>
  <c r="S517" i="12"/>
  <c r="A517" i="12"/>
  <c r="S516" i="12"/>
  <c r="A516" i="12"/>
  <c r="S515" i="12"/>
  <c r="A515" i="12"/>
  <c r="A514" i="12"/>
  <c r="S514" i="12" s="1"/>
  <c r="S513" i="12"/>
  <c r="A513" i="12"/>
  <c r="A512" i="12"/>
  <c r="S512" i="12" s="1"/>
  <c r="S511" i="12"/>
  <c r="A511" i="12"/>
  <c r="A510" i="12"/>
  <c r="S510" i="12" s="1"/>
  <c r="A509" i="12"/>
  <c r="S509" i="12" s="1"/>
  <c r="A508" i="12"/>
  <c r="S508" i="12" s="1"/>
  <c r="S507" i="12"/>
  <c r="A507" i="12"/>
  <c r="A506" i="12"/>
  <c r="S506" i="12" s="1"/>
  <c r="S505" i="12"/>
  <c r="A505" i="12"/>
  <c r="S504" i="12"/>
  <c r="A504" i="12"/>
  <c r="S503" i="12"/>
  <c r="A503" i="12"/>
  <c r="A502" i="12"/>
  <c r="S502" i="12" s="1"/>
  <c r="S501" i="12"/>
  <c r="A501" i="12"/>
  <c r="A500" i="12"/>
  <c r="S500" i="12" s="1"/>
  <c r="S499" i="12"/>
  <c r="A499" i="12"/>
  <c r="A498" i="12"/>
  <c r="S498" i="12" s="1"/>
  <c r="A497" i="12"/>
  <c r="S497" i="12" s="1"/>
  <c r="A496" i="12"/>
  <c r="S496" i="12" s="1"/>
  <c r="S495" i="12"/>
  <c r="A495" i="12"/>
  <c r="A494" i="12"/>
  <c r="S494" i="12" s="1"/>
  <c r="S493" i="12"/>
  <c r="A493" i="12"/>
  <c r="A492" i="12"/>
  <c r="S492" i="12" s="1"/>
  <c r="S491" i="12"/>
  <c r="A491" i="12"/>
  <c r="A490" i="12"/>
  <c r="S490" i="12" s="1"/>
  <c r="S489" i="12"/>
  <c r="A489" i="12"/>
  <c r="S488" i="12"/>
  <c r="A488" i="12"/>
  <c r="S487" i="12"/>
  <c r="A487" i="12"/>
  <c r="A486" i="12"/>
  <c r="S486" i="12" s="1"/>
  <c r="S485" i="12"/>
  <c r="A485" i="12"/>
  <c r="A484" i="12"/>
  <c r="S484" i="12" s="1"/>
  <c r="S483" i="12"/>
  <c r="A483" i="12"/>
  <c r="S482" i="12"/>
  <c r="A482" i="12"/>
  <c r="S481" i="12"/>
  <c r="A481" i="12"/>
  <c r="A480" i="12"/>
  <c r="S480" i="12" s="1"/>
  <c r="A479" i="12"/>
  <c r="S479" i="12" s="1"/>
  <c r="A478" i="12"/>
  <c r="S478" i="12" s="1"/>
  <c r="S477" i="12"/>
  <c r="A477" i="12"/>
  <c r="A476" i="12"/>
  <c r="S476" i="12" s="1"/>
  <c r="S475" i="12"/>
  <c r="A475" i="12"/>
  <c r="A474" i="12"/>
  <c r="S474" i="12" s="1"/>
  <c r="A473" i="12"/>
  <c r="S473" i="12" s="1"/>
  <c r="A472" i="12"/>
  <c r="S472" i="12" s="1"/>
  <c r="S471" i="12"/>
  <c r="A471" i="12"/>
  <c r="S470" i="12"/>
  <c r="A470" i="12"/>
  <c r="S469" i="12"/>
  <c r="A469" i="12"/>
  <c r="A468" i="12"/>
  <c r="S468" i="12" s="1"/>
  <c r="A467" i="12"/>
  <c r="S467" i="12" s="1"/>
  <c r="A466" i="12"/>
  <c r="S466" i="12" s="1"/>
  <c r="S465" i="12"/>
  <c r="A465" i="12"/>
  <c r="A464" i="12"/>
  <c r="S464" i="12" s="1"/>
  <c r="S463" i="12"/>
  <c r="A463" i="12"/>
  <c r="S462" i="12"/>
  <c r="A462" i="12"/>
  <c r="A461" i="12"/>
  <c r="S461" i="12" s="1"/>
  <c r="A460" i="12"/>
  <c r="S460" i="12" s="1"/>
  <c r="S459" i="12"/>
  <c r="A459" i="12"/>
  <c r="S458" i="12"/>
  <c r="A458" i="12"/>
  <c r="S457" i="12"/>
  <c r="A457" i="12"/>
  <c r="S456" i="12"/>
  <c r="A456" i="12"/>
  <c r="A455" i="12"/>
  <c r="S455" i="12" s="1"/>
  <c r="A454" i="12"/>
  <c r="S454" i="12" s="1"/>
  <c r="S453" i="12"/>
  <c r="A453" i="12"/>
  <c r="S452" i="12"/>
  <c r="A452" i="12"/>
  <c r="S451" i="12"/>
  <c r="A451" i="12"/>
  <c r="A450" i="12"/>
  <c r="S450" i="12" s="1"/>
  <c r="S449" i="12"/>
  <c r="A449" i="12"/>
  <c r="A448" i="12"/>
  <c r="S448" i="12" s="1"/>
  <c r="S447" i="12"/>
  <c r="A447" i="12"/>
  <c r="A446" i="12"/>
  <c r="S446" i="12" s="1"/>
  <c r="S445" i="12"/>
  <c r="A445" i="12"/>
  <c r="S444" i="12"/>
  <c r="A444" i="12"/>
  <c r="S443" i="12"/>
  <c r="A443" i="12"/>
  <c r="A442" i="12"/>
  <c r="S442" i="12" s="1"/>
  <c r="S441" i="12"/>
  <c r="A441" i="12"/>
  <c r="A440" i="12"/>
  <c r="S440" i="12" s="1"/>
  <c r="S439" i="12"/>
  <c r="A439" i="12"/>
  <c r="A438" i="12"/>
  <c r="S438" i="12" s="1"/>
  <c r="A437" i="12"/>
  <c r="S437" i="12" s="1"/>
  <c r="A436" i="12"/>
  <c r="S436" i="12" s="1"/>
  <c r="S435" i="12"/>
  <c r="A435" i="12"/>
  <c r="A434" i="12"/>
  <c r="S434" i="12" s="1"/>
  <c r="S433" i="12"/>
  <c r="A433" i="12"/>
  <c r="S432" i="12"/>
  <c r="A432" i="12"/>
  <c r="S431" i="12"/>
  <c r="A431" i="12"/>
  <c r="A430" i="12"/>
  <c r="S430" i="12" s="1"/>
  <c r="S429" i="12"/>
  <c r="A429" i="12"/>
  <c r="A428" i="12"/>
  <c r="S428" i="12" s="1"/>
  <c r="S427" i="12"/>
  <c r="A427" i="12"/>
  <c r="A426" i="12"/>
  <c r="S426" i="12" s="1"/>
  <c r="A425" i="12"/>
  <c r="S425" i="12" s="1"/>
  <c r="A424" i="12"/>
  <c r="S424" i="12" s="1"/>
  <c r="S423" i="12"/>
  <c r="A423" i="12"/>
  <c r="A422" i="12"/>
  <c r="S422" i="12" s="1"/>
  <c r="S421" i="12"/>
  <c r="A421" i="12"/>
  <c r="A420" i="12"/>
  <c r="S420" i="12" s="1"/>
  <c r="S419" i="12"/>
  <c r="A419" i="12"/>
  <c r="A418" i="12"/>
  <c r="S418" i="12" s="1"/>
  <c r="S417" i="12"/>
  <c r="A417" i="12"/>
  <c r="S416" i="12"/>
  <c r="A416" i="12"/>
  <c r="S415" i="12"/>
  <c r="A415" i="12"/>
  <c r="A414" i="12"/>
  <c r="S414" i="12" s="1"/>
  <c r="A413" i="12"/>
  <c r="S413" i="12" s="1"/>
  <c r="A412" i="12"/>
  <c r="S412" i="12" s="1"/>
  <c r="S411" i="12"/>
  <c r="A411" i="12"/>
  <c r="S410" i="12"/>
  <c r="A410" i="12"/>
  <c r="S409" i="12"/>
  <c r="A409" i="12"/>
  <c r="A408" i="12"/>
  <c r="S408" i="12" s="1"/>
  <c r="A407" i="12"/>
  <c r="S407" i="12" s="1"/>
  <c r="A406" i="12"/>
  <c r="S406" i="12" s="1"/>
  <c r="S405" i="12"/>
  <c r="A405" i="12"/>
  <c r="A404" i="12"/>
  <c r="S404" i="12" s="1"/>
  <c r="S403" i="12"/>
  <c r="A403" i="12"/>
  <c r="A402" i="12"/>
  <c r="S402" i="12" s="1"/>
  <c r="A401" i="12"/>
  <c r="S401" i="12" s="1"/>
  <c r="A400" i="12"/>
  <c r="S400" i="12" s="1"/>
  <c r="S399" i="12"/>
  <c r="A399" i="12"/>
  <c r="S398" i="12"/>
  <c r="A398" i="12"/>
  <c r="S397" i="12"/>
  <c r="A397" i="12"/>
  <c r="A396" i="12"/>
  <c r="S396" i="12" s="1"/>
  <c r="A395" i="12"/>
  <c r="S395" i="12" s="1"/>
  <c r="A394" i="12"/>
  <c r="S394" i="12" s="1"/>
  <c r="S393" i="12"/>
  <c r="A393" i="12"/>
  <c r="A392" i="12"/>
  <c r="S392" i="12" s="1"/>
  <c r="S391" i="12"/>
  <c r="A391" i="12"/>
  <c r="S390" i="12"/>
  <c r="A390" i="12"/>
  <c r="A389" i="12"/>
  <c r="S389" i="12" s="1"/>
  <c r="A388" i="12"/>
  <c r="S388" i="12" s="1"/>
  <c r="S387" i="12"/>
  <c r="A387" i="12"/>
  <c r="S386" i="12"/>
  <c r="A386" i="12"/>
  <c r="S385" i="12"/>
  <c r="A385" i="12"/>
  <c r="S384" i="12"/>
  <c r="A384" i="12"/>
  <c r="A383" i="12"/>
  <c r="S383" i="12" s="1"/>
  <c r="A382" i="12"/>
  <c r="S382" i="12" s="1"/>
  <c r="S381" i="12"/>
  <c r="A381" i="12"/>
  <c r="S380" i="12"/>
  <c r="A380" i="12"/>
  <c r="S379" i="12"/>
  <c r="A379" i="12"/>
  <c r="A378" i="12"/>
  <c r="S378" i="12" s="1"/>
  <c r="S377" i="12"/>
  <c r="A377" i="12"/>
  <c r="A376" i="12"/>
  <c r="S376" i="12" s="1"/>
  <c r="S375" i="12"/>
  <c r="A375" i="12"/>
  <c r="A374" i="12"/>
  <c r="S374" i="12" s="1"/>
  <c r="S373" i="12"/>
  <c r="A373" i="12"/>
  <c r="S372" i="12"/>
  <c r="A372" i="12"/>
  <c r="S371" i="12"/>
  <c r="A371" i="12"/>
  <c r="A370" i="12"/>
  <c r="S370" i="12" s="1"/>
  <c r="S369" i="12"/>
  <c r="A369" i="12"/>
  <c r="A368" i="12"/>
  <c r="S368" i="12" s="1"/>
  <c r="S367" i="12"/>
  <c r="A367" i="12"/>
  <c r="A366" i="12"/>
  <c r="S366" i="12" s="1"/>
  <c r="A365" i="12"/>
  <c r="S365" i="12" s="1"/>
  <c r="A364" i="12"/>
  <c r="S364" i="12" s="1"/>
  <c r="S363" i="12"/>
  <c r="A363" i="12"/>
  <c r="A362" i="12"/>
  <c r="S362" i="12" s="1"/>
  <c r="S361" i="12"/>
  <c r="A361" i="12"/>
  <c r="S360" i="12"/>
  <c r="A360" i="12"/>
  <c r="S359" i="12"/>
  <c r="A359" i="12"/>
  <c r="A358" i="12"/>
  <c r="S358" i="12" s="1"/>
  <c r="S357" i="12"/>
  <c r="A357" i="12"/>
  <c r="A356" i="12"/>
  <c r="S356" i="12" s="1"/>
  <c r="S355" i="12"/>
  <c r="A355" i="12"/>
  <c r="S354" i="12"/>
  <c r="A354" i="12"/>
  <c r="A353" i="12"/>
  <c r="S353" i="12" s="1"/>
  <c r="A352" i="12"/>
  <c r="S352" i="12" s="1"/>
  <c r="S351" i="12"/>
  <c r="A351" i="12"/>
  <c r="A350" i="12"/>
  <c r="S350" i="12" s="1"/>
  <c r="S349" i="12"/>
  <c r="A349" i="12"/>
  <c r="A348" i="12"/>
  <c r="S348" i="12" s="1"/>
  <c r="S347" i="12"/>
  <c r="A347" i="12"/>
  <c r="A346" i="12"/>
  <c r="S346" i="12" s="1"/>
  <c r="S345" i="12"/>
  <c r="A345" i="12"/>
  <c r="S344" i="12"/>
  <c r="A344" i="12"/>
  <c r="S343" i="12"/>
  <c r="A343" i="12"/>
  <c r="A342" i="12"/>
  <c r="S342" i="12" s="1"/>
  <c r="S341" i="12"/>
  <c r="A341" i="12"/>
  <c r="A340" i="12"/>
  <c r="S340" i="12" s="1"/>
  <c r="S339" i="12"/>
  <c r="A339" i="12"/>
  <c r="S338" i="12"/>
  <c r="A338" i="12"/>
  <c r="S337" i="12"/>
  <c r="A337" i="12"/>
  <c r="A336" i="12"/>
  <c r="S336" i="12" s="1"/>
  <c r="A335" i="12"/>
  <c r="S335" i="12" s="1"/>
  <c r="A334" i="12"/>
  <c r="S334" i="12" s="1"/>
  <c r="S333" i="12"/>
  <c r="A333" i="12"/>
  <c r="A332" i="12"/>
  <c r="S332" i="12" s="1"/>
  <c r="S331" i="12"/>
  <c r="A331" i="12"/>
  <c r="A330" i="12"/>
  <c r="S330" i="12" s="1"/>
  <c r="A329" i="12"/>
  <c r="S329" i="12" s="1"/>
  <c r="A328" i="12"/>
  <c r="S328" i="12" s="1"/>
  <c r="S327" i="12"/>
  <c r="A327" i="12"/>
  <c r="S326" i="12"/>
  <c r="A326" i="12"/>
  <c r="S325" i="12"/>
  <c r="A325" i="12"/>
  <c r="A324" i="12"/>
  <c r="S324" i="12" s="1"/>
  <c r="A323" i="12"/>
  <c r="S323" i="12" s="1"/>
  <c r="A322" i="12"/>
  <c r="S322" i="12" s="1"/>
  <c r="S321" i="12"/>
  <c r="A321" i="12"/>
  <c r="A320" i="12"/>
  <c r="S320" i="12" s="1"/>
  <c r="S319" i="12"/>
  <c r="A319" i="12"/>
  <c r="S318" i="12"/>
  <c r="A318" i="12"/>
  <c r="A317" i="12"/>
  <c r="S317" i="12" s="1"/>
  <c r="A316" i="12"/>
  <c r="S316" i="12" s="1"/>
  <c r="S315" i="12"/>
  <c r="A315" i="12"/>
  <c r="S314" i="12"/>
  <c r="A314" i="12"/>
  <c r="S313" i="12"/>
  <c r="A313" i="12"/>
  <c r="S312" i="12"/>
  <c r="A312" i="12"/>
  <c r="A311" i="12"/>
  <c r="S311" i="12" s="1"/>
  <c r="A310" i="12"/>
  <c r="S310" i="12" s="1"/>
  <c r="S309" i="12"/>
  <c r="A309" i="12"/>
  <c r="A308" i="12"/>
  <c r="S308" i="12" s="1"/>
  <c r="S307" i="12"/>
  <c r="A307" i="12"/>
  <c r="A306" i="12"/>
  <c r="S306" i="12" s="1"/>
  <c r="S305" i="12"/>
  <c r="A305" i="12"/>
  <c r="A304" i="12"/>
  <c r="S304" i="12" s="1"/>
  <c r="S303" i="12"/>
  <c r="A303" i="12"/>
  <c r="A302" i="12"/>
  <c r="S302" i="12" s="1"/>
  <c r="S301" i="12"/>
  <c r="A301" i="12"/>
  <c r="S300" i="12"/>
  <c r="A300" i="12"/>
  <c r="S299" i="12"/>
  <c r="A299" i="12"/>
  <c r="A298" i="12"/>
  <c r="S298" i="12" s="1"/>
  <c r="S297" i="12"/>
  <c r="A297" i="12"/>
  <c r="A296" i="12"/>
  <c r="S296" i="12" s="1"/>
  <c r="S295" i="12"/>
  <c r="A295" i="12"/>
  <c r="A294" i="12"/>
  <c r="S294" i="12" s="1"/>
  <c r="A293" i="12"/>
  <c r="S293" i="12" s="1"/>
  <c r="A292" i="12"/>
  <c r="S292" i="12" s="1"/>
  <c r="S291" i="12"/>
  <c r="A291" i="12"/>
  <c r="A290" i="12"/>
  <c r="S290" i="12" s="1"/>
  <c r="S289" i="12"/>
  <c r="A289" i="12"/>
  <c r="S288" i="12"/>
  <c r="A288" i="12"/>
  <c r="S287" i="12"/>
  <c r="A287" i="12"/>
  <c r="A286" i="12"/>
  <c r="S286" i="12" s="1"/>
  <c r="S285" i="12"/>
  <c r="A285" i="12"/>
  <c r="A284" i="12"/>
  <c r="S284" i="12" s="1"/>
  <c r="S283" i="12"/>
  <c r="A283" i="12"/>
  <c r="A282" i="12"/>
  <c r="S282" i="12" s="1"/>
  <c r="A281" i="12"/>
  <c r="S281" i="12" s="1"/>
  <c r="A280" i="12"/>
  <c r="S280" i="12" s="1"/>
  <c r="S279" i="12"/>
  <c r="A279" i="12"/>
  <c r="A278" i="12"/>
  <c r="S278" i="12" s="1"/>
  <c r="S277" i="12"/>
  <c r="A277" i="12"/>
  <c r="A276" i="12"/>
  <c r="S276" i="12" s="1"/>
  <c r="S275" i="12"/>
  <c r="A275" i="12"/>
  <c r="A274" i="12"/>
  <c r="S274" i="12" s="1"/>
  <c r="S273" i="12"/>
  <c r="A273" i="12"/>
  <c r="S272" i="12"/>
  <c r="A272" i="12"/>
  <c r="S271" i="12"/>
  <c r="A271" i="12"/>
  <c r="A270" i="12"/>
  <c r="S270" i="12" s="1"/>
  <c r="S269" i="12"/>
  <c r="A269" i="12"/>
  <c r="A268" i="12"/>
  <c r="S268" i="12" s="1"/>
  <c r="S267" i="12"/>
  <c r="A267" i="12"/>
  <c r="S266" i="12"/>
  <c r="A266" i="12"/>
  <c r="S265" i="12"/>
  <c r="A265" i="12"/>
  <c r="A264" i="12"/>
  <c r="S264" i="12" s="1"/>
  <c r="A263" i="12"/>
  <c r="S263" i="12" s="1"/>
  <c r="A262" i="12"/>
  <c r="S262" i="12" s="1"/>
  <c r="S261" i="12"/>
  <c r="A261" i="12"/>
  <c r="A260" i="12"/>
  <c r="S260" i="12" s="1"/>
  <c r="S259" i="12"/>
  <c r="A259" i="12"/>
  <c r="A258" i="12"/>
  <c r="S258" i="12" s="1"/>
  <c r="A257" i="12"/>
  <c r="S257" i="12" s="1"/>
  <c r="A256" i="12"/>
  <c r="S256" i="12" s="1"/>
  <c r="S255" i="12"/>
  <c r="A255" i="12"/>
  <c r="S254" i="12"/>
  <c r="A254" i="12"/>
  <c r="Q253" i="12"/>
  <c r="P253" i="12"/>
  <c r="O253" i="12"/>
  <c r="N253" i="12"/>
  <c r="M253" i="12"/>
  <c r="K253" i="12"/>
  <c r="J253" i="12"/>
  <c r="I253" i="12"/>
  <c r="H253" i="12"/>
  <c r="G253" i="12"/>
  <c r="F253" i="12"/>
  <c r="E253" i="12"/>
  <c r="D253" i="12"/>
  <c r="C253" i="12"/>
  <c r="B253" i="12"/>
  <c r="R252" i="12"/>
  <c r="Q252" i="12"/>
  <c r="P252" i="12"/>
  <c r="O252" i="12"/>
  <c r="N252" i="12"/>
  <c r="M252" i="12"/>
  <c r="K252" i="12"/>
  <c r="J252" i="12"/>
  <c r="I252" i="12"/>
  <c r="H252" i="12"/>
  <c r="G252" i="12"/>
  <c r="F252" i="12"/>
  <c r="E252" i="12"/>
  <c r="D252" i="12"/>
  <c r="C252" i="12"/>
  <c r="B252" i="12"/>
  <c r="O251" i="12"/>
  <c r="M251" i="12"/>
  <c r="J251" i="12"/>
  <c r="I251" i="12"/>
  <c r="H251" i="12"/>
  <c r="G251" i="12"/>
  <c r="F251" i="12"/>
  <c r="E251" i="12"/>
  <c r="D251" i="12"/>
  <c r="C251" i="12"/>
  <c r="B251" i="12"/>
  <c r="P250" i="12"/>
  <c r="O250" i="12"/>
  <c r="N250" i="12"/>
  <c r="M250" i="12"/>
  <c r="J250" i="12"/>
  <c r="I250" i="12"/>
  <c r="H250" i="12"/>
  <c r="G250" i="12"/>
  <c r="F250" i="12"/>
  <c r="E250" i="12"/>
  <c r="D250" i="12"/>
  <c r="C250" i="12"/>
  <c r="B250" i="12"/>
  <c r="Q249" i="12"/>
  <c r="P249" i="12"/>
  <c r="O249" i="12"/>
  <c r="N249" i="12"/>
  <c r="M249" i="12"/>
  <c r="K249" i="12"/>
  <c r="J249" i="12"/>
  <c r="I249" i="12"/>
  <c r="H249" i="12"/>
  <c r="G249" i="12"/>
  <c r="F249" i="12"/>
  <c r="E249" i="12"/>
  <c r="D249" i="12"/>
  <c r="C249" i="12"/>
  <c r="B249" i="12"/>
  <c r="P248" i="12"/>
  <c r="O248" i="12"/>
  <c r="N248" i="12"/>
  <c r="M248" i="12"/>
  <c r="J248" i="12"/>
  <c r="I248" i="12"/>
  <c r="H248" i="12"/>
  <c r="G248" i="12"/>
  <c r="F248" i="12"/>
  <c r="E248" i="12"/>
  <c r="D248" i="12"/>
  <c r="C248" i="12"/>
  <c r="B248" i="12"/>
  <c r="P247" i="12"/>
  <c r="O247" i="12"/>
  <c r="N247" i="12"/>
  <c r="M247" i="12"/>
  <c r="J247" i="12"/>
  <c r="I247" i="12"/>
  <c r="H247" i="12"/>
  <c r="G247" i="12"/>
  <c r="F247" i="12"/>
  <c r="E247" i="12"/>
  <c r="D247" i="12"/>
  <c r="C247" i="12"/>
  <c r="B247" i="12"/>
  <c r="P246" i="12"/>
  <c r="O246" i="12"/>
  <c r="N246" i="12"/>
  <c r="M246" i="12"/>
  <c r="J246" i="12"/>
  <c r="I246" i="12"/>
  <c r="H246" i="12"/>
  <c r="G246" i="12"/>
  <c r="F246" i="12"/>
  <c r="E246" i="12"/>
  <c r="D246" i="12"/>
  <c r="C246" i="12"/>
  <c r="B246" i="12"/>
  <c r="O245" i="12"/>
  <c r="M245" i="12"/>
  <c r="J245" i="12"/>
  <c r="I245" i="12"/>
  <c r="H245" i="12"/>
  <c r="G245" i="12"/>
  <c r="F245" i="12"/>
  <c r="E245" i="12"/>
  <c r="D245" i="12"/>
  <c r="C245" i="12"/>
  <c r="B245" i="12"/>
  <c r="P244" i="12"/>
  <c r="O244" i="12"/>
  <c r="N244" i="12"/>
  <c r="M244" i="12"/>
  <c r="J244" i="12"/>
  <c r="I244" i="12"/>
  <c r="H244" i="12"/>
  <c r="G244" i="12"/>
  <c r="F244" i="12"/>
  <c r="E244" i="12"/>
  <c r="D244" i="12"/>
  <c r="C244" i="12"/>
  <c r="B244" i="12"/>
  <c r="Q243" i="12"/>
  <c r="O243" i="12"/>
  <c r="M243" i="12"/>
  <c r="K243" i="12"/>
  <c r="J243" i="12"/>
  <c r="I243" i="12"/>
  <c r="H243" i="12"/>
  <c r="G243" i="12"/>
  <c r="F243" i="12"/>
  <c r="E243" i="12"/>
  <c r="D243" i="12"/>
  <c r="C243" i="12"/>
  <c r="B243" i="12"/>
  <c r="R242" i="12"/>
  <c r="Q242" i="12"/>
  <c r="O242" i="12"/>
  <c r="M242" i="12"/>
  <c r="K242" i="12"/>
  <c r="J242" i="12"/>
  <c r="I242" i="12"/>
  <c r="H242" i="12"/>
  <c r="G242" i="12"/>
  <c r="F242" i="12"/>
  <c r="E242" i="12"/>
  <c r="D242" i="12"/>
  <c r="C242" i="12"/>
  <c r="B242" i="12"/>
  <c r="P241" i="12"/>
  <c r="O241" i="12"/>
  <c r="N241" i="12"/>
  <c r="M241" i="12"/>
  <c r="J241" i="12"/>
  <c r="I241" i="12"/>
  <c r="H241" i="12"/>
  <c r="G241" i="12"/>
  <c r="F241" i="12"/>
  <c r="E241" i="12"/>
  <c r="D241" i="12"/>
  <c r="C241" i="12"/>
  <c r="B241" i="12"/>
  <c r="O240" i="12"/>
  <c r="N240" i="12"/>
  <c r="M240" i="12"/>
  <c r="J240" i="12"/>
  <c r="I240" i="12"/>
  <c r="H240" i="12"/>
  <c r="G240" i="12"/>
  <c r="F240" i="12"/>
  <c r="E240" i="12"/>
  <c r="D240" i="12"/>
  <c r="C240" i="12"/>
  <c r="B240" i="12"/>
  <c r="P239" i="12"/>
  <c r="O239" i="12"/>
  <c r="N239" i="12"/>
  <c r="M239" i="12"/>
  <c r="J239" i="12"/>
  <c r="I239" i="12"/>
  <c r="H239" i="12"/>
  <c r="G239" i="12"/>
  <c r="F239" i="12"/>
  <c r="E239" i="12"/>
  <c r="D239" i="12"/>
  <c r="C239" i="12"/>
  <c r="B239" i="12"/>
  <c r="O238" i="12"/>
  <c r="M238" i="12"/>
  <c r="J238" i="12"/>
  <c r="I238" i="12"/>
  <c r="H238" i="12"/>
  <c r="G238" i="12"/>
  <c r="F238" i="12"/>
  <c r="E238" i="12"/>
  <c r="D238" i="12"/>
  <c r="C238" i="12"/>
  <c r="B238" i="12"/>
  <c r="O237" i="12"/>
  <c r="N237" i="12"/>
  <c r="M237" i="12"/>
  <c r="J237" i="12"/>
  <c r="I237" i="12"/>
  <c r="H237" i="12"/>
  <c r="G237" i="12"/>
  <c r="F237" i="12"/>
  <c r="E237" i="12"/>
  <c r="D237" i="12"/>
  <c r="C237" i="12"/>
  <c r="B237" i="12"/>
  <c r="P236" i="12"/>
  <c r="O236" i="12"/>
  <c r="N236" i="12"/>
  <c r="M236" i="12"/>
  <c r="J236" i="12"/>
  <c r="I236" i="12"/>
  <c r="H236" i="12"/>
  <c r="G236" i="12"/>
  <c r="F236" i="12"/>
  <c r="E236" i="12"/>
  <c r="D236" i="12"/>
  <c r="C236" i="12"/>
  <c r="B236" i="12"/>
  <c r="P235" i="12"/>
  <c r="O235" i="12"/>
  <c r="N235" i="12"/>
  <c r="M235" i="12"/>
  <c r="J235" i="12"/>
  <c r="I235" i="12"/>
  <c r="H235" i="12"/>
  <c r="G235" i="12"/>
  <c r="F235" i="12"/>
  <c r="E235" i="12"/>
  <c r="D235" i="12"/>
  <c r="C235" i="12"/>
  <c r="B235" i="12"/>
  <c r="P234" i="12"/>
  <c r="O234" i="12"/>
  <c r="N234" i="12"/>
  <c r="M234" i="12"/>
  <c r="J234" i="12"/>
  <c r="I234" i="12"/>
  <c r="H234" i="12"/>
  <c r="G234" i="12"/>
  <c r="F234" i="12"/>
  <c r="E234" i="12"/>
  <c r="D234" i="12"/>
  <c r="C234" i="12"/>
  <c r="B234" i="12"/>
  <c r="P233" i="12"/>
  <c r="O233" i="12"/>
  <c r="N233" i="12"/>
  <c r="M233" i="12"/>
  <c r="J233" i="12"/>
  <c r="I233" i="12"/>
  <c r="H233" i="12"/>
  <c r="G233" i="12"/>
  <c r="F233" i="12"/>
  <c r="E233" i="12"/>
  <c r="D233" i="12"/>
  <c r="C233" i="12"/>
  <c r="B233" i="12"/>
  <c r="P232" i="12"/>
  <c r="O232" i="12"/>
  <c r="N232" i="12"/>
  <c r="M232" i="12"/>
  <c r="J232" i="12"/>
  <c r="I232" i="12"/>
  <c r="H232" i="12"/>
  <c r="G232" i="12"/>
  <c r="F232" i="12"/>
  <c r="E232" i="12"/>
  <c r="D232" i="12"/>
  <c r="C232" i="12"/>
  <c r="B232" i="12"/>
  <c r="P231" i="12"/>
  <c r="O231" i="12"/>
  <c r="N231" i="12"/>
  <c r="M231" i="12"/>
  <c r="J231" i="12"/>
  <c r="I231" i="12"/>
  <c r="H231" i="12"/>
  <c r="G231" i="12"/>
  <c r="F231" i="12"/>
  <c r="E231" i="12"/>
  <c r="D231" i="12"/>
  <c r="C231" i="12"/>
  <c r="B231" i="12"/>
  <c r="P230" i="12"/>
  <c r="O230" i="12"/>
  <c r="N230" i="12"/>
  <c r="M230" i="12"/>
  <c r="J230" i="12"/>
  <c r="I230" i="12"/>
  <c r="H230" i="12"/>
  <c r="G230" i="12"/>
  <c r="F230" i="12"/>
  <c r="E230" i="12"/>
  <c r="D230" i="12"/>
  <c r="C230" i="12"/>
  <c r="B230" i="12"/>
  <c r="O229" i="12"/>
  <c r="N229" i="12"/>
  <c r="M229" i="12"/>
  <c r="J229" i="12"/>
  <c r="I229" i="12"/>
  <c r="H229" i="12"/>
  <c r="G229" i="12"/>
  <c r="F229" i="12"/>
  <c r="E229" i="12"/>
  <c r="D229" i="12"/>
  <c r="C229" i="12"/>
  <c r="B229" i="12"/>
  <c r="P228" i="12"/>
  <c r="O228" i="12"/>
  <c r="N228" i="12"/>
  <c r="M228" i="12"/>
  <c r="J228" i="12"/>
  <c r="I228" i="12"/>
  <c r="H228" i="12"/>
  <c r="G228" i="12"/>
  <c r="F228" i="12"/>
  <c r="E228" i="12"/>
  <c r="D228" i="12"/>
  <c r="C228" i="12"/>
  <c r="B228" i="12"/>
  <c r="P227" i="12"/>
  <c r="O227" i="12"/>
  <c r="N227" i="12"/>
  <c r="M227" i="12"/>
  <c r="J227" i="12"/>
  <c r="I227" i="12"/>
  <c r="H227" i="12"/>
  <c r="G227" i="12"/>
  <c r="F227" i="12"/>
  <c r="E227" i="12"/>
  <c r="D227" i="12"/>
  <c r="C227" i="12"/>
  <c r="B227" i="12"/>
  <c r="Q226" i="12"/>
  <c r="P226" i="12"/>
  <c r="O226" i="12"/>
  <c r="N226" i="12"/>
  <c r="M226" i="12"/>
  <c r="K226" i="12"/>
  <c r="J226" i="12"/>
  <c r="I226" i="12"/>
  <c r="H226" i="12"/>
  <c r="G226" i="12"/>
  <c r="F226" i="12"/>
  <c r="E226" i="12"/>
  <c r="D226" i="12"/>
  <c r="C226" i="12"/>
  <c r="B226" i="12"/>
  <c r="R225" i="12"/>
  <c r="Q225" i="12"/>
  <c r="O225" i="12"/>
  <c r="M225" i="12"/>
  <c r="K225" i="12"/>
  <c r="J225" i="12"/>
  <c r="I225" i="12"/>
  <c r="H225" i="12"/>
  <c r="G225" i="12"/>
  <c r="F225" i="12"/>
  <c r="E225" i="12"/>
  <c r="D225" i="12"/>
  <c r="C225" i="12"/>
  <c r="B225" i="12"/>
  <c r="P224" i="12"/>
  <c r="O224" i="12"/>
  <c r="N224" i="12"/>
  <c r="M224" i="12"/>
  <c r="J224" i="12"/>
  <c r="I224" i="12"/>
  <c r="H224" i="12"/>
  <c r="G224" i="12"/>
  <c r="F224" i="12"/>
  <c r="E224" i="12"/>
  <c r="D224" i="12"/>
  <c r="C224" i="12"/>
  <c r="B224" i="12"/>
  <c r="P223" i="12"/>
  <c r="O223" i="12"/>
  <c r="N223" i="12"/>
  <c r="M223" i="12"/>
  <c r="J223" i="12"/>
  <c r="I223" i="12"/>
  <c r="H223" i="12"/>
  <c r="G223" i="12"/>
  <c r="F223" i="12"/>
  <c r="E223" i="12"/>
  <c r="D223" i="12"/>
  <c r="C223" i="12"/>
  <c r="B223" i="12"/>
  <c r="P222" i="12"/>
  <c r="O222" i="12"/>
  <c r="M222" i="12"/>
  <c r="J222" i="12"/>
  <c r="I222" i="12"/>
  <c r="H222" i="12"/>
  <c r="G222" i="12"/>
  <c r="F222" i="12"/>
  <c r="E222" i="12"/>
  <c r="D222" i="12"/>
  <c r="C222" i="12"/>
  <c r="B222" i="12"/>
  <c r="P221" i="12"/>
  <c r="O221" i="12"/>
  <c r="N221" i="12"/>
  <c r="M221" i="12"/>
  <c r="J221" i="12"/>
  <c r="I221" i="12"/>
  <c r="H221" i="12"/>
  <c r="G221" i="12"/>
  <c r="F221" i="12"/>
  <c r="E221" i="12"/>
  <c r="D221" i="12"/>
  <c r="C221" i="12"/>
  <c r="B221" i="12"/>
  <c r="P220" i="12"/>
  <c r="O220" i="12"/>
  <c r="N220" i="12"/>
  <c r="M220" i="12"/>
  <c r="J220" i="12"/>
  <c r="I220" i="12"/>
  <c r="H220" i="12"/>
  <c r="G220" i="12"/>
  <c r="F220" i="12"/>
  <c r="E220" i="12"/>
  <c r="D220" i="12"/>
  <c r="C220" i="12"/>
  <c r="B220" i="12"/>
  <c r="O219" i="12"/>
  <c r="M219" i="12"/>
  <c r="J219" i="12"/>
  <c r="I219" i="12"/>
  <c r="H219" i="12"/>
  <c r="G219" i="12"/>
  <c r="F219" i="12"/>
  <c r="E219" i="12"/>
  <c r="D219" i="12"/>
  <c r="C219" i="12"/>
  <c r="B219" i="12"/>
  <c r="P218" i="12"/>
  <c r="O218" i="12"/>
  <c r="N218" i="12"/>
  <c r="M218" i="12"/>
  <c r="J218" i="12"/>
  <c r="I218" i="12"/>
  <c r="H218" i="12"/>
  <c r="G218" i="12"/>
  <c r="F218" i="12"/>
  <c r="E218" i="12"/>
  <c r="D218" i="12"/>
  <c r="C218" i="12"/>
  <c r="B218" i="12"/>
  <c r="P217" i="12"/>
  <c r="O217" i="12"/>
  <c r="N217" i="12"/>
  <c r="M217" i="12"/>
  <c r="J217" i="12"/>
  <c r="I217" i="12"/>
  <c r="H217" i="12"/>
  <c r="G217" i="12"/>
  <c r="F217" i="12"/>
  <c r="E217" i="12"/>
  <c r="D217" i="12"/>
  <c r="C217" i="12"/>
  <c r="B217" i="12"/>
  <c r="O216" i="12"/>
  <c r="M216" i="12"/>
  <c r="J216" i="12"/>
  <c r="I216" i="12"/>
  <c r="H216" i="12"/>
  <c r="G216" i="12"/>
  <c r="F216" i="12"/>
  <c r="E216" i="12"/>
  <c r="D216" i="12"/>
  <c r="C216" i="12"/>
  <c r="B216" i="12"/>
  <c r="P215" i="12"/>
  <c r="O215" i="12"/>
  <c r="N215" i="12"/>
  <c r="M215" i="12"/>
  <c r="J215" i="12"/>
  <c r="I215" i="12"/>
  <c r="H215" i="12"/>
  <c r="G215" i="12"/>
  <c r="F215" i="12"/>
  <c r="E215" i="12"/>
  <c r="D215" i="12"/>
  <c r="C215" i="12"/>
  <c r="B215" i="12"/>
  <c r="O214" i="12"/>
  <c r="N214" i="12"/>
  <c r="M214" i="12"/>
  <c r="J214" i="12"/>
  <c r="I214" i="12"/>
  <c r="H214" i="12"/>
  <c r="G214" i="12"/>
  <c r="F214" i="12"/>
  <c r="E214" i="12"/>
  <c r="D214" i="12"/>
  <c r="C214" i="12"/>
  <c r="B214" i="12"/>
  <c r="Q213" i="12"/>
  <c r="P213" i="12"/>
  <c r="O213" i="12"/>
  <c r="M213" i="12"/>
  <c r="K213" i="12"/>
  <c r="J213" i="12"/>
  <c r="I213" i="12"/>
  <c r="H213" i="12"/>
  <c r="G213" i="12"/>
  <c r="F213" i="12"/>
  <c r="E213" i="12"/>
  <c r="D213" i="12"/>
  <c r="C213" i="12"/>
  <c r="B213" i="12"/>
  <c r="O212" i="12"/>
  <c r="M212" i="12"/>
  <c r="J212" i="12"/>
  <c r="I212" i="12"/>
  <c r="H212" i="12"/>
  <c r="G212" i="12"/>
  <c r="F212" i="12"/>
  <c r="E212" i="12"/>
  <c r="D212" i="12"/>
  <c r="C212" i="12"/>
  <c r="B212" i="12"/>
  <c r="P211" i="12"/>
  <c r="O211" i="12"/>
  <c r="N211" i="12"/>
  <c r="M211" i="12"/>
  <c r="J211" i="12"/>
  <c r="I211" i="12"/>
  <c r="H211" i="12"/>
  <c r="G211" i="12"/>
  <c r="F211" i="12"/>
  <c r="E211" i="12"/>
  <c r="D211" i="12"/>
  <c r="C211" i="12"/>
  <c r="B211" i="12"/>
  <c r="O210" i="12"/>
  <c r="M210" i="12"/>
  <c r="J210" i="12"/>
  <c r="I210" i="12"/>
  <c r="H210" i="12"/>
  <c r="G210" i="12"/>
  <c r="F210" i="12"/>
  <c r="E210" i="12"/>
  <c r="D210" i="12"/>
  <c r="C210" i="12"/>
  <c r="B210" i="12"/>
  <c r="P209" i="12"/>
  <c r="O209" i="12"/>
  <c r="N209" i="12"/>
  <c r="M209" i="12"/>
  <c r="J209" i="12"/>
  <c r="I209" i="12"/>
  <c r="H209" i="12"/>
  <c r="G209" i="12"/>
  <c r="F209" i="12"/>
  <c r="E209" i="12"/>
  <c r="D209" i="12"/>
  <c r="C209" i="12"/>
  <c r="B209" i="12"/>
  <c r="Q208" i="12"/>
  <c r="P208" i="12"/>
  <c r="O208" i="12"/>
  <c r="N208" i="12"/>
  <c r="M208" i="12"/>
  <c r="K208" i="12"/>
  <c r="J208" i="12"/>
  <c r="I208" i="12"/>
  <c r="H208" i="12"/>
  <c r="G208" i="12"/>
  <c r="F208" i="12"/>
  <c r="E208" i="12"/>
  <c r="D208" i="12"/>
  <c r="C208" i="12"/>
  <c r="B208" i="12"/>
  <c r="Q207" i="12"/>
  <c r="P207" i="12"/>
  <c r="O207" i="12"/>
  <c r="N207" i="12"/>
  <c r="M207" i="12"/>
  <c r="K207" i="12"/>
  <c r="J207" i="12"/>
  <c r="I207" i="12"/>
  <c r="H207" i="12"/>
  <c r="G207" i="12"/>
  <c r="F207" i="12"/>
  <c r="E207" i="12"/>
  <c r="D207" i="12"/>
  <c r="C207" i="12"/>
  <c r="B207" i="12"/>
  <c r="P206" i="12"/>
  <c r="O206" i="12"/>
  <c r="M206" i="12"/>
  <c r="J206" i="12"/>
  <c r="I206" i="12"/>
  <c r="H206" i="12"/>
  <c r="G206" i="12"/>
  <c r="F206" i="12"/>
  <c r="E206" i="12"/>
  <c r="D206" i="12"/>
  <c r="C206" i="12"/>
  <c r="B206" i="12"/>
  <c r="O205" i="12"/>
  <c r="N205" i="12"/>
  <c r="M205" i="12"/>
  <c r="J205" i="12"/>
  <c r="I205" i="12"/>
  <c r="H205" i="12"/>
  <c r="G205" i="12"/>
  <c r="F205" i="12"/>
  <c r="E205" i="12"/>
  <c r="D205" i="12"/>
  <c r="C205" i="12"/>
  <c r="B205" i="12"/>
  <c r="Q204" i="12"/>
  <c r="P204" i="12"/>
  <c r="O204" i="12"/>
  <c r="N204" i="12"/>
  <c r="M204" i="12"/>
  <c r="K204" i="12"/>
  <c r="J204" i="12"/>
  <c r="I204" i="12"/>
  <c r="H204" i="12"/>
  <c r="G204" i="12"/>
  <c r="F204" i="12"/>
  <c r="E204" i="12"/>
  <c r="D204" i="12"/>
  <c r="C204" i="12"/>
  <c r="B204" i="12"/>
  <c r="O203" i="12"/>
  <c r="N203" i="12"/>
  <c r="M203" i="12"/>
  <c r="L203" i="12"/>
  <c r="K203" i="12"/>
  <c r="J203" i="12"/>
  <c r="I203" i="12"/>
  <c r="H203" i="12"/>
  <c r="G203" i="12"/>
  <c r="F203" i="12"/>
  <c r="E203" i="12"/>
  <c r="D203" i="12"/>
  <c r="C203" i="12"/>
  <c r="B203" i="12"/>
  <c r="P202" i="12"/>
  <c r="O202" i="12"/>
  <c r="N202" i="12"/>
  <c r="M202" i="12"/>
  <c r="J202" i="12"/>
  <c r="I202" i="12"/>
  <c r="H202" i="12"/>
  <c r="G202" i="12"/>
  <c r="F202" i="12"/>
  <c r="E202" i="12"/>
  <c r="D202" i="12"/>
  <c r="C202" i="12"/>
  <c r="B202" i="12"/>
  <c r="O201" i="12"/>
  <c r="M201" i="12"/>
  <c r="J201" i="12"/>
  <c r="I201" i="12"/>
  <c r="H201" i="12"/>
  <c r="G201" i="12"/>
  <c r="F201" i="12"/>
  <c r="E201" i="12"/>
  <c r="D201" i="12"/>
  <c r="C201" i="12"/>
  <c r="B201" i="12"/>
  <c r="P200" i="12"/>
  <c r="O200" i="12"/>
  <c r="N200" i="12"/>
  <c r="M200" i="12"/>
  <c r="J200" i="12"/>
  <c r="I200" i="12"/>
  <c r="H200" i="12"/>
  <c r="G200" i="12"/>
  <c r="F200" i="12"/>
  <c r="E200" i="12"/>
  <c r="D200" i="12"/>
  <c r="C200" i="12"/>
  <c r="B200" i="12"/>
  <c r="P199" i="12"/>
  <c r="O199" i="12"/>
  <c r="N199" i="12"/>
  <c r="M199" i="12"/>
  <c r="J199" i="12"/>
  <c r="I199" i="12"/>
  <c r="H199" i="12"/>
  <c r="G199" i="12"/>
  <c r="F199" i="12"/>
  <c r="E199" i="12"/>
  <c r="D199" i="12"/>
  <c r="C199" i="12"/>
  <c r="B199" i="12"/>
  <c r="Q198" i="12"/>
  <c r="O198" i="12"/>
  <c r="N198" i="12"/>
  <c r="M198" i="12"/>
  <c r="K198" i="12"/>
  <c r="J198" i="12"/>
  <c r="I198" i="12"/>
  <c r="H198" i="12"/>
  <c r="G198" i="12"/>
  <c r="F198" i="12"/>
  <c r="E198" i="12"/>
  <c r="D198" i="12"/>
  <c r="C198" i="12"/>
  <c r="B198" i="12"/>
  <c r="O197" i="12"/>
  <c r="N197" i="12"/>
  <c r="M197" i="12"/>
  <c r="J197" i="12"/>
  <c r="I197" i="12"/>
  <c r="H197" i="12"/>
  <c r="G197" i="12"/>
  <c r="F197" i="12"/>
  <c r="E197" i="12"/>
  <c r="D197" i="12"/>
  <c r="C197" i="12"/>
  <c r="B197" i="12"/>
  <c r="P196" i="12"/>
  <c r="O196" i="12"/>
  <c r="N196" i="12"/>
  <c r="M196" i="12"/>
  <c r="J196" i="12"/>
  <c r="I196" i="12"/>
  <c r="H196" i="12"/>
  <c r="G196" i="12"/>
  <c r="F196" i="12"/>
  <c r="E196" i="12"/>
  <c r="D196" i="12"/>
  <c r="C196" i="12"/>
  <c r="B196" i="12"/>
  <c r="P195" i="12"/>
  <c r="O195" i="12"/>
  <c r="N195" i="12"/>
  <c r="M195" i="12"/>
  <c r="J195" i="12"/>
  <c r="I195" i="12"/>
  <c r="H195" i="12"/>
  <c r="G195" i="12"/>
  <c r="F195" i="12"/>
  <c r="E195" i="12"/>
  <c r="D195" i="12"/>
  <c r="C195" i="12"/>
  <c r="B195" i="12"/>
  <c r="O194" i="12"/>
  <c r="N194" i="12"/>
  <c r="M194" i="12"/>
  <c r="J194" i="12"/>
  <c r="I194" i="12"/>
  <c r="H194" i="12"/>
  <c r="G194" i="12"/>
  <c r="F194" i="12"/>
  <c r="E194" i="12"/>
  <c r="D194" i="12"/>
  <c r="C194" i="12"/>
  <c r="B194" i="12"/>
  <c r="O193" i="12"/>
  <c r="N193" i="12"/>
  <c r="M193" i="12"/>
  <c r="J193" i="12"/>
  <c r="I193" i="12"/>
  <c r="H193" i="12"/>
  <c r="G193" i="12"/>
  <c r="F193" i="12"/>
  <c r="E193" i="12"/>
  <c r="D193" i="12"/>
  <c r="C193" i="12"/>
  <c r="B193" i="12"/>
  <c r="P192" i="12"/>
  <c r="O192" i="12"/>
  <c r="N192" i="12"/>
  <c r="M192" i="12"/>
  <c r="J192" i="12"/>
  <c r="I192" i="12"/>
  <c r="H192" i="12"/>
  <c r="G192" i="12"/>
  <c r="F192" i="12"/>
  <c r="E192" i="12"/>
  <c r="D192" i="12"/>
  <c r="C192" i="12"/>
  <c r="B192" i="12"/>
  <c r="P191" i="12"/>
  <c r="O191" i="12"/>
  <c r="N191" i="12"/>
  <c r="M191" i="12"/>
  <c r="J191" i="12"/>
  <c r="I191" i="12"/>
  <c r="H191" i="12"/>
  <c r="G191" i="12"/>
  <c r="F191" i="12"/>
  <c r="E191" i="12"/>
  <c r="D191" i="12"/>
  <c r="C191" i="12"/>
  <c r="B191" i="12"/>
  <c r="P190" i="12"/>
  <c r="O190" i="12"/>
  <c r="N190" i="12"/>
  <c r="M190" i="12"/>
  <c r="J190" i="12"/>
  <c r="I190" i="12"/>
  <c r="H190" i="12"/>
  <c r="G190" i="12"/>
  <c r="F190" i="12"/>
  <c r="E190" i="12"/>
  <c r="D190" i="12"/>
  <c r="C190" i="12"/>
  <c r="B190" i="12"/>
  <c r="O189" i="12"/>
  <c r="M189" i="12"/>
  <c r="J189" i="12"/>
  <c r="I189" i="12"/>
  <c r="H189" i="12"/>
  <c r="G189" i="12"/>
  <c r="F189" i="12"/>
  <c r="E189" i="12"/>
  <c r="D189" i="12"/>
  <c r="C189" i="12"/>
  <c r="B189" i="12"/>
  <c r="O188" i="12"/>
  <c r="M188" i="12"/>
  <c r="J188" i="12"/>
  <c r="I188" i="12"/>
  <c r="H188" i="12"/>
  <c r="G188" i="12"/>
  <c r="F188" i="12"/>
  <c r="E188" i="12"/>
  <c r="D188" i="12"/>
  <c r="C188" i="12"/>
  <c r="B188" i="12"/>
  <c r="P187" i="12"/>
  <c r="O187" i="12"/>
  <c r="N187" i="12"/>
  <c r="M187" i="12"/>
  <c r="J187" i="12"/>
  <c r="I187" i="12"/>
  <c r="H187" i="12"/>
  <c r="G187" i="12"/>
  <c r="F187" i="12"/>
  <c r="E187" i="12"/>
  <c r="D187" i="12"/>
  <c r="C187" i="12"/>
  <c r="B187" i="12"/>
  <c r="O186" i="12"/>
  <c r="M186" i="12"/>
  <c r="J186" i="12"/>
  <c r="I186" i="12"/>
  <c r="H186" i="12"/>
  <c r="G186" i="12"/>
  <c r="F186" i="12"/>
  <c r="E186" i="12"/>
  <c r="D186" i="12"/>
  <c r="C186" i="12"/>
  <c r="B186" i="12"/>
  <c r="O185" i="12"/>
  <c r="N185" i="12"/>
  <c r="M185" i="12"/>
  <c r="J185" i="12"/>
  <c r="I185" i="12"/>
  <c r="H185" i="12"/>
  <c r="G185" i="12"/>
  <c r="F185" i="12"/>
  <c r="E185" i="12"/>
  <c r="D185" i="12"/>
  <c r="C185" i="12"/>
  <c r="B185" i="12"/>
  <c r="Q184" i="12"/>
  <c r="P184" i="12"/>
  <c r="O184" i="12"/>
  <c r="M184" i="12"/>
  <c r="K184" i="12"/>
  <c r="J184" i="12"/>
  <c r="I184" i="12"/>
  <c r="H184" i="12"/>
  <c r="G184" i="12"/>
  <c r="F184" i="12"/>
  <c r="E184" i="12"/>
  <c r="D184" i="12"/>
  <c r="C184" i="12"/>
  <c r="B184" i="12"/>
  <c r="O183" i="12"/>
  <c r="M183" i="12"/>
  <c r="J183" i="12"/>
  <c r="I183" i="12"/>
  <c r="H183" i="12"/>
  <c r="G183" i="12"/>
  <c r="F183" i="12"/>
  <c r="E183" i="12"/>
  <c r="D183" i="12"/>
  <c r="C183" i="12"/>
  <c r="B183" i="12"/>
  <c r="P182" i="12"/>
  <c r="O182" i="12"/>
  <c r="N182" i="12"/>
  <c r="M182" i="12"/>
  <c r="J182" i="12"/>
  <c r="I182" i="12"/>
  <c r="H182" i="12"/>
  <c r="G182" i="12"/>
  <c r="F182" i="12"/>
  <c r="E182" i="12"/>
  <c r="D182" i="12"/>
  <c r="C182" i="12"/>
  <c r="B182" i="12"/>
  <c r="P181" i="12"/>
  <c r="O181" i="12"/>
  <c r="N181" i="12"/>
  <c r="M181" i="12"/>
  <c r="J181" i="12"/>
  <c r="I181" i="12"/>
  <c r="H181" i="12"/>
  <c r="G181" i="12"/>
  <c r="F181" i="12"/>
  <c r="E181" i="12"/>
  <c r="D181" i="12"/>
  <c r="C181" i="12"/>
  <c r="B181" i="12"/>
  <c r="O180" i="12"/>
  <c r="N180" i="12"/>
  <c r="M180" i="12"/>
  <c r="J180" i="12"/>
  <c r="I180" i="12"/>
  <c r="H180" i="12"/>
  <c r="G180" i="12"/>
  <c r="F180" i="12"/>
  <c r="E180" i="12"/>
  <c r="D180" i="12"/>
  <c r="C180" i="12"/>
  <c r="B180" i="12"/>
  <c r="P179" i="12"/>
  <c r="O179" i="12"/>
  <c r="N179" i="12"/>
  <c r="M179" i="12"/>
  <c r="J179" i="12"/>
  <c r="I179" i="12"/>
  <c r="H179" i="12"/>
  <c r="G179" i="12"/>
  <c r="F179" i="12"/>
  <c r="E179" i="12"/>
  <c r="D179" i="12"/>
  <c r="C179" i="12"/>
  <c r="B179" i="12"/>
  <c r="O178" i="12"/>
  <c r="M178" i="12"/>
  <c r="J178" i="12"/>
  <c r="I178" i="12"/>
  <c r="H178" i="12"/>
  <c r="G178" i="12"/>
  <c r="F178" i="12"/>
  <c r="E178" i="12"/>
  <c r="D178" i="12"/>
  <c r="C178" i="12"/>
  <c r="B178" i="12"/>
  <c r="O177" i="12"/>
  <c r="M177" i="12"/>
  <c r="J177" i="12"/>
  <c r="I177" i="12"/>
  <c r="H177" i="12"/>
  <c r="G177" i="12"/>
  <c r="F177" i="12"/>
  <c r="E177" i="12"/>
  <c r="D177" i="12"/>
  <c r="C177" i="12"/>
  <c r="B177" i="12"/>
  <c r="P176" i="12"/>
  <c r="O176" i="12"/>
  <c r="N176" i="12"/>
  <c r="M176" i="12"/>
  <c r="J176" i="12"/>
  <c r="I176" i="12"/>
  <c r="H176" i="12"/>
  <c r="G176" i="12"/>
  <c r="F176" i="12"/>
  <c r="E176" i="12"/>
  <c r="D176" i="12"/>
  <c r="C176" i="12"/>
  <c r="B176" i="12"/>
  <c r="P175" i="12"/>
  <c r="O175" i="12"/>
  <c r="N175" i="12"/>
  <c r="M175" i="12"/>
  <c r="J175" i="12"/>
  <c r="I175" i="12"/>
  <c r="H175" i="12"/>
  <c r="G175" i="12"/>
  <c r="F175" i="12"/>
  <c r="E175" i="12"/>
  <c r="D175" i="12"/>
  <c r="C175" i="12"/>
  <c r="B175" i="12"/>
  <c r="Q174" i="12"/>
  <c r="P174" i="12"/>
  <c r="O174" i="12"/>
  <c r="N174" i="12"/>
  <c r="M174" i="12"/>
  <c r="K174" i="12"/>
  <c r="J174" i="12"/>
  <c r="I174" i="12"/>
  <c r="H174" i="12"/>
  <c r="G174" i="12"/>
  <c r="F174" i="12"/>
  <c r="E174" i="12"/>
  <c r="D174" i="12"/>
  <c r="C174" i="12"/>
  <c r="B174" i="12"/>
  <c r="P173" i="12"/>
  <c r="O173" i="12"/>
  <c r="N173" i="12"/>
  <c r="M173" i="12"/>
  <c r="J173" i="12"/>
  <c r="I173" i="12"/>
  <c r="H173" i="12"/>
  <c r="G173" i="12"/>
  <c r="F173" i="12"/>
  <c r="E173" i="12"/>
  <c r="D173" i="12"/>
  <c r="C173" i="12"/>
  <c r="B173" i="12"/>
  <c r="Q172" i="12"/>
  <c r="P172" i="12"/>
  <c r="O172" i="12"/>
  <c r="N172" i="12"/>
  <c r="M172" i="12"/>
  <c r="K172" i="12"/>
  <c r="J172" i="12"/>
  <c r="I172" i="12"/>
  <c r="H172" i="12"/>
  <c r="G172" i="12"/>
  <c r="F172" i="12"/>
  <c r="E172" i="12"/>
  <c r="D172" i="12"/>
  <c r="C172" i="12"/>
  <c r="B172" i="12"/>
  <c r="O171" i="12"/>
  <c r="N171" i="12"/>
  <c r="M171" i="12"/>
  <c r="J171" i="12"/>
  <c r="I171" i="12"/>
  <c r="H171" i="12"/>
  <c r="G171" i="12"/>
  <c r="F171" i="12"/>
  <c r="E171" i="12"/>
  <c r="D171" i="12"/>
  <c r="C171" i="12"/>
  <c r="B171" i="12"/>
  <c r="P170" i="12"/>
  <c r="O170" i="12"/>
  <c r="N170" i="12"/>
  <c r="M170" i="12"/>
  <c r="J170" i="12"/>
  <c r="I170" i="12"/>
  <c r="H170" i="12"/>
  <c r="G170" i="12"/>
  <c r="F170" i="12"/>
  <c r="E170" i="12"/>
  <c r="D170" i="12"/>
  <c r="C170" i="12"/>
  <c r="B170" i="12"/>
  <c r="O169" i="12"/>
  <c r="M169" i="12"/>
  <c r="J169" i="12"/>
  <c r="I169" i="12"/>
  <c r="H169" i="12"/>
  <c r="G169" i="12"/>
  <c r="F169" i="12"/>
  <c r="E169" i="12"/>
  <c r="D169" i="12"/>
  <c r="C169" i="12"/>
  <c r="B169" i="12"/>
  <c r="P168" i="12"/>
  <c r="O168" i="12"/>
  <c r="N168" i="12"/>
  <c r="M168" i="12"/>
  <c r="J168" i="12"/>
  <c r="I168" i="12"/>
  <c r="H168" i="12"/>
  <c r="G168" i="12"/>
  <c r="F168" i="12"/>
  <c r="E168" i="12"/>
  <c r="D168" i="12"/>
  <c r="C168" i="12"/>
  <c r="B168" i="12"/>
  <c r="Q167" i="12"/>
  <c r="P167" i="12"/>
  <c r="O167" i="12"/>
  <c r="N167" i="12"/>
  <c r="M167" i="12"/>
  <c r="K167" i="12"/>
  <c r="J167" i="12"/>
  <c r="I167" i="12"/>
  <c r="H167" i="12"/>
  <c r="G167" i="12"/>
  <c r="F167" i="12"/>
  <c r="E167" i="12"/>
  <c r="D167" i="12"/>
  <c r="C167" i="12"/>
  <c r="B167" i="12"/>
  <c r="P166" i="12"/>
  <c r="O166" i="12"/>
  <c r="N166" i="12"/>
  <c r="M166" i="12"/>
  <c r="J166" i="12"/>
  <c r="I166" i="12"/>
  <c r="H166" i="12"/>
  <c r="G166" i="12"/>
  <c r="F166" i="12"/>
  <c r="E166" i="12"/>
  <c r="D166" i="12"/>
  <c r="C166" i="12"/>
  <c r="B166" i="12"/>
  <c r="P165" i="12"/>
  <c r="O165" i="12"/>
  <c r="N165" i="12"/>
  <c r="M165" i="12"/>
  <c r="J165" i="12"/>
  <c r="I165" i="12"/>
  <c r="H165" i="12"/>
  <c r="G165" i="12"/>
  <c r="F165" i="12"/>
  <c r="E165" i="12"/>
  <c r="D165" i="12"/>
  <c r="C165" i="12"/>
  <c r="B165" i="12"/>
  <c r="O164" i="12"/>
  <c r="M164" i="12"/>
  <c r="J164" i="12"/>
  <c r="I164" i="12"/>
  <c r="H164" i="12"/>
  <c r="G164" i="12"/>
  <c r="F164" i="12"/>
  <c r="E164" i="12"/>
  <c r="D164" i="12"/>
  <c r="C164" i="12"/>
  <c r="B164" i="12"/>
  <c r="Q163" i="12"/>
  <c r="P163" i="12"/>
  <c r="O163" i="12"/>
  <c r="N163" i="12"/>
  <c r="M163" i="12"/>
  <c r="K163" i="12"/>
  <c r="J163" i="12"/>
  <c r="I163" i="12"/>
  <c r="H163" i="12"/>
  <c r="G163" i="12"/>
  <c r="F163" i="12"/>
  <c r="E163" i="12"/>
  <c r="D163" i="12"/>
  <c r="C163" i="12"/>
  <c r="B163" i="12"/>
  <c r="P162" i="12"/>
  <c r="O162" i="12"/>
  <c r="N162" i="12"/>
  <c r="M162" i="12"/>
  <c r="J162" i="12"/>
  <c r="I162" i="12"/>
  <c r="H162" i="12"/>
  <c r="G162" i="12"/>
  <c r="F162" i="12"/>
  <c r="E162" i="12"/>
  <c r="D162" i="12"/>
  <c r="C162" i="12"/>
  <c r="B162" i="12"/>
  <c r="O161" i="12"/>
  <c r="M161" i="12"/>
  <c r="J161" i="12"/>
  <c r="I161" i="12"/>
  <c r="H161" i="12"/>
  <c r="G161" i="12"/>
  <c r="F161" i="12"/>
  <c r="E161" i="12"/>
  <c r="D161" i="12"/>
  <c r="C161" i="12"/>
  <c r="B161" i="12"/>
  <c r="Q160" i="12"/>
  <c r="O160" i="12"/>
  <c r="N160" i="12"/>
  <c r="M160" i="12"/>
  <c r="K160" i="12"/>
  <c r="J160" i="12"/>
  <c r="I160" i="12"/>
  <c r="H160" i="12"/>
  <c r="G160" i="12"/>
  <c r="F160" i="12"/>
  <c r="E160" i="12"/>
  <c r="D160" i="12"/>
  <c r="C160" i="12"/>
  <c r="B160" i="12"/>
  <c r="O159" i="12"/>
  <c r="M159" i="12"/>
  <c r="J159" i="12"/>
  <c r="I159" i="12"/>
  <c r="H159" i="12"/>
  <c r="F159" i="12"/>
  <c r="E159" i="12"/>
  <c r="D159" i="12"/>
  <c r="C159" i="12"/>
  <c r="B159" i="12"/>
  <c r="Q158" i="12"/>
  <c r="P158" i="12"/>
  <c r="O158" i="12"/>
  <c r="N158" i="12"/>
  <c r="M158" i="12"/>
  <c r="K158" i="12"/>
  <c r="J158" i="12"/>
  <c r="I158" i="12"/>
  <c r="H158" i="12"/>
  <c r="F158" i="12"/>
  <c r="E158" i="12"/>
  <c r="D158" i="12"/>
  <c r="C158" i="12"/>
  <c r="B158" i="12"/>
  <c r="Q157" i="12"/>
  <c r="O157" i="12"/>
  <c r="N157" i="12"/>
  <c r="M157" i="12"/>
  <c r="K157" i="12"/>
  <c r="J157" i="12"/>
  <c r="I157" i="12"/>
  <c r="H157" i="12"/>
  <c r="F157" i="12"/>
  <c r="E157" i="12"/>
  <c r="D157" i="12"/>
  <c r="C157" i="12"/>
  <c r="B157" i="12"/>
  <c r="Q156" i="12"/>
  <c r="P156" i="12"/>
  <c r="O156" i="12"/>
  <c r="N156" i="12"/>
  <c r="M156" i="12"/>
  <c r="K156" i="12"/>
  <c r="J156" i="12"/>
  <c r="I156" i="12"/>
  <c r="H156" i="12"/>
  <c r="F156" i="12"/>
  <c r="E156" i="12"/>
  <c r="D156" i="12"/>
  <c r="C156" i="12"/>
  <c r="B156" i="12"/>
  <c r="Q155" i="12"/>
  <c r="O155" i="12"/>
  <c r="M155" i="12"/>
  <c r="K155" i="12"/>
  <c r="J155" i="12"/>
  <c r="I155" i="12"/>
  <c r="H155" i="12"/>
  <c r="F155" i="12"/>
  <c r="E155" i="12"/>
  <c r="D155" i="12"/>
  <c r="C155" i="12"/>
  <c r="B155" i="12"/>
  <c r="Q154" i="12"/>
  <c r="P154" i="12"/>
  <c r="O154" i="12"/>
  <c r="N154" i="12"/>
  <c r="M154" i="12"/>
  <c r="K154" i="12"/>
  <c r="J154" i="12"/>
  <c r="I154" i="12"/>
  <c r="H154" i="12"/>
  <c r="F154" i="12"/>
  <c r="E154" i="12"/>
  <c r="D154" i="12"/>
  <c r="C154" i="12"/>
  <c r="B154" i="12"/>
  <c r="P153" i="12"/>
  <c r="O153" i="12"/>
  <c r="N153" i="12"/>
  <c r="M153" i="12"/>
  <c r="J153" i="12"/>
  <c r="I153" i="12"/>
  <c r="H153" i="12"/>
  <c r="F153" i="12"/>
  <c r="E153" i="12"/>
  <c r="D153" i="12"/>
  <c r="C153" i="12"/>
  <c r="B153" i="12"/>
  <c r="P152" i="12"/>
  <c r="O152" i="12"/>
  <c r="N152" i="12"/>
  <c r="M152" i="12"/>
  <c r="J152" i="12"/>
  <c r="I152" i="12"/>
  <c r="H152" i="12"/>
  <c r="F152" i="12"/>
  <c r="E152" i="12"/>
  <c r="D152" i="12"/>
  <c r="C152" i="12"/>
  <c r="B152" i="12"/>
  <c r="P151" i="12"/>
  <c r="O151" i="12"/>
  <c r="N151" i="12"/>
  <c r="M151" i="12"/>
  <c r="J151" i="12"/>
  <c r="I151" i="12"/>
  <c r="H151" i="12"/>
  <c r="F151" i="12"/>
  <c r="E151" i="12"/>
  <c r="D151" i="12"/>
  <c r="C151" i="12"/>
  <c r="B151" i="12"/>
  <c r="O150" i="12"/>
  <c r="N150" i="12"/>
  <c r="M150" i="12"/>
  <c r="J150" i="12"/>
  <c r="I150" i="12"/>
  <c r="H150" i="12"/>
  <c r="F150" i="12"/>
  <c r="E150" i="12"/>
  <c r="D150" i="12"/>
  <c r="C150" i="12"/>
  <c r="B150" i="12"/>
  <c r="P149" i="12"/>
  <c r="O149" i="12"/>
  <c r="N149" i="12"/>
  <c r="M149" i="12"/>
  <c r="J149" i="12"/>
  <c r="I149" i="12"/>
  <c r="H149" i="12"/>
  <c r="F149" i="12"/>
  <c r="E149" i="12"/>
  <c r="D149" i="12"/>
  <c r="C149" i="12"/>
  <c r="B149" i="12"/>
  <c r="O148" i="12"/>
  <c r="N148" i="12"/>
  <c r="M148" i="12"/>
  <c r="J148" i="12"/>
  <c r="I148" i="12"/>
  <c r="H148" i="12"/>
  <c r="F148" i="12"/>
  <c r="E148" i="12"/>
  <c r="D148" i="12"/>
  <c r="C148" i="12"/>
  <c r="B148" i="12"/>
  <c r="P147" i="12"/>
  <c r="O147" i="12"/>
  <c r="N147" i="12"/>
  <c r="M147" i="12"/>
  <c r="J147" i="12"/>
  <c r="I147" i="12"/>
  <c r="H147" i="12"/>
  <c r="F147" i="12"/>
  <c r="E147" i="12"/>
  <c r="D147" i="12"/>
  <c r="C147" i="12"/>
  <c r="B147" i="12"/>
  <c r="P146" i="12"/>
  <c r="O146" i="12"/>
  <c r="N146" i="12"/>
  <c r="M146" i="12"/>
  <c r="J146" i="12"/>
  <c r="I146" i="12"/>
  <c r="H146" i="12"/>
  <c r="F146" i="12"/>
  <c r="E146" i="12"/>
  <c r="D146" i="12"/>
  <c r="C146" i="12"/>
  <c r="B146" i="12"/>
  <c r="O145" i="12"/>
  <c r="N145" i="12"/>
  <c r="M145" i="12"/>
  <c r="J145" i="12"/>
  <c r="I145" i="12"/>
  <c r="H145" i="12"/>
  <c r="F145" i="12"/>
  <c r="E145" i="12"/>
  <c r="D145" i="12"/>
  <c r="C145" i="12"/>
  <c r="B145" i="12"/>
  <c r="P144" i="12"/>
  <c r="O144" i="12"/>
  <c r="N144" i="12"/>
  <c r="M144" i="12"/>
  <c r="J144" i="12"/>
  <c r="I144" i="12"/>
  <c r="H144" i="12"/>
  <c r="F144" i="12"/>
  <c r="E144" i="12"/>
  <c r="D144" i="12"/>
  <c r="C144" i="12"/>
  <c r="B144" i="12"/>
  <c r="Q143" i="12"/>
  <c r="P143" i="12"/>
  <c r="O143" i="12"/>
  <c r="M143" i="12"/>
  <c r="K143" i="12"/>
  <c r="J143" i="12"/>
  <c r="I143" i="12"/>
  <c r="H143" i="12"/>
  <c r="F143" i="12"/>
  <c r="E143" i="12"/>
  <c r="D143" i="12"/>
  <c r="C143" i="12"/>
  <c r="B143" i="12"/>
  <c r="P142" i="12"/>
  <c r="O142" i="12"/>
  <c r="N142" i="12"/>
  <c r="M142" i="12"/>
  <c r="J142" i="12"/>
  <c r="I142" i="12"/>
  <c r="H142" i="12"/>
  <c r="F142" i="12"/>
  <c r="E142" i="12"/>
  <c r="D142" i="12"/>
  <c r="C142" i="12"/>
  <c r="B142" i="12"/>
  <c r="P141" i="12"/>
  <c r="O141" i="12"/>
  <c r="N141" i="12"/>
  <c r="M141" i="12"/>
  <c r="J141" i="12"/>
  <c r="I141" i="12"/>
  <c r="H141" i="12"/>
  <c r="F141" i="12"/>
  <c r="E141" i="12"/>
  <c r="D141" i="12"/>
  <c r="C141" i="12"/>
  <c r="B141" i="12"/>
  <c r="P140" i="12"/>
  <c r="O140" i="12"/>
  <c r="N140" i="12"/>
  <c r="M140" i="12"/>
  <c r="J140" i="12"/>
  <c r="I140" i="12"/>
  <c r="H140" i="12"/>
  <c r="F140" i="12"/>
  <c r="E140" i="12"/>
  <c r="D140" i="12"/>
  <c r="C140" i="12"/>
  <c r="B140" i="12"/>
  <c r="P139" i="12"/>
  <c r="O139" i="12"/>
  <c r="N139" i="12"/>
  <c r="M139" i="12"/>
  <c r="J139" i="12"/>
  <c r="I139" i="12"/>
  <c r="H139" i="12"/>
  <c r="F139" i="12"/>
  <c r="E139" i="12"/>
  <c r="D139" i="12"/>
  <c r="C139" i="12"/>
  <c r="B139" i="12"/>
  <c r="P138" i="12"/>
  <c r="O138" i="12"/>
  <c r="N138" i="12"/>
  <c r="M138" i="12"/>
  <c r="J138" i="12"/>
  <c r="I138" i="12"/>
  <c r="H138" i="12"/>
  <c r="F138" i="12"/>
  <c r="E138" i="12"/>
  <c r="D138" i="12"/>
  <c r="C138" i="12"/>
  <c r="B138" i="12"/>
  <c r="Q137" i="12"/>
  <c r="O137" i="12"/>
  <c r="N137" i="12"/>
  <c r="M137" i="12"/>
  <c r="K137" i="12"/>
  <c r="J137" i="12"/>
  <c r="I137" i="12"/>
  <c r="H137" i="12"/>
  <c r="F137" i="12"/>
  <c r="E137" i="12"/>
  <c r="D137" i="12"/>
  <c r="C137" i="12"/>
  <c r="B137" i="12"/>
  <c r="P136" i="12"/>
  <c r="O136" i="12"/>
  <c r="N136" i="12"/>
  <c r="M136" i="12"/>
  <c r="J136" i="12"/>
  <c r="I136" i="12"/>
  <c r="H136" i="12"/>
  <c r="F136" i="12"/>
  <c r="E136" i="12"/>
  <c r="D136" i="12"/>
  <c r="C136" i="12"/>
  <c r="B136" i="12"/>
  <c r="P135" i="12"/>
  <c r="O135" i="12"/>
  <c r="N135" i="12"/>
  <c r="M135" i="12"/>
  <c r="J135" i="12"/>
  <c r="I135" i="12"/>
  <c r="H135" i="12"/>
  <c r="F135" i="12"/>
  <c r="E135" i="12"/>
  <c r="D135" i="12"/>
  <c r="C135" i="12"/>
  <c r="B135" i="12"/>
  <c r="P134" i="12"/>
  <c r="O134" i="12"/>
  <c r="N134" i="12"/>
  <c r="M134" i="12"/>
  <c r="J134" i="12"/>
  <c r="I134" i="12"/>
  <c r="H134" i="12"/>
  <c r="F134" i="12"/>
  <c r="E134" i="12"/>
  <c r="D134" i="12"/>
  <c r="C134" i="12"/>
  <c r="B134" i="12"/>
  <c r="P133" i="12"/>
  <c r="O133" i="12"/>
  <c r="N133" i="12"/>
  <c r="M133" i="12"/>
  <c r="J133" i="12"/>
  <c r="I133" i="12"/>
  <c r="H133" i="12"/>
  <c r="F133" i="12"/>
  <c r="E133" i="12"/>
  <c r="D133" i="12"/>
  <c r="C133" i="12"/>
  <c r="B133" i="12"/>
  <c r="P132" i="12"/>
  <c r="O132" i="12"/>
  <c r="N132" i="12"/>
  <c r="M132" i="12"/>
  <c r="J132" i="12"/>
  <c r="I132" i="12"/>
  <c r="H132" i="12"/>
  <c r="F132" i="12"/>
  <c r="E132" i="12"/>
  <c r="D132" i="12"/>
  <c r="C132" i="12"/>
  <c r="B132" i="12"/>
  <c r="P131" i="12"/>
  <c r="O131" i="12"/>
  <c r="N131" i="12"/>
  <c r="M131" i="12"/>
  <c r="J131" i="12"/>
  <c r="I131" i="12"/>
  <c r="H131" i="12"/>
  <c r="F131" i="12"/>
  <c r="E131" i="12"/>
  <c r="D131" i="12"/>
  <c r="C131" i="12"/>
  <c r="B131" i="12"/>
  <c r="O130" i="12"/>
  <c r="N130" i="12"/>
  <c r="M130" i="12"/>
  <c r="J130" i="12"/>
  <c r="I130" i="12"/>
  <c r="H130" i="12"/>
  <c r="F130" i="12"/>
  <c r="E130" i="12"/>
  <c r="D130" i="12"/>
  <c r="C130" i="12"/>
  <c r="B130" i="12"/>
  <c r="Q129" i="12"/>
  <c r="O129" i="12"/>
  <c r="N129" i="12"/>
  <c r="M129" i="12"/>
  <c r="K129" i="12"/>
  <c r="J129" i="12"/>
  <c r="I129" i="12"/>
  <c r="H129" i="12"/>
  <c r="F129" i="12"/>
  <c r="E129" i="12"/>
  <c r="D129" i="12"/>
  <c r="C129" i="12"/>
  <c r="B129" i="12"/>
  <c r="P128" i="12"/>
  <c r="O128" i="12"/>
  <c r="N128" i="12"/>
  <c r="M128" i="12"/>
  <c r="J128" i="12"/>
  <c r="I128" i="12"/>
  <c r="H128" i="12"/>
  <c r="F128" i="12"/>
  <c r="E128" i="12"/>
  <c r="D128" i="12"/>
  <c r="C128" i="12"/>
  <c r="B128" i="12"/>
  <c r="Q127" i="12"/>
  <c r="O127" i="12"/>
  <c r="M127" i="12"/>
  <c r="K127" i="12"/>
  <c r="J127" i="12"/>
  <c r="I127" i="12"/>
  <c r="H127" i="12"/>
  <c r="F127" i="12"/>
  <c r="E127" i="12"/>
  <c r="D127" i="12"/>
  <c r="C127" i="12"/>
  <c r="B127" i="12"/>
  <c r="O126" i="12"/>
  <c r="N126" i="12"/>
  <c r="M126" i="12"/>
  <c r="J126" i="12"/>
  <c r="I126" i="12"/>
  <c r="H126" i="12"/>
  <c r="F126" i="12"/>
  <c r="E126" i="12"/>
  <c r="D126" i="12"/>
  <c r="C126" i="12"/>
  <c r="B126" i="12"/>
  <c r="O125" i="12"/>
  <c r="M125" i="12"/>
  <c r="J125" i="12"/>
  <c r="I125" i="12"/>
  <c r="H125" i="12"/>
  <c r="F125" i="12"/>
  <c r="E125" i="12"/>
  <c r="D125" i="12"/>
  <c r="C125" i="12"/>
  <c r="B125" i="12"/>
  <c r="P124" i="12"/>
  <c r="O124" i="12"/>
  <c r="N124" i="12"/>
  <c r="M124" i="12"/>
  <c r="J124" i="12"/>
  <c r="I124" i="12"/>
  <c r="H124" i="12"/>
  <c r="F124" i="12"/>
  <c r="E124" i="12"/>
  <c r="D124" i="12"/>
  <c r="C124" i="12"/>
  <c r="B124" i="12"/>
  <c r="O123" i="12"/>
  <c r="M123" i="12"/>
  <c r="J123" i="12"/>
  <c r="I123" i="12"/>
  <c r="H123" i="12"/>
  <c r="F123" i="12"/>
  <c r="E123" i="12"/>
  <c r="D123" i="12"/>
  <c r="C123" i="12"/>
  <c r="B123" i="12"/>
  <c r="P122" i="12"/>
  <c r="O122" i="12"/>
  <c r="N122" i="12"/>
  <c r="M122" i="12"/>
  <c r="J122" i="12"/>
  <c r="I122" i="12"/>
  <c r="H122" i="12"/>
  <c r="F122" i="12"/>
  <c r="E122" i="12"/>
  <c r="D122" i="12"/>
  <c r="C122" i="12"/>
  <c r="B122" i="12"/>
  <c r="O121" i="12"/>
  <c r="N121" i="12"/>
  <c r="M121" i="12"/>
  <c r="J121" i="12"/>
  <c r="I121" i="12"/>
  <c r="H121" i="12"/>
  <c r="F121" i="12"/>
  <c r="E121" i="12"/>
  <c r="D121" i="12"/>
  <c r="C121" i="12"/>
  <c r="B121" i="12"/>
  <c r="P120" i="12"/>
  <c r="O120" i="12"/>
  <c r="N120" i="12"/>
  <c r="M120" i="12"/>
  <c r="J120" i="12"/>
  <c r="I120" i="12"/>
  <c r="H120" i="12"/>
  <c r="F120" i="12"/>
  <c r="E120" i="12"/>
  <c r="D120" i="12"/>
  <c r="C120" i="12"/>
  <c r="B120" i="12"/>
  <c r="P119" i="12"/>
  <c r="O119" i="12"/>
  <c r="N119" i="12"/>
  <c r="M119" i="12"/>
  <c r="J119" i="12"/>
  <c r="I119" i="12"/>
  <c r="H119" i="12"/>
  <c r="F119" i="12"/>
  <c r="E119" i="12"/>
  <c r="D119" i="12"/>
  <c r="C119" i="12"/>
  <c r="B119" i="12"/>
  <c r="O118" i="12"/>
  <c r="M118" i="12"/>
  <c r="J118" i="12"/>
  <c r="I118" i="12"/>
  <c r="H118" i="12"/>
  <c r="F118" i="12"/>
  <c r="E118" i="12"/>
  <c r="D118" i="12"/>
  <c r="C118" i="12"/>
  <c r="B118" i="12"/>
  <c r="P117" i="12"/>
  <c r="O117" i="12"/>
  <c r="N117" i="12"/>
  <c r="M117" i="12"/>
  <c r="J117" i="12"/>
  <c r="I117" i="12"/>
  <c r="H117" i="12"/>
  <c r="F117" i="12"/>
  <c r="E117" i="12"/>
  <c r="D117" i="12"/>
  <c r="C117" i="12"/>
  <c r="B117" i="12"/>
  <c r="P116" i="12"/>
  <c r="O116" i="12"/>
  <c r="N116" i="12"/>
  <c r="M116" i="12"/>
  <c r="J116" i="12"/>
  <c r="I116" i="12"/>
  <c r="H116" i="12"/>
  <c r="F116" i="12"/>
  <c r="E116" i="12"/>
  <c r="D116" i="12"/>
  <c r="C116" i="12"/>
  <c r="B116" i="12"/>
  <c r="Q115" i="12"/>
  <c r="O115" i="12"/>
  <c r="N115" i="12"/>
  <c r="M115" i="12"/>
  <c r="K115" i="12"/>
  <c r="J115" i="12"/>
  <c r="I115" i="12"/>
  <c r="H115" i="12"/>
  <c r="F115" i="12"/>
  <c r="E115" i="12"/>
  <c r="D115" i="12"/>
  <c r="C115" i="12"/>
  <c r="B115" i="12"/>
  <c r="P114" i="12"/>
  <c r="O114" i="12"/>
  <c r="N114" i="12"/>
  <c r="M114" i="12"/>
  <c r="L114" i="12"/>
  <c r="K114" i="12"/>
  <c r="J114" i="12"/>
  <c r="I114" i="12"/>
  <c r="H114" i="12"/>
  <c r="F114" i="12"/>
  <c r="E114" i="12"/>
  <c r="D114" i="12"/>
  <c r="C114" i="12"/>
  <c r="B114" i="12"/>
  <c r="P113" i="12"/>
  <c r="O113" i="12"/>
  <c r="N113" i="12"/>
  <c r="M113" i="12"/>
  <c r="J113" i="12"/>
  <c r="I113" i="12"/>
  <c r="H113" i="12"/>
  <c r="F113" i="12"/>
  <c r="E113" i="12"/>
  <c r="D113" i="12"/>
  <c r="C113" i="12"/>
  <c r="B113" i="12"/>
  <c r="P112" i="12"/>
  <c r="O112" i="12"/>
  <c r="N112" i="12"/>
  <c r="M112" i="12"/>
  <c r="J112" i="12"/>
  <c r="I112" i="12"/>
  <c r="H112" i="12"/>
  <c r="F112" i="12"/>
  <c r="E112" i="12"/>
  <c r="D112" i="12"/>
  <c r="C112" i="12"/>
  <c r="B112" i="12"/>
  <c r="O111" i="12"/>
  <c r="N111" i="12"/>
  <c r="M111" i="12"/>
  <c r="J111" i="12"/>
  <c r="I111" i="12"/>
  <c r="H111" i="12"/>
  <c r="F111" i="12"/>
  <c r="E111" i="12"/>
  <c r="D111" i="12"/>
  <c r="C111" i="12"/>
  <c r="B111" i="12"/>
  <c r="Q110" i="12"/>
  <c r="O110" i="12"/>
  <c r="N110" i="12"/>
  <c r="M110" i="12"/>
  <c r="K110" i="12"/>
  <c r="J110" i="12"/>
  <c r="I110" i="12"/>
  <c r="H110" i="12"/>
  <c r="F110" i="12"/>
  <c r="E110" i="12"/>
  <c r="D110" i="12"/>
  <c r="C110" i="12"/>
  <c r="B110" i="12"/>
  <c r="P109" i="12"/>
  <c r="O109" i="12"/>
  <c r="N109" i="12"/>
  <c r="M109" i="12"/>
  <c r="J109" i="12"/>
  <c r="I109" i="12"/>
  <c r="H109" i="12"/>
  <c r="F109" i="12"/>
  <c r="E109" i="12"/>
  <c r="D109" i="12"/>
  <c r="C109" i="12"/>
  <c r="B109" i="12"/>
  <c r="Q108" i="12"/>
  <c r="O108" i="12"/>
  <c r="N108" i="12"/>
  <c r="M108" i="12"/>
  <c r="K108" i="12"/>
  <c r="J108" i="12"/>
  <c r="I108" i="12"/>
  <c r="H108" i="12"/>
  <c r="F108" i="12"/>
  <c r="E108" i="12"/>
  <c r="D108" i="12"/>
  <c r="C108" i="12"/>
  <c r="B108" i="12"/>
  <c r="O107" i="12"/>
  <c r="N107" i="12"/>
  <c r="M107" i="12"/>
  <c r="K107" i="12"/>
  <c r="J107" i="12"/>
  <c r="I107" i="12"/>
  <c r="H107" i="12"/>
  <c r="F107" i="12"/>
  <c r="E107" i="12"/>
  <c r="D107" i="12"/>
  <c r="C107" i="12"/>
  <c r="B107" i="12"/>
  <c r="Q106" i="12"/>
  <c r="P106" i="12"/>
  <c r="O106" i="12"/>
  <c r="N106" i="12"/>
  <c r="M106" i="12"/>
  <c r="K106" i="12"/>
  <c r="J106" i="12"/>
  <c r="I106" i="12"/>
  <c r="H106" i="12"/>
  <c r="F106" i="12"/>
  <c r="E106" i="12"/>
  <c r="D106" i="12"/>
  <c r="C106" i="12"/>
  <c r="B106" i="12"/>
  <c r="O105" i="12"/>
  <c r="N105" i="12"/>
  <c r="M105" i="12"/>
  <c r="J105" i="12"/>
  <c r="I105" i="12"/>
  <c r="H105" i="12"/>
  <c r="F105" i="12"/>
  <c r="E105" i="12"/>
  <c r="D105" i="12"/>
  <c r="C105" i="12"/>
  <c r="B105" i="12"/>
  <c r="P104" i="12"/>
  <c r="O104" i="12"/>
  <c r="N104" i="12"/>
  <c r="M104" i="12"/>
  <c r="J104" i="12"/>
  <c r="I104" i="12"/>
  <c r="H104" i="12"/>
  <c r="F104" i="12"/>
  <c r="E104" i="12"/>
  <c r="D104" i="12"/>
  <c r="C104" i="12"/>
  <c r="B104" i="12"/>
  <c r="P103" i="12"/>
  <c r="O103" i="12"/>
  <c r="N103" i="12"/>
  <c r="M103" i="12"/>
  <c r="J103" i="12"/>
  <c r="I103" i="12"/>
  <c r="H103" i="12"/>
  <c r="F103" i="12"/>
  <c r="E103" i="12"/>
  <c r="D103" i="12"/>
  <c r="C103" i="12"/>
  <c r="B103" i="12"/>
  <c r="P102" i="12"/>
  <c r="O102" i="12"/>
  <c r="N102" i="12"/>
  <c r="M102" i="12"/>
  <c r="J102" i="12"/>
  <c r="I102" i="12"/>
  <c r="H102" i="12"/>
  <c r="F102" i="12"/>
  <c r="E102" i="12"/>
  <c r="D102" i="12"/>
  <c r="C102" i="12"/>
  <c r="B102" i="12"/>
  <c r="O101" i="12"/>
  <c r="N101" i="12"/>
  <c r="M101" i="12"/>
  <c r="J101" i="12"/>
  <c r="I101" i="12"/>
  <c r="H101" i="12"/>
  <c r="F101" i="12"/>
  <c r="E101" i="12"/>
  <c r="D101" i="12"/>
  <c r="C101" i="12"/>
  <c r="B101" i="12"/>
  <c r="P100" i="12"/>
  <c r="O100" i="12"/>
  <c r="N100" i="12"/>
  <c r="M100" i="12"/>
  <c r="J100" i="12"/>
  <c r="I100" i="12"/>
  <c r="H100" i="12"/>
  <c r="F100" i="12"/>
  <c r="E100" i="12"/>
  <c r="D100" i="12"/>
  <c r="C100" i="12"/>
  <c r="B100" i="12"/>
  <c r="O99" i="12"/>
  <c r="N99" i="12"/>
  <c r="M99" i="12"/>
  <c r="J99" i="12"/>
  <c r="I99" i="12"/>
  <c r="H99" i="12"/>
  <c r="F99" i="12"/>
  <c r="E99" i="12"/>
  <c r="D99" i="12"/>
  <c r="C99" i="12"/>
  <c r="B99" i="12"/>
  <c r="P98" i="12"/>
  <c r="O98" i="12"/>
  <c r="N98" i="12"/>
  <c r="M98" i="12"/>
  <c r="J98" i="12"/>
  <c r="I98" i="12"/>
  <c r="H98" i="12"/>
  <c r="F98" i="12"/>
  <c r="E98" i="12"/>
  <c r="D98" i="12"/>
  <c r="C98" i="12"/>
  <c r="B98" i="12"/>
  <c r="R97" i="12"/>
  <c r="Q97" i="12"/>
  <c r="P97" i="12"/>
  <c r="O97" i="12"/>
  <c r="N97" i="12"/>
  <c r="M97" i="12"/>
  <c r="K97" i="12"/>
  <c r="J97" i="12"/>
  <c r="I97" i="12"/>
  <c r="H97" i="12"/>
  <c r="F97" i="12"/>
  <c r="E97" i="12"/>
  <c r="D97" i="12"/>
  <c r="C97" i="12"/>
  <c r="B97" i="12"/>
  <c r="P96" i="12"/>
  <c r="O96" i="12"/>
  <c r="N96" i="12"/>
  <c r="M96" i="12"/>
  <c r="J96" i="12"/>
  <c r="I96" i="12"/>
  <c r="H96" i="12"/>
  <c r="F96" i="12"/>
  <c r="E96" i="12"/>
  <c r="D96" i="12"/>
  <c r="C96" i="12"/>
  <c r="B96" i="12"/>
  <c r="P95" i="12"/>
  <c r="O95" i="12"/>
  <c r="N95" i="12"/>
  <c r="M95" i="12"/>
  <c r="J95" i="12"/>
  <c r="I95" i="12"/>
  <c r="H95" i="12"/>
  <c r="F95" i="12"/>
  <c r="E95" i="12"/>
  <c r="D95" i="12"/>
  <c r="C95" i="12"/>
  <c r="B95" i="12"/>
  <c r="P94" i="12"/>
  <c r="O94" i="12"/>
  <c r="N94" i="12"/>
  <c r="M94" i="12"/>
  <c r="J94" i="12"/>
  <c r="I94" i="12"/>
  <c r="H94" i="12"/>
  <c r="F94" i="12"/>
  <c r="E94" i="12"/>
  <c r="D94" i="12"/>
  <c r="C94" i="12"/>
  <c r="B94" i="12"/>
  <c r="P93" i="12"/>
  <c r="O93" i="12"/>
  <c r="N93" i="12"/>
  <c r="M93" i="12"/>
  <c r="J93" i="12"/>
  <c r="I93" i="12"/>
  <c r="H93" i="12"/>
  <c r="F93" i="12"/>
  <c r="E93" i="12"/>
  <c r="D93" i="12"/>
  <c r="C93" i="12"/>
  <c r="B93" i="12"/>
  <c r="P92" i="12"/>
  <c r="O92" i="12"/>
  <c r="N92" i="12"/>
  <c r="M92" i="12"/>
  <c r="J92" i="12"/>
  <c r="I92" i="12"/>
  <c r="H92" i="12"/>
  <c r="F92" i="12"/>
  <c r="E92" i="12"/>
  <c r="D92" i="12"/>
  <c r="C92" i="12"/>
  <c r="B92" i="12"/>
  <c r="P91" i="12"/>
  <c r="O91" i="12"/>
  <c r="N91" i="12"/>
  <c r="M91" i="12"/>
  <c r="J91" i="12"/>
  <c r="I91" i="12"/>
  <c r="H91" i="12"/>
  <c r="F91" i="12"/>
  <c r="E91" i="12"/>
  <c r="D91" i="12"/>
  <c r="C91" i="12"/>
  <c r="B91" i="12"/>
  <c r="P90" i="12"/>
  <c r="O90" i="12"/>
  <c r="N90" i="12"/>
  <c r="M90" i="12"/>
  <c r="J90" i="12"/>
  <c r="I90" i="12"/>
  <c r="H90" i="12"/>
  <c r="F90" i="12"/>
  <c r="E90" i="12"/>
  <c r="D90" i="12"/>
  <c r="C90" i="12"/>
  <c r="B90" i="12"/>
  <c r="P89" i="12"/>
  <c r="O89" i="12"/>
  <c r="N89" i="12"/>
  <c r="M89" i="12"/>
  <c r="J89" i="12"/>
  <c r="I89" i="12"/>
  <c r="H89" i="12"/>
  <c r="F89" i="12"/>
  <c r="E89" i="12"/>
  <c r="D89" i="12"/>
  <c r="C89" i="12"/>
  <c r="B89" i="12"/>
  <c r="O88" i="12"/>
  <c r="N88" i="12"/>
  <c r="M88" i="12"/>
  <c r="J88" i="12"/>
  <c r="I88" i="12"/>
  <c r="H88" i="12"/>
  <c r="F88" i="12"/>
  <c r="E88" i="12"/>
  <c r="D88" i="12"/>
  <c r="C88" i="12"/>
  <c r="B88" i="12"/>
  <c r="P87" i="12"/>
  <c r="O87" i="12"/>
  <c r="M87" i="12"/>
  <c r="J87" i="12"/>
  <c r="I87" i="12"/>
  <c r="H87" i="12"/>
  <c r="F87" i="12"/>
  <c r="E87" i="12"/>
  <c r="D87" i="12"/>
  <c r="C87" i="12"/>
  <c r="B87" i="12"/>
  <c r="O86" i="12"/>
  <c r="N86" i="12"/>
  <c r="M86" i="12"/>
  <c r="J86" i="12"/>
  <c r="I86" i="12"/>
  <c r="H86" i="12"/>
  <c r="F86" i="12"/>
  <c r="E86" i="12"/>
  <c r="D86" i="12"/>
  <c r="C86" i="12"/>
  <c r="B86" i="12"/>
  <c r="P85" i="12"/>
  <c r="O85" i="12"/>
  <c r="N85" i="12"/>
  <c r="M85" i="12"/>
  <c r="J85" i="12"/>
  <c r="I85" i="12"/>
  <c r="H85" i="12"/>
  <c r="F85" i="12"/>
  <c r="E85" i="12"/>
  <c r="D85" i="12"/>
  <c r="C85" i="12"/>
  <c r="B85" i="12"/>
  <c r="O84" i="12"/>
  <c r="M84" i="12"/>
  <c r="J84" i="12"/>
  <c r="I84" i="12"/>
  <c r="H84" i="12"/>
  <c r="F84" i="12"/>
  <c r="E84" i="12"/>
  <c r="D84" i="12"/>
  <c r="C84" i="12"/>
  <c r="B84" i="12"/>
  <c r="P83" i="12"/>
  <c r="O83" i="12"/>
  <c r="N83" i="12"/>
  <c r="M83" i="12"/>
  <c r="J83" i="12"/>
  <c r="I83" i="12"/>
  <c r="H83" i="12"/>
  <c r="F83" i="12"/>
  <c r="E83" i="12"/>
  <c r="D83" i="12"/>
  <c r="C83" i="12"/>
  <c r="B83" i="12"/>
  <c r="O82" i="12"/>
  <c r="N82" i="12"/>
  <c r="M82" i="12"/>
  <c r="J82" i="12"/>
  <c r="I82" i="12"/>
  <c r="H82" i="12"/>
  <c r="F82" i="12"/>
  <c r="E82" i="12"/>
  <c r="D82" i="12"/>
  <c r="C82" i="12"/>
  <c r="B82" i="12"/>
  <c r="P81" i="12"/>
  <c r="O81" i="12"/>
  <c r="M81" i="12"/>
  <c r="J81" i="12"/>
  <c r="I81" i="12"/>
  <c r="H81" i="12"/>
  <c r="F81" i="12"/>
  <c r="E81" i="12"/>
  <c r="D81" i="12"/>
  <c r="C81" i="12"/>
  <c r="B81" i="12"/>
  <c r="O80" i="12"/>
  <c r="N80" i="12"/>
  <c r="M80" i="12"/>
  <c r="J80" i="12"/>
  <c r="I80" i="12"/>
  <c r="H80" i="12"/>
  <c r="F80" i="12"/>
  <c r="E80" i="12"/>
  <c r="D80" i="12"/>
  <c r="C80" i="12"/>
  <c r="B80" i="12"/>
  <c r="P79" i="12"/>
  <c r="O79" i="12"/>
  <c r="N79" i="12"/>
  <c r="M79" i="12"/>
  <c r="J79" i="12"/>
  <c r="I79" i="12"/>
  <c r="H79" i="12"/>
  <c r="F79" i="12"/>
  <c r="E79" i="12"/>
  <c r="D79" i="12"/>
  <c r="C79" i="12"/>
  <c r="B79" i="12"/>
  <c r="O78" i="12"/>
  <c r="M78" i="12"/>
  <c r="J78" i="12"/>
  <c r="I78" i="12"/>
  <c r="H78" i="12"/>
  <c r="F78" i="12"/>
  <c r="E78" i="12"/>
  <c r="D78" i="12"/>
  <c r="C78" i="12"/>
  <c r="B78" i="12"/>
  <c r="Q77" i="12"/>
  <c r="O77" i="12"/>
  <c r="M77" i="12"/>
  <c r="K77" i="12"/>
  <c r="J77" i="12"/>
  <c r="I77" i="12"/>
  <c r="H77" i="12"/>
  <c r="F77" i="12"/>
  <c r="E77" i="12"/>
  <c r="D77" i="12"/>
  <c r="C77" i="12"/>
  <c r="B77" i="12"/>
  <c r="P76" i="12"/>
  <c r="O76" i="12"/>
  <c r="N76" i="12"/>
  <c r="M76" i="12"/>
  <c r="J76" i="12"/>
  <c r="I76" i="12"/>
  <c r="H76" i="12"/>
  <c r="F76" i="12"/>
  <c r="E76" i="12"/>
  <c r="D76" i="12"/>
  <c r="C76" i="12"/>
  <c r="B76" i="12"/>
  <c r="P75" i="12"/>
  <c r="O75" i="12"/>
  <c r="N75" i="12"/>
  <c r="M75" i="12"/>
  <c r="J75" i="12"/>
  <c r="I75" i="12"/>
  <c r="H75" i="12"/>
  <c r="F75" i="12"/>
  <c r="E75" i="12"/>
  <c r="D75" i="12"/>
  <c r="C75" i="12"/>
  <c r="B75" i="12"/>
  <c r="P74" i="12"/>
  <c r="O74" i="12"/>
  <c r="N74" i="12"/>
  <c r="M74" i="12"/>
  <c r="J74" i="12"/>
  <c r="I74" i="12"/>
  <c r="H74" i="12"/>
  <c r="F74" i="12"/>
  <c r="E74" i="12"/>
  <c r="D74" i="12"/>
  <c r="C74" i="12"/>
  <c r="B74" i="12"/>
  <c r="O73" i="12"/>
  <c r="M73" i="12"/>
  <c r="J73" i="12"/>
  <c r="I73" i="12"/>
  <c r="H73" i="12"/>
  <c r="F73" i="12"/>
  <c r="E73" i="12"/>
  <c r="D73" i="12"/>
  <c r="C73" i="12"/>
  <c r="B73" i="12"/>
  <c r="Q72" i="12"/>
  <c r="O72" i="12"/>
  <c r="M72" i="12"/>
  <c r="K72" i="12"/>
  <c r="J72" i="12"/>
  <c r="I72" i="12"/>
  <c r="H72" i="12"/>
  <c r="F72" i="12"/>
  <c r="E72" i="12"/>
  <c r="D72" i="12"/>
  <c r="C72" i="12"/>
  <c r="B72" i="12"/>
  <c r="O71" i="12"/>
  <c r="N71" i="12"/>
  <c r="M71" i="12"/>
  <c r="J71" i="12"/>
  <c r="I71" i="12"/>
  <c r="H71" i="12"/>
  <c r="F71" i="12"/>
  <c r="E71" i="12"/>
  <c r="D71" i="12"/>
  <c r="C71" i="12"/>
  <c r="B71" i="12"/>
  <c r="Q70" i="12"/>
  <c r="O70" i="12"/>
  <c r="M70" i="12"/>
  <c r="K70" i="12"/>
  <c r="J70" i="12"/>
  <c r="I70" i="12"/>
  <c r="H70" i="12"/>
  <c r="F70" i="12"/>
  <c r="E70" i="12"/>
  <c r="D70" i="12"/>
  <c r="C70" i="12"/>
  <c r="B70" i="12"/>
  <c r="P69" i="12"/>
  <c r="O69" i="12"/>
  <c r="N69" i="12"/>
  <c r="M69" i="12"/>
  <c r="J69" i="12"/>
  <c r="I69" i="12"/>
  <c r="H69" i="12"/>
  <c r="F69" i="12"/>
  <c r="E69" i="12"/>
  <c r="D69" i="12"/>
  <c r="C69" i="12"/>
  <c r="B69" i="12"/>
  <c r="Q68" i="12"/>
  <c r="P68" i="12"/>
  <c r="O68" i="12"/>
  <c r="N68" i="12"/>
  <c r="M68" i="12"/>
  <c r="K68" i="12"/>
  <c r="J68" i="12"/>
  <c r="I68" i="12"/>
  <c r="H68" i="12"/>
  <c r="F68" i="12"/>
  <c r="E68" i="12"/>
  <c r="D68" i="12"/>
  <c r="C68" i="12"/>
  <c r="B68" i="12"/>
  <c r="Q67" i="12"/>
  <c r="P67" i="12"/>
  <c r="O67" i="12"/>
  <c r="N67" i="12"/>
  <c r="M67" i="12"/>
  <c r="K67" i="12"/>
  <c r="J67" i="12"/>
  <c r="I67" i="12"/>
  <c r="H67" i="12"/>
  <c r="F67" i="12"/>
  <c r="E67" i="12"/>
  <c r="D67" i="12"/>
  <c r="C67" i="12"/>
  <c r="B67" i="12"/>
  <c r="P66" i="12"/>
  <c r="O66" i="12"/>
  <c r="N66" i="12"/>
  <c r="M66" i="12"/>
  <c r="J66" i="12"/>
  <c r="I66" i="12"/>
  <c r="H66" i="12"/>
  <c r="F66" i="12"/>
  <c r="E66" i="12"/>
  <c r="D66" i="12"/>
  <c r="C66" i="12"/>
  <c r="B66" i="12"/>
  <c r="O65" i="12"/>
  <c r="N65" i="12"/>
  <c r="M65" i="12"/>
  <c r="J65" i="12"/>
  <c r="I65" i="12"/>
  <c r="H65" i="12"/>
  <c r="F65" i="12"/>
  <c r="E65" i="12"/>
  <c r="D65" i="12"/>
  <c r="C65" i="12"/>
  <c r="B65" i="12"/>
  <c r="P64" i="12"/>
  <c r="O64" i="12"/>
  <c r="N64" i="12"/>
  <c r="M64" i="12"/>
  <c r="J64" i="12"/>
  <c r="I64" i="12"/>
  <c r="H64" i="12"/>
  <c r="F64" i="12"/>
  <c r="E64" i="12"/>
  <c r="D64" i="12"/>
  <c r="C64" i="12"/>
  <c r="B64" i="12"/>
  <c r="P63" i="12"/>
  <c r="O63" i="12"/>
  <c r="N63" i="12"/>
  <c r="M63" i="12"/>
  <c r="J63" i="12"/>
  <c r="I63" i="12"/>
  <c r="H63" i="12"/>
  <c r="F63" i="12"/>
  <c r="E63" i="12"/>
  <c r="D63" i="12"/>
  <c r="C63" i="12"/>
  <c r="B63" i="12"/>
  <c r="R62" i="12"/>
  <c r="Q62" i="12"/>
  <c r="P62" i="12"/>
  <c r="O62" i="12"/>
  <c r="N62" i="12"/>
  <c r="M62" i="12"/>
  <c r="K62" i="12"/>
  <c r="J62" i="12"/>
  <c r="I62" i="12"/>
  <c r="H62" i="12"/>
  <c r="F62" i="12"/>
  <c r="E62" i="12"/>
  <c r="D62" i="12"/>
  <c r="C62" i="12"/>
  <c r="B62" i="12"/>
  <c r="P61" i="12"/>
  <c r="O61" i="12"/>
  <c r="N61" i="12"/>
  <c r="M61" i="12"/>
  <c r="J61" i="12"/>
  <c r="I61" i="12"/>
  <c r="H61" i="12"/>
  <c r="F61" i="12"/>
  <c r="E61" i="12"/>
  <c r="D61" i="12"/>
  <c r="C61" i="12"/>
  <c r="B61" i="12"/>
  <c r="P60" i="12"/>
  <c r="O60" i="12"/>
  <c r="N60" i="12"/>
  <c r="M60" i="12"/>
  <c r="J60" i="12"/>
  <c r="I60" i="12"/>
  <c r="H60" i="12"/>
  <c r="F60" i="12"/>
  <c r="E60" i="12"/>
  <c r="D60" i="12"/>
  <c r="C60" i="12"/>
  <c r="B60" i="12"/>
  <c r="P59" i="12"/>
  <c r="O59" i="12"/>
  <c r="N59" i="12"/>
  <c r="M59" i="12"/>
  <c r="J59" i="12"/>
  <c r="I59" i="12"/>
  <c r="H59" i="12"/>
  <c r="F59" i="12"/>
  <c r="E59" i="12"/>
  <c r="D59" i="12"/>
  <c r="C59" i="12"/>
  <c r="B59" i="12"/>
  <c r="Q58" i="12"/>
  <c r="O58" i="12"/>
  <c r="M58" i="12"/>
  <c r="K58" i="12"/>
  <c r="J58" i="12"/>
  <c r="I58" i="12"/>
  <c r="H58" i="12"/>
  <c r="F58" i="12"/>
  <c r="E58" i="12"/>
  <c r="D58" i="12"/>
  <c r="C58" i="12"/>
  <c r="B58" i="12"/>
  <c r="P57" i="12"/>
  <c r="O57" i="12"/>
  <c r="N57" i="12"/>
  <c r="M57" i="12"/>
  <c r="J57" i="12"/>
  <c r="I57" i="12"/>
  <c r="H57" i="12"/>
  <c r="F57" i="12"/>
  <c r="E57" i="12"/>
  <c r="D57" i="12"/>
  <c r="C57" i="12"/>
  <c r="B57" i="12"/>
  <c r="P56" i="12"/>
  <c r="O56" i="12"/>
  <c r="N56" i="12"/>
  <c r="M56" i="12"/>
  <c r="J56" i="12"/>
  <c r="I56" i="12"/>
  <c r="H56" i="12"/>
  <c r="F56" i="12"/>
  <c r="E56" i="12"/>
  <c r="D56" i="12"/>
  <c r="C56" i="12"/>
  <c r="B56" i="12"/>
  <c r="O55" i="12"/>
  <c r="N55" i="12"/>
  <c r="M55" i="12"/>
  <c r="J55" i="12"/>
  <c r="I55" i="12"/>
  <c r="H55" i="12"/>
  <c r="F55" i="12"/>
  <c r="E55" i="12"/>
  <c r="D55" i="12"/>
  <c r="C55" i="12"/>
  <c r="B55" i="12"/>
  <c r="Q54" i="12"/>
  <c r="P54" i="12"/>
  <c r="O54" i="12"/>
  <c r="N54" i="12"/>
  <c r="M54" i="12"/>
  <c r="K54" i="12"/>
  <c r="J54" i="12"/>
  <c r="I54" i="12"/>
  <c r="H54" i="12"/>
  <c r="F54" i="12"/>
  <c r="E54" i="12"/>
  <c r="D54" i="12"/>
  <c r="C54" i="12"/>
  <c r="B54" i="12"/>
  <c r="O53" i="12"/>
  <c r="M53" i="12"/>
  <c r="J53" i="12"/>
  <c r="I53" i="12"/>
  <c r="H53" i="12"/>
  <c r="F53" i="12"/>
  <c r="E53" i="12"/>
  <c r="D53" i="12"/>
  <c r="C53" i="12"/>
  <c r="B53" i="12"/>
  <c r="O52" i="12"/>
  <c r="N52" i="12"/>
  <c r="M52" i="12"/>
  <c r="J52" i="12"/>
  <c r="I52" i="12"/>
  <c r="H52" i="12"/>
  <c r="F52" i="12"/>
  <c r="E52" i="12"/>
  <c r="D52" i="12"/>
  <c r="C52" i="12"/>
  <c r="B52" i="12"/>
  <c r="P51" i="12"/>
  <c r="O51" i="12"/>
  <c r="N51" i="12"/>
  <c r="M51" i="12"/>
  <c r="J51" i="12"/>
  <c r="I51" i="12"/>
  <c r="H51" i="12"/>
  <c r="F51" i="12"/>
  <c r="E51" i="12"/>
  <c r="D51" i="12"/>
  <c r="C51" i="12"/>
  <c r="B51" i="12"/>
  <c r="P50" i="12"/>
  <c r="O50" i="12"/>
  <c r="N50" i="12"/>
  <c r="M50" i="12"/>
  <c r="J50" i="12"/>
  <c r="I50" i="12"/>
  <c r="H50" i="12"/>
  <c r="F50" i="12"/>
  <c r="E50" i="12"/>
  <c r="D50" i="12"/>
  <c r="C50" i="12"/>
  <c r="B50" i="12"/>
  <c r="Q49" i="12"/>
  <c r="P49" i="12"/>
  <c r="O49" i="12"/>
  <c r="N49" i="12"/>
  <c r="M49" i="12"/>
  <c r="K49" i="12"/>
  <c r="J49" i="12"/>
  <c r="I49" i="12"/>
  <c r="H49" i="12"/>
  <c r="F49" i="12"/>
  <c r="E49" i="12"/>
  <c r="D49" i="12"/>
  <c r="C49" i="12"/>
  <c r="B49" i="12"/>
  <c r="P48" i="12"/>
  <c r="O48" i="12"/>
  <c r="N48" i="12"/>
  <c r="M48" i="12"/>
  <c r="J48" i="12"/>
  <c r="I48" i="12"/>
  <c r="H48" i="12"/>
  <c r="F48" i="12"/>
  <c r="E48" i="12"/>
  <c r="D48" i="12"/>
  <c r="C48" i="12"/>
  <c r="B48" i="12"/>
  <c r="Q47" i="12"/>
  <c r="P47" i="12"/>
  <c r="O47" i="12"/>
  <c r="N47" i="12"/>
  <c r="M47" i="12"/>
  <c r="K47" i="12"/>
  <c r="J47" i="12"/>
  <c r="I47" i="12"/>
  <c r="H47" i="12"/>
  <c r="F47" i="12"/>
  <c r="E47" i="12"/>
  <c r="D47" i="12"/>
  <c r="C47" i="12"/>
  <c r="B47" i="12"/>
  <c r="P46" i="12"/>
  <c r="O46" i="12"/>
  <c r="N46" i="12"/>
  <c r="M46" i="12"/>
  <c r="J46" i="12"/>
  <c r="I46" i="12"/>
  <c r="H46" i="12"/>
  <c r="F46" i="12"/>
  <c r="E46" i="12"/>
  <c r="D46" i="12"/>
  <c r="C46" i="12"/>
  <c r="B46" i="12"/>
  <c r="O45" i="12"/>
  <c r="M45" i="12"/>
  <c r="J45" i="12"/>
  <c r="I45" i="12"/>
  <c r="H45" i="12"/>
  <c r="F45" i="12"/>
  <c r="E45" i="12"/>
  <c r="D45" i="12"/>
  <c r="C45" i="12"/>
  <c r="B45" i="12"/>
  <c r="P44" i="12"/>
  <c r="O44" i="12"/>
  <c r="M44" i="12"/>
  <c r="J44" i="12"/>
  <c r="I44" i="12"/>
  <c r="H44" i="12"/>
  <c r="F44" i="12"/>
  <c r="E44" i="12"/>
  <c r="D44" i="12"/>
  <c r="C44" i="12"/>
  <c r="B44" i="12"/>
  <c r="P43" i="12"/>
  <c r="O43" i="12"/>
  <c r="N43" i="12"/>
  <c r="M43" i="12"/>
  <c r="J43" i="12"/>
  <c r="I43" i="12"/>
  <c r="H43" i="12"/>
  <c r="F43" i="12"/>
  <c r="E43" i="12"/>
  <c r="D43" i="12"/>
  <c r="C43" i="12"/>
  <c r="B43" i="12"/>
  <c r="Q42" i="12"/>
  <c r="O42" i="12"/>
  <c r="M42" i="12"/>
  <c r="K42" i="12"/>
  <c r="J42" i="12"/>
  <c r="I42" i="12"/>
  <c r="H42" i="12"/>
  <c r="F42" i="12"/>
  <c r="E42" i="12"/>
  <c r="D42" i="12"/>
  <c r="C42" i="12"/>
  <c r="B42" i="12"/>
  <c r="O41" i="12"/>
  <c r="N41" i="12"/>
  <c r="M41" i="12"/>
  <c r="J41" i="12"/>
  <c r="I41" i="12"/>
  <c r="H41" i="12"/>
  <c r="F41" i="12"/>
  <c r="E41" i="12"/>
  <c r="D41" i="12"/>
  <c r="C41" i="12"/>
  <c r="B41" i="12"/>
  <c r="P40" i="12"/>
  <c r="O40" i="12"/>
  <c r="N40" i="12"/>
  <c r="M40" i="12"/>
  <c r="J40" i="12"/>
  <c r="I40" i="12"/>
  <c r="H40" i="12"/>
  <c r="F40" i="12"/>
  <c r="E40" i="12"/>
  <c r="D40" i="12"/>
  <c r="C40" i="12"/>
  <c r="B40" i="12"/>
  <c r="P39" i="12"/>
  <c r="O39" i="12"/>
  <c r="N39" i="12"/>
  <c r="M39" i="12"/>
  <c r="J39" i="12"/>
  <c r="I39" i="12"/>
  <c r="H39" i="12"/>
  <c r="F39" i="12"/>
  <c r="E39" i="12"/>
  <c r="D39" i="12"/>
  <c r="C39" i="12"/>
  <c r="B39" i="12"/>
  <c r="P38" i="12"/>
  <c r="O38" i="12"/>
  <c r="N38" i="12"/>
  <c r="M38" i="12"/>
  <c r="J38" i="12"/>
  <c r="I38" i="12"/>
  <c r="H38" i="12"/>
  <c r="F38" i="12"/>
  <c r="E38" i="12"/>
  <c r="D38" i="12"/>
  <c r="C38" i="12"/>
  <c r="B38" i="12"/>
  <c r="Q37" i="12"/>
  <c r="O37" i="12"/>
  <c r="M37" i="12"/>
  <c r="K37" i="12"/>
  <c r="J37" i="12"/>
  <c r="I37" i="12"/>
  <c r="H37" i="12"/>
  <c r="F37" i="12"/>
  <c r="E37" i="12"/>
  <c r="D37" i="12"/>
  <c r="C37" i="12"/>
  <c r="B37" i="12"/>
  <c r="O36" i="12"/>
  <c r="M36" i="12"/>
  <c r="J36" i="12"/>
  <c r="I36" i="12"/>
  <c r="H36" i="12"/>
  <c r="F36" i="12"/>
  <c r="E36" i="12"/>
  <c r="D36" i="12"/>
  <c r="C36" i="12"/>
  <c r="B36" i="12"/>
  <c r="P35" i="12"/>
  <c r="O35" i="12"/>
  <c r="N35" i="12"/>
  <c r="M35" i="12"/>
  <c r="J35" i="12"/>
  <c r="I35" i="12"/>
  <c r="H35" i="12"/>
  <c r="F35" i="12"/>
  <c r="E35" i="12"/>
  <c r="D35" i="12"/>
  <c r="C35" i="12"/>
  <c r="B35" i="12"/>
  <c r="O34" i="12"/>
  <c r="N34" i="12"/>
  <c r="M34" i="12"/>
  <c r="J34" i="12"/>
  <c r="I34" i="12"/>
  <c r="H34" i="12"/>
  <c r="F34" i="12"/>
  <c r="E34" i="12"/>
  <c r="D34" i="12"/>
  <c r="C34" i="12"/>
  <c r="B34" i="12"/>
  <c r="Q33" i="12"/>
  <c r="O33" i="12"/>
  <c r="N33" i="12"/>
  <c r="M33" i="12"/>
  <c r="K33" i="12"/>
  <c r="J33" i="12"/>
  <c r="I33" i="12"/>
  <c r="H33" i="12"/>
  <c r="F33" i="12"/>
  <c r="E33" i="12"/>
  <c r="D33" i="12"/>
  <c r="C33" i="12"/>
  <c r="B33" i="12"/>
  <c r="P32" i="12"/>
  <c r="O32" i="12"/>
  <c r="N32" i="12"/>
  <c r="M32" i="12"/>
  <c r="J32" i="12"/>
  <c r="I32" i="12"/>
  <c r="H32" i="12"/>
  <c r="F32" i="12"/>
  <c r="E32" i="12"/>
  <c r="D32" i="12"/>
  <c r="C32" i="12"/>
  <c r="B32" i="12"/>
  <c r="P31" i="12"/>
  <c r="O31" i="12"/>
  <c r="N31" i="12"/>
  <c r="M31" i="12"/>
  <c r="J31" i="12"/>
  <c r="I31" i="12"/>
  <c r="H31" i="12"/>
  <c r="F31" i="12"/>
  <c r="E31" i="12"/>
  <c r="D31" i="12"/>
  <c r="C31" i="12"/>
  <c r="B31" i="12"/>
  <c r="O30" i="12"/>
  <c r="M30" i="12"/>
  <c r="J30" i="12"/>
  <c r="I30" i="12"/>
  <c r="H30" i="12"/>
  <c r="F30" i="12"/>
  <c r="E30" i="12"/>
  <c r="D30" i="12"/>
  <c r="C30" i="12"/>
  <c r="B30" i="12"/>
  <c r="P29" i="12"/>
  <c r="O29" i="12"/>
  <c r="N29" i="12"/>
  <c r="M29" i="12"/>
  <c r="J29" i="12"/>
  <c r="I29" i="12"/>
  <c r="H29" i="12"/>
  <c r="F29" i="12"/>
  <c r="E29" i="12"/>
  <c r="D29" i="12"/>
  <c r="C29" i="12"/>
  <c r="B29" i="12"/>
  <c r="O28" i="12"/>
  <c r="M28" i="12"/>
  <c r="J28" i="12"/>
  <c r="I28" i="12"/>
  <c r="H28" i="12"/>
  <c r="F28" i="12"/>
  <c r="E28" i="12"/>
  <c r="D28" i="12"/>
  <c r="C28" i="12"/>
  <c r="B28" i="12"/>
  <c r="O27" i="12"/>
  <c r="M27" i="12"/>
  <c r="J27" i="12"/>
  <c r="I27" i="12"/>
  <c r="H27" i="12"/>
  <c r="F27" i="12"/>
  <c r="E27" i="12"/>
  <c r="D27" i="12"/>
  <c r="C27" i="12"/>
  <c r="B27" i="12"/>
  <c r="O26" i="12"/>
  <c r="N26" i="12"/>
  <c r="M26" i="12"/>
  <c r="J26" i="12"/>
  <c r="I26" i="12"/>
  <c r="H26" i="12"/>
  <c r="F26" i="12"/>
  <c r="E26" i="12"/>
  <c r="D26" i="12"/>
  <c r="C26" i="12"/>
  <c r="B26" i="12"/>
  <c r="Q25" i="12"/>
  <c r="P25" i="12"/>
  <c r="O25" i="12"/>
  <c r="N25" i="12"/>
  <c r="M25" i="12"/>
  <c r="K25" i="12"/>
  <c r="J25" i="12"/>
  <c r="I25" i="12"/>
  <c r="H25" i="12"/>
  <c r="F25" i="12"/>
  <c r="E25" i="12"/>
  <c r="D25" i="12"/>
  <c r="C25" i="12"/>
  <c r="B25" i="12"/>
  <c r="P24" i="12"/>
  <c r="O24" i="12"/>
  <c r="N24" i="12"/>
  <c r="M24" i="12"/>
  <c r="J24" i="12"/>
  <c r="I24" i="12"/>
  <c r="H24" i="12"/>
  <c r="F24" i="12"/>
  <c r="E24" i="12"/>
  <c r="D24" i="12"/>
  <c r="C24" i="12"/>
  <c r="B24" i="12"/>
  <c r="P23" i="12"/>
  <c r="O23" i="12"/>
  <c r="M23" i="12"/>
  <c r="J23" i="12"/>
  <c r="I23" i="12"/>
  <c r="H23" i="12"/>
  <c r="F23" i="12"/>
  <c r="E23" i="12"/>
  <c r="D23" i="12"/>
  <c r="C23" i="12"/>
  <c r="B23" i="12"/>
  <c r="P22" i="12"/>
  <c r="O22" i="12"/>
  <c r="N22" i="12"/>
  <c r="M22" i="12"/>
  <c r="J22" i="12"/>
  <c r="I22" i="12"/>
  <c r="H22" i="12"/>
  <c r="F22" i="12"/>
  <c r="E22" i="12"/>
  <c r="D22" i="12"/>
  <c r="C22" i="12"/>
  <c r="B22" i="12"/>
  <c r="O21" i="12"/>
  <c r="N21" i="12"/>
  <c r="M21" i="12"/>
  <c r="J21" i="12"/>
  <c r="I21" i="12"/>
  <c r="H21" i="12"/>
  <c r="F21" i="12"/>
  <c r="E21" i="12"/>
  <c r="D21" i="12"/>
  <c r="C21" i="12"/>
  <c r="B21" i="12"/>
  <c r="P20" i="12"/>
  <c r="O20" i="12"/>
  <c r="N20" i="12"/>
  <c r="M20" i="12"/>
  <c r="J20" i="12"/>
  <c r="I20" i="12"/>
  <c r="H20" i="12"/>
  <c r="F20" i="12"/>
  <c r="E20" i="12"/>
  <c r="D20" i="12"/>
  <c r="C20" i="12"/>
  <c r="B20" i="12"/>
  <c r="P19" i="12"/>
  <c r="O19" i="12"/>
  <c r="N19" i="12"/>
  <c r="M19" i="12"/>
  <c r="J19" i="12"/>
  <c r="I19" i="12"/>
  <c r="H19" i="12"/>
  <c r="F19" i="12"/>
  <c r="E19" i="12"/>
  <c r="D19" i="12"/>
  <c r="C19" i="12"/>
  <c r="B19" i="12"/>
  <c r="O18" i="12"/>
  <c r="N18" i="12"/>
  <c r="M18" i="12"/>
  <c r="J18" i="12"/>
  <c r="I18" i="12"/>
  <c r="H18" i="12"/>
  <c r="F18" i="12"/>
  <c r="E18" i="12"/>
  <c r="D18" i="12"/>
  <c r="C18" i="12"/>
  <c r="B18" i="12"/>
  <c r="O17" i="12"/>
  <c r="N17" i="12"/>
  <c r="M17" i="12"/>
  <c r="J17" i="12"/>
  <c r="I17" i="12"/>
  <c r="H17" i="12"/>
  <c r="F17" i="12"/>
  <c r="E17" i="12"/>
  <c r="D17" i="12"/>
  <c r="C17" i="12"/>
  <c r="B17" i="12"/>
  <c r="O16" i="12"/>
  <c r="N16" i="12"/>
  <c r="M16" i="12"/>
  <c r="J16" i="12"/>
  <c r="I16" i="12"/>
  <c r="H16" i="12"/>
  <c r="F16" i="12"/>
  <c r="E16" i="12"/>
  <c r="D16" i="12"/>
  <c r="C16" i="12"/>
  <c r="B16" i="12"/>
  <c r="Q15" i="12"/>
  <c r="O15" i="12"/>
  <c r="N15" i="12"/>
  <c r="M15" i="12"/>
  <c r="K15" i="12"/>
  <c r="J15" i="12"/>
  <c r="I15" i="12"/>
  <c r="H15" i="12"/>
  <c r="F15" i="12"/>
  <c r="E15" i="12"/>
  <c r="D15" i="12"/>
  <c r="C15" i="12"/>
  <c r="B15" i="12"/>
  <c r="P14" i="12"/>
  <c r="O14" i="12"/>
  <c r="N14" i="12"/>
  <c r="M14" i="12"/>
  <c r="J14" i="12"/>
  <c r="I14" i="12"/>
  <c r="H14" i="12"/>
  <c r="F14" i="12"/>
  <c r="E14" i="12"/>
  <c r="D14" i="12"/>
  <c r="C14" i="12"/>
  <c r="B14" i="12"/>
  <c r="P13" i="12"/>
  <c r="O13" i="12"/>
  <c r="N13" i="12"/>
  <c r="M13" i="12"/>
  <c r="J13" i="12"/>
  <c r="I13" i="12"/>
  <c r="H13" i="12"/>
  <c r="F13" i="12"/>
  <c r="E13" i="12"/>
  <c r="D13" i="12"/>
  <c r="C13" i="12"/>
  <c r="B13" i="12"/>
  <c r="P12" i="12"/>
  <c r="O12" i="12"/>
  <c r="N12" i="12"/>
  <c r="M12" i="12"/>
  <c r="L12" i="12"/>
  <c r="K12" i="12"/>
  <c r="J12" i="12"/>
  <c r="I12" i="12"/>
  <c r="H12" i="12"/>
  <c r="F12" i="12"/>
  <c r="E12" i="12"/>
  <c r="D12" i="12"/>
  <c r="C12" i="12"/>
  <c r="B12" i="12"/>
  <c r="O11" i="12"/>
  <c r="N11" i="12"/>
  <c r="M11" i="12"/>
  <c r="J11" i="12"/>
  <c r="I11" i="12"/>
  <c r="H11" i="12"/>
  <c r="F11" i="12"/>
  <c r="E11" i="12"/>
  <c r="D11" i="12"/>
  <c r="C11" i="12"/>
  <c r="B11" i="12"/>
  <c r="P10" i="12"/>
  <c r="O10" i="12"/>
  <c r="M10" i="12"/>
  <c r="J10" i="12"/>
  <c r="I10" i="12"/>
  <c r="H10" i="12"/>
  <c r="F10" i="12"/>
  <c r="E10" i="12"/>
  <c r="D10" i="12"/>
  <c r="C10" i="12"/>
  <c r="B10" i="12"/>
  <c r="Q9" i="12"/>
  <c r="P9" i="12"/>
  <c r="O9" i="12"/>
  <c r="N9" i="12"/>
  <c r="M9" i="12"/>
  <c r="K9" i="12"/>
  <c r="J9" i="12"/>
  <c r="I9" i="12"/>
  <c r="H9" i="12"/>
  <c r="F9" i="12"/>
  <c r="E9" i="12"/>
  <c r="D9" i="12"/>
  <c r="C9" i="12"/>
  <c r="B9" i="12"/>
  <c r="O8" i="12"/>
  <c r="M8" i="12"/>
  <c r="J8" i="12"/>
  <c r="I8" i="12"/>
  <c r="H8" i="12"/>
  <c r="F8" i="12"/>
  <c r="E8" i="12"/>
  <c r="D8" i="12"/>
  <c r="C8" i="12"/>
  <c r="B8" i="12"/>
  <c r="Q7" i="12"/>
  <c r="O7" i="12"/>
  <c r="M7" i="12"/>
  <c r="K7" i="12"/>
  <c r="J7" i="12"/>
  <c r="I7" i="12"/>
  <c r="H7" i="12"/>
  <c r="F7" i="12"/>
  <c r="E7" i="12"/>
  <c r="D7" i="12"/>
  <c r="C7" i="12"/>
  <c r="B7" i="12"/>
  <c r="R6" i="12"/>
  <c r="Q6" i="12"/>
  <c r="P6" i="12"/>
  <c r="O6" i="12"/>
  <c r="N6" i="12"/>
  <c r="M6" i="12"/>
  <c r="K6" i="12"/>
  <c r="J6" i="12"/>
  <c r="I6" i="12"/>
  <c r="H6" i="12"/>
  <c r="F6" i="12"/>
  <c r="E6" i="12"/>
  <c r="D6" i="12"/>
  <c r="C6" i="12"/>
  <c r="B6" i="12"/>
  <c r="O5" i="12"/>
  <c r="N5" i="12"/>
  <c r="M5" i="12"/>
  <c r="J5" i="12"/>
  <c r="I5" i="12"/>
  <c r="H5" i="12"/>
  <c r="F5" i="12"/>
  <c r="E5" i="12"/>
  <c r="D5" i="12"/>
  <c r="C5" i="12"/>
  <c r="B5" i="12"/>
  <c r="P4" i="12"/>
  <c r="O4" i="12"/>
  <c r="N4" i="12"/>
  <c r="M4" i="12"/>
  <c r="J4" i="12"/>
  <c r="I4" i="12"/>
  <c r="H4" i="12"/>
  <c r="F4" i="12"/>
  <c r="E4" i="12"/>
  <c r="D4" i="12"/>
  <c r="C4" i="12"/>
  <c r="B4" i="12"/>
  <c r="Q3" i="12"/>
  <c r="P3" i="12"/>
  <c r="O3" i="12"/>
  <c r="N3" i="12"/>
  <c r="M3" i="12"/>
  <c r="K3" i="12"/>
  <c r="J3" i="12"/>
  <c r="I3" i="12"/>
  <c r="H3" i="12"/>
  <c r="F3" i="12"/>
  <c r="E3" i="12"/>
  <c r="D3" i="12"/>
  <c r="C3" i="12"/>
  <c r="B3" i="12"/>
  <c r="K1" i="12"/>
  <c r="L1" i="12" s="1"/>
  <c r="M1" i="12" s="1"/>
  <c r="N1" i="12" s="1"/>
  <c r="O1" i="12" s="1"/>
  <c r="P1" i="12" s="1"/>
  <c r="Q1" i="12" s="1"/>
  <c r="R1" i="12" s="1"/>
  <c r="S1" i="12" s="1"/>
  <c r="B1" i="12"/>
  <c r="C1" i="12" s="1"/>
  <c r="D1" i="12" s="1"/>
  <c r="E1" i="12" s="1"/>
  <c r="F1" i="12" s="1"/>
  <c r="G1" i="12" s="1"/>
  <c r="H1" i="12" s="1"/>
  <c r="I1" i="12" s="1"/>
  <c r="J1" i="12" s="1"/>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560" i="4"/>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N25" i="4"/>
  <c r="M25" i="4"/>
  <c r="L25" i="4"/>
  <c r="K25" i="4"/>
  <c r="J25" i="4"/>
  <c r="I25" i="4"/>
  <c r="H25" i="4"/>
  <c r="G25" i="4"/>
  <c r="F25" i="4"/>
  <c r="E25" i="4"/>
  <c r="D25" i="4"/>
  <c r="C25" i="4"/>
  <c r="B25" i="4"/>
  <c r="M24" i="4"/>
  <c r="K24" i="4"/>
  <c r="J24" i="4"/>
  <c r="I24" i="4"/>
  <c r="H24" i="4"/>
  <c r="G24" i="4"/>
  <c r="F24" i="4"/>
  <c r="E24" i="4"/>
  <c r="D24" i="4"/>
  <c r="C24" i="4"/>
  <c r="B24" i="4"/>
  <c r="N23" i="4"/>
  <c r="M23" i="4"/>
  <c r="L23" i="4"/>
  <c r="K23" i="4"/>
  <c r="J23" i="4"/>
  <c r="I23" i="4"/>
  <c r="H23" i="4"/>
  <c r="G23" i="4"/>
  <c r="F23" i="4"/>
  <c r="E23" i="4"/>
  <c r="D23" i="4"/>
  <c r="C23" i="4"/>
  <c r="B23" i="4"/>
  <c r="M22" i="4"/>
  <c r="L22" i="4"/>
  <c r="K22" i="4"/>
  <c r="J22" i="4"/>
  <c r="I22" i="4"/>
  <c r="H22" i="4"/>
  <c r="G22" i="4"/>
  <c r="F22" i="4"/>
  <c r="E22" i="4"/>
  <c r="D22" i="4"/>
  <c r="C22" i="4"/>
  <c r="B22" i="4"/>
  <c r="M21" i="4"/>
  <c r="K21" i="4"/>
  <c r="J21" i="4"/>
  <c r="I21" i="4"/>
  <c r="H21" i="4"/>
  <c r="G21" i="4"/>
  <c r="F21" i="4"/>
  <c r="E21" i="4"/>
  <c r="D21" i="4"/>
  <c r="C21" i="4"/>
  <c r="B21" i="4"/>
  <c r="N20" i="4"/>
  <c r="M20" i="4"/>
  <c r="L20" i="4"/>
  <c r="K20" i="4"/>
  <c r="J20" i="4"/>
  <c r="I20" i="4"/>
  <c r="H20" i="4"/>
  <c r="G20" i="4"/>
  <c r="F20" i="4"/>
  <c r="E20" i="4"/>
  <c r="D20" i="4"/>
  <c r="C20" i="4"/>
  <c r="B20" i="4"/>
  <c r="N19" i="4"/>
  <c r="M19" i="4"/>
  <c r="L19" i="4"/>
  <c r="K19" i="4"/>
  <c r="J19" i="4"/>
  <c r="I19" i="4"/>
  <c r="H19" i="4"/>
  <c r="G19" i="4"/>
  <c r="F19" i="4"/>
  <c r="E19" i="4"/>
  <c r="D19" i="4"/>
  <c r="C19" i="4"/>
  <c r="B19" i="4"/>
  <c r="M18" i="4"/>
  <c r="L18" i="4"/>
  <c r="K18" i="4"/>
  <c r="J18" i="4"/>
  <c r="I18" i="4"/>
  <c r="H18" i="4"/>
  <c r="G18" i="4"/>
  <c r="F18" i="4"/>
  <c r="E18" i="4"/>
  <c r="D18" i="4"/>
  <c r="C18" i="4"/>
  <c r="B18" i="4"/>
  <c r="M17" i="4"/>
  <c r="L17" i="4"/>
  <c r="K17" i="4"/>
  <c r="J17" i="4"/>
  <c r="I17" i="4"/>
  <c r="H17" i="4"/>
  <c r="G17" i="4"/>
  <c r="F17" i="4"/>
  <c r="E17" i="4"/>
  <c r="D17" i="4"/>
  <c r="C17" i="4"/>
  <c r="B17" i="4"/>
  <c r="M16" i="4"/>
  <c r="K16" i="4"/>
  <c r="J16" i="4"/>
  <c r="I16" i="4"/>
  <c r="H16" i="4"/>
  <c r="G16" i="4"/>
  <c r="F16" i="4"/>
  <c r="E16" i="4"/>
  <c r="D16" i="4"/>
  <c r="C16" i="4"/>
  <c r="B16" i="4"/>
  <c r="N15" i="4"/>
  <c r="M15" i="4"/>
  <c r="L15" i="4"/>
  <c r="K15" i="4"/>
  <c r="J15" i="4"/>
  <c r="I15" i="4"/>
  <c r="H15" i="4"/>
  <c r="G15" i="4"/>
  <c r="F15" i="4"/>
  <c r="E15" i="4"/>
  <c r="D15" i="4"/>
  <c r="C15" i="4"/>
  <c r="B15" i="4"/>
  <c r="M14" i="4"/>
  <c r="L14" i="4"/>
  <c r="K14" i="4"/>
  <c r="J14" i="4"/>
  <c r="I14" i="4"/>
  <c r="H14" i="4"/>
  <c r="G14" i="4"/>
  <c r="F14" i="4"/>
  <c r="E14" i="4"/>
  <c r="D14" i="4"/>
  <c r="C14" i="4"/>
  <c r="B14" i="4"/>
  <c r="N13" i="4"/>
  <c r="M13" i="4"/>
  <c r="L13" i="4"/>
  <c r="K13" i="4"/>
  <c r="J13" i="4"/>
  <c r="I13" i="4"/>
  <c r="H13" i="4"/>
  <c r="G13" i="4"/>
  <c r="F13" i="4"/>
  <c r="E13" i="4"/>
  <c r="D13" i="4"/>
  <c r="C13" i="4"/>
  <c r="B13" i="4"/>
  <c r="N12" i="4"/>
  <c r="M12" i="4"/>
  <c r="L12" i="4"/>
  <c r="K12" i="4"/>
  <c r="J12" i="4"/>
  <c r="I12" i="4"/>
  <c r="H12" i="4"/>
  <c r="G12" i="4"/>
  <c r="F12" i="4"/>
  <c r="E12" i="4"/>
  <c r="D12" i="4"/>
  <c r="C12" i="4"/>
  <c r="B12" i="4"/>
  <c r="M11" i="4"/>
  <c r="L11" i="4"/>
  <c r="K11" i="4"/>
  <c r="J11" i="4"/>
  <c r="I11" i="4"/>
  <c r="H11" i="4"/>
  <c r="G11" i="4"/>
  <c r="F11" i="4"/>
  <c r="E11" i="4"/>
  <c r="D11" i="4"/>
  <c r="C11" i="4"/>
  <c r="B11" i="4"/>
  <c r="N10" i="4"/>
  <c r="M10" i="4"/>
  <c r="K10" i="4"/>
  <c r="J10" i="4"/>
  <c r="I10" i="4"/>
  <c r="H10" i="4"/>
  <c r="G10" i="4"/>
  <c r="F10" i="4"/>
  <c r="E10" i="4"/>
  <c r="D10" i="4"/>
  <c r="C10" i="4"/>
  <c r="B10" i="4"/>
  <c r="N9" i="4"/>
  <c r="M9" i="4"/>
  <c r="L9" i="4"/>
  <c r="K9" i="4"/>
  <c r="J9" i="4"/>
  <c r="I9" i="4"/>
  <c r="H9" i="4"/>
  <c r="G9" i="4"/>
  <c r="F9" i="4"/>
  <c r="E9" i="4"/>
  <c r="D9" i="4"/>
  <c r="C9" i="4"/>
  <c r="B9" i="4"/>
  <c r="N8" i="4"/>
  <c r="M8" i="4"/>
  <c r="K8" i="4"/>
  <c r="J8" i="4"/>
  <c r="I8" i="4"/>
  <c r="H8" i="4"/>
  <c r="G8" i="4"/>
  <c r="F8" i="4"/>
  <c r="E8" i="4"/>
  <c r="D8" i="4"/>
  <c r="C8" i="4"/>
  <c r="B8" i="4"/>
  <c r="N7" i="4"/>
  <c r="M7" i="4"/>
  <c r="L7" i="4"/>
  <c r="K7" i="4"/>
  <c r="J7" i="4"/>
  <c r="I7" i="4"/>
  <c r="H7" i="4"/>
  <c r="G7" i="4"/>
  <c r="F7" i="4"/>
  <c r="E7" i="4"/>
  <c r="D7" i="4"/>
  <c r="C7" i="4"/>
  <c r="B7" i="4"/>
  <c r="N6" i="4"/>
  <c r="M6" i="4"/>
  <c r="L6" i="4"/>
  <c r="K6" i="4"/>
  <c r="J6" i="4"/>
  <c r="I6" i="4"/>
  <c r="H6" i="4"/>
  <c r="G6" i="4"/>
  <c r="F6" i="4"/>
  <c r="E6" i="4"/>
  <c r="D6" i="4"/>
  <c r="C6" i="4"/>
  <c r="B6" i="4"/>
  <c r="N5" i="4"/>
  <c r="M5" i="4"/>
  <c r="L5" i="4"/>
  <c r="K5" i="4"/>
  <c r="J5" i="4"/>
  <c r="I5" i="4"/>
  <c r="H5" i="4"/>
  <c r="G5" i="4"/>
  <c r="F5" i="4"/>
  <c r="E5" i="4"/>
  <c r="D5" i="4"/>
  <c r="C5" i="4"/>
  <c r="B5" i="4"/>
  <c r="N4" i="4"/>
  <c r="M4" i="4"/>
  <c r="L4" i="4"/>
  <c r="K4" i="4"/>
  <c r="J4" i="4"/>
  <c r="I4" i="4"/>
  <c r="H4" i="4"/>
  <c r="G4" i="4"/>
  <c r="F4" i="4"/>
  <c r="E4" i="4"/>
  <c r="D4" i="4"/>
  <c r="C4" i="4"/>
  <c r="B4" i="4"/>
  <c r="N3" i="4"/>
  <c r="M3" i="4"/>
  <c r="L3" i="4"/>
  <c r="K3" i="4"/>
  <c r="J3" i="4"/>
  <c r="I3" i="4"/>
  <c r="H3" i="4"/>
  <c r="G3" i="4"/>
  <c r="F3" i="4"/>
  <c r="E3" i="4"/>
  <c r="D3" i="4"/>
  <c r="C3" i="4"/>
  <c r="B3" i="4"/>
  <c r="E1" i="4"/>
  <c r="F1" i="4" s="1"/>
  <c r="G1" i="4" s="1"/>
  <c r="H1" i="4" s="1"/>
  <c r="I1" i="4" s="1"/>
  <c r="J1" i="4" s="1"/>
  <c r="K1" i="4" s="1"/>
  <c r="L1" i="4" s="1"/>
  <c r="M1" i="4" s="1"/>
  <c r="N1" i="4" s="1"/>
  <c r="B1" i="4"/>
  <c r="C1" i="4" s="1"/>
  <c r="D1" i="4" s="1"/>
  <c r="C17" i="3"/>
  <c r="B17" i="3"/>
  <c r="A17" i="3"/>
  <c r="C16" i="3"/>
  <c r="B16" i="3"/>
  <c r="A16" i="3"/>
  <c r="C15" i="3"/>
  <c r="B15" i="3"/>
  <c r="A15" i="3"/>
  <c r="C14" i="3"/>
  <c r="B14" i="3"/>
  <c r="A14" i="3"/>
  <c r="C13" i="3"/>
  <c r="B13" i="3"/>
  <c r="A13" i="3"/>
  <c r="C12" i="3"/>
  <c r="B12" i="3"/>
  <c r="A12" i="3"/>
  <c r="C9" i="3"/>
  <c r="B9" i="3"/>
  <c r="A9" i="3"/>
  <c r="C8" i="3"/>
  <c r="B8" i="3"/>
  <c r="A8" i="3"/>
  <c r="C6" i="3"/>
  <c r="B6" i="3"/>
  <c r="A6" i="3"/>
  <c r="C5" i="3"/>
  <c r="B5" i="3"/>
  <c r="A5" i="3"/>
  <c r="C4" i="3"/>
  <c r="B4" i="3"/>
  <c r="A4" i="3"/>
  <c r="C3" i="3"/>
  <c r="B3" i="3"/>
  <c r="A3" i="3"/>
  <c r="A651" i="2"/>
  <c r="A650" i="2"/>
  <c r="A649" i="2"/>
  <c r="A648" i="2"/>
  <c r="A647" i="2"/>
  <c r="A646" i="2"/>
  <c r="A645" i="2"/>
  <c r="A644" i="2"/>
  <c r="A643" i="2"/>
  <c r="A642" i="2"/>
  <c r="A641" i="2"/>
  <c r="A640" i="2"/>
  <c r="A639" i="2"/>
  <c r="A638" i="2"/>
  <c r="A637" i="2"/>
  <c r="A636" i="2"/>
  <c r="A635" i="2"/>
  <c r="A634" i="2"/>
  <c r="A633" i="2"/>
  <c r="A632" i="2"/>
  <c r="A631" i="2"/>
  <c r="A630" i="2"/>
  <c r="A629" i="2"/>
  <c r="A628" i="2"/>
  <c r="A627" i="2"/>
  <c r="A626" i="2"/>
  <c r="A625" i="2"/>
  <c r="A624" i="2"/>
  <c r="A623" i="2"/>
  <c r="A622" i="2"/>
  <c r="A621" i="2"/>
  <c r="A620" i="2"/>
  <c r="A619" i="2"/>
  <c r="A618" i="2"/>
  <c r="A617" i="2"/>
  <c r="A616" i="2"/>
  <c r="A615" i="2"/>
  <c r="A614" i="2"/>
  <c r="A613" i="2"/>
  <c r="A612" i="2"/>
  <c r="A611" i="2"/>
  <c r="A610" i="2"/>
  <c r="A609" i="2"/>
  <c r="A608" i="2"/>
  <c r="A607" i="2"/>
  <c r="A606" i="2"/>
  <c r="A605" i="2"/>
  <c r="A604" i="2"/>
  <c r="A603" i="2"/>
  <c r="A602" i="2"/>
  <c r="A601" i="2"/>
  <c r="A600" i="2"/>
  <c r="A599" i="2"/>
  <c r="A598" i="2"/>
  <c r="A597" i="2"/>
  <c r="A596" i="2"/>
  <c r="A595" i="2"/>
  <c r="A594" i="2"/>
  <c r="A593" i="2"/>
  <c r="A592" i="2"/>
  <c r="A591" i="2"/>
  <c r="A590" i="2"/>
  <c r="A589" i="2"/>
  <c r="A588" i="2"/>
  <c r="A587" i="2"/>
  <c r="A586" i="2"/>
  <c r="A585" i="2"/>
  <c r="A584" i="2"/>
  <c r="A583" i="2"/>
  <c r="A582" i="2"/>
  <c r="A581" i="2"/>
  <c r="A580" i="2"/>
  <c r="A579" i="2"/>
  <c r="A578" i="2"/>
  <c r="A577" i="2"/>
  <c r="A576" i="2"/>
  <c r="A575" i="2"/>
  <c r="A574" i="2"/>
  <c r="A573" i="2"/>
  <c r="A572" i="2"/>
  <c r="A571" i="2"/>
  <c r="A570" i="2"/>
  <c r="A569" i="2"/>
  <c r="A568" i="2"/>
  <c r="A567" i="2"/>
  <c r="A566" i="2"/>
  <c r="A565" i="2"/>
  <c r="A564" i="2"/>
  <c r="A563" i="2"/>
  <c r="A562" i="2"/>
  <c r="A561" i="2"/>
  <c r="A560" i="2"/>
  <c r="A559" i="2"/>
  <c r="A558" i="2"/>
  <c r="A557" i="2"/>
  <c r="A556" i="2"/>
  <c r="A555" i="2"/>
  <c r="A554" i="2"/>
  <c r="A553" i="2"/>
  <c r="A552" i="2"/>
  <c r="A551" i="2"/>
  <c r="A550" i="2"/>
  <c r="A549" i="2"/>
  <c r="A548" i="2"/>
  <c r="A547" i="2"/>
  <c r="A546" i="2"/>
  <c r="A545" i="2"/>
  <c r="A544" i="2"/>
  <c r="A543" i="2"/>
  <c r="A542" i="2"/>
  <c r="A541" i="2"/>
  <c r="A540" i="2"/>
  <c r="A539" i="2"/>
  <c r="A538" i="2"/>
  <c r="A537" i="2"/>
  <c r="A536" i="2"/>
  <c r="A535" i="2"/>
  <c r="A534" i="2"/>
  <c r="A533" i="2"/>
  <c r="A532" i="2"/>
  <c r="A531" i="2"/>
  <c r="A530" i="2"/>
  <c r="A529" i="2"/>
  <c r="A528" i="2"/>
  <c r="A527" i="2"/>
  <c r="A526" i="2"/>
  <c r="A525" i="2"/>
  <c r="A524" i="2"/>
  <c r="A523" i="2"/>
  <c r="A522" i="2"/>
  <c r="A521" i="2"/>
  <c r="A520" i="2"/>
  <c r="A519" i="2"/>
  <c r="A518" i="2"/>
  <c r="A517" i="2"/>
  <c r="A516" i="2"/>
  <c r="A515" i="2"/>
  <c r="A514" i="2"/>
  <c r="A513" i="2"/>
  <c r="A512" i="2"/>
  <c r="A511" i="2"/>
  <c r="A510" i="2"/>
  <c r="A509" i="2"/>
  <c r="A508" i="2"/>
  <c r="A507" i="2"/>
  <c r="A506" i="2"/>
  <c r="A505" i="2"/>
  <c r="A504" i="2"/>
  <c r="A503" i="2"/>
  <c r="A502" i="2"/>
  <c r="A501" i="2"/>
  <c r="A500" i="2"/>
  <c r="A499" i="2"/>
  <c r="A498" i="2"/>
  <c r="A497" i="2"/>
  <c r="A496" i="2"/>
  <c r="A495" i="2"/>
  <c r="A494" i="2"/>
  <c r="A493" i="2"/>
  <c r="A492" i="2"/>
  <c r="A491" i="2"/>
  <c r="A490" i="2"/>
  <c r="A489" i="2"/>
  <c r="A488" i="2"/>
  <c r="A487" i="2"/>
  <c r="A486" i="2"/>
  <c r="A485" i="2"/>
  <c r="A484" i="2"/>
  <c r="A483" i="2"/>
  <c r="A482" i="2"/>
  <c r="A481" i="2"/>
  <c r="A480" i="2"/>
  <c r="A479" i="2"/>
  <c r="A478" i="2"/>
  <c r="A477" i="2"/>
  <c r="A476" i="2"/>
  <c r="A475" i="2"/>
  <c r="A474" i="2"/>
  <c r="A473" i="2"/>
  <c r="A472" i="2"/>
  <c r="A471" i="2"/>
  <c r="A470" i="2"/>
  <c r="A469" i="2"/>
  <c r="A468" i="2"/>
  <c r="A467" i="2"/>
  <c r="A466" i="2"/>
  <c r="A465" i="2"/>
  <c r="A464" i="2"/>
  <c r="A463" i="2"/>
  <c r="A462" i="2"/>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N25" i="2"/>
  <c r="M25" i="2"/>
  <c r="L25" i="2"/>
  <c r="K25" i="2"/>
  <c r="J25" i="2"/>
  <c r="I25" i="2"/>
  <c r="G25" i="2"/>
  <c r="F25" i="2"/>
  <c r="E25" i="2"/>
  <c r="D25" i="2"/>
  <c r="C25" i="2"/>
  <c r="B25" i="2"/>
  <c r="M24" i="2"/>
  <c r="L24" i="2"/>
  <c r="K24" i="2"/>
  <c r="J24" i="2"/>
  <c r="I24" i="2"/>
  <c r="G24" i="2"/>
  <c r="F24" i="2"/>
  <c r="E24" i="2"/>
  <c r="D24" i="2"/>
  <c r="C24" i="2"/>
  <c r="B24" i="2"/>
  <c r="N23" i="2"/>
  <c r="M23" i="2"/>
  <c r="L23" i="2"/>
  <c r="K23" i="2"/>
  <c r="J23" i="2"/>
  <c r="I23" i="2"/>
  <c r="G23" i="2"/>
  <c r="F23" i="2"/>
  <c r="E23" i="2"/>
  <c r="D23" i="2"/>
  <c r="C23" i="2"/>
  <c r="B23" i="2"/>
  <c r="M22" i="2"/>
  <c r="K22" i="2"/>
  <c r="J22" i="2"/>
  <c r="I22" i="2"/>
  <c r="G22" i="2"/>
  <c r="F22" i="2"/>
  <c r="E22" i="2"/>
  <c r="D22" i="2"/>
  <c r="C22" i="2"/>
  <c r="B22" i="2"/>
  <c r="N21" i="2"/>
  <c r="M21" i="2"/>
  <c r="L21" i="2"/>
  <c r="K21" i="2"/>
  <c r="J21" i="2"/>
  <c r="I21" i="2"/>
  <c r="G21" i="2"/>
  <c r="F21" i="2"/>
  <c r="E21" i="2"/>
  <c r="D21" i="2"/>
  <c r="C21" i="2"/>
  <c r="B21" i="2"/>
  <c r="N20" i="2"/>
  <c r="M20" i="2"/>
  <c r="L20" i="2"/>
  <c r="K20" i="2"/>
  <c r="J20" i="2"/>
  <c r="I20" i="2"/>
  <c r="G20" i="2"/>
  <c r="F20" i="2"/>
  <c r="E20" i="2"/>
  <c r="D20" i="2"/>
  <c r="C20" i="2"/>
  <c r="B20" i="2"/>
  <c r="N19" i="2"/>
  <c r="M19" i="2"/>
  <c r="K19" i="2"/>
  <c r="J19" i="2"/>
  <c r="I19" i="2"/>
  <c r="G19" i="2"/>
  <c r="F19" i="2"/>
  <c r="E19" i="2"/>
  <c r="D19" i="2"/>
  <c r="C19" i="2"/>
  <c r="B19" i="2"/>
  <c r="M18" i="2"/>
  <c r="L18" i="2"/>
  <c r="K18" i="2"/>
  <c r="J18" i="2"/>
  <c r="I18" i="2"/>
  <c r="G18" i="2"/>
  <c r="F18" i="2"/>
  <c r="E18" i="2"/>
  <c r="D18" i="2"/>
  <c r="C18" i="2"/>
  <c r="B18" i="2"/>
  <c r="M17" i="2"/>
  <c r="L17" i="2"/>
  <c r="K17" i="2"/>
  <c r="J17" i="2"/>
  <c r="I17" i="2"/>
  <c r="G17" i="2"/>
  <c r="F17" i="2"/>
  <c r="E17" i="2"/>
  <c r="D17" i="2"/>
  <c r="C17" i="2"/>
  <c r="B17" i="2"/>
  <c r="M16" i="2"/>
  <c r="L16" i="2"/>
  <c r="K16" i="2"/>
  <c r="J16" i="2"/>
  <c r="I16" i="2"/>
  <c r="G16" i="2"/>
  <c r="F16" i="2"/>
  <c r="E16" i="2"/>
  <c r="D16" i="2"/>
  <c r="C16" i="2"/>
  <c r="B16" i="2"/>
  <c r="N15" i="2"/>
  <c r="M15" i="2"/>
  <c r="L15" i="2"/>
  <c r="K15" i="2"/>
  <c r="J15" i="2"/>
  <c r="I15" i="2"/>
  <c r="G15" i="2"/>
  <c r="F15" i="2"/>
  <c r="E15" i="2"/>
  <c r="D15" i="2"/>
  <c r="C15" i="2"/>
  <c r="B15" i="2"/>
  <c r="M14" i="2"/>
  <c r="L14" i="2"/>
  <c r="K14" i="2"/>
  <c r="J14" i="2"/>
  <c r="I14" i="2"/>
  <c r="G14" i="2"/>
  <c r="F14" i="2"/>
  <c r="E14" i="2"/>
  <c r="D14" i="2"/>
  <c r="C14" i="2"/>
  <c r="B14" i="2"/>
  <c r="N13" i="2"/>
  <c r="M13" i="2"/>
  <c r="L13" i="2"/>
  <c r="K13" i="2"/>
  <c r="J13" i="2"/>
  <c r="I13" i="2"/>
  <c r="G13" i="2"/>
  <c r="F13" i="2"/>
  <c r="E13" i="2"/>
  <c r="D13" i="2"/>
  <c r="C13" i="2"/>
  <c r="B13" i="2"/>
  <c r="N12" i="2"/>
  <c r="M12" i="2"/>
  <c r="L12" i="2"/>
  <c r="K12" i="2"/>
  <c r="J12" i="2"/>
  <c r="I12" i="2"/>
  <c r="G12" i="2"/>
  <c r="F12" i="2"/>
  <c r="E12" i="2"/>
  <c r="D12" i="2"/>
  <c r="C12" i="2"/>
  <c r="B12" i="2"/>
  <c r="M11" i="2"/>
  <c r="K11" i="2"/>
  <c r="J11" i="2"/>
  <c r="I11" i="2"/>
  <c r="G11" i="2"/>
  <c r="F11" i="2"/>
  <c r="E11" i="2"/>
  <c r="D11" i="2"/>
  <c r="C11" i="2"/>
  <c r="B11" i="2"/>
  <c r="M10" i="2"/>
  <c r="K10" i="2"/>
  <c r="J10" i="2"/>
  <c r="I10" i="2"/>
  <c r="G10" i="2"/>
  <c r="F10" i="2"/>
  <c r="E10" i="2"/>
  <c r="D10" i="2"/>
  <c r="C10" i="2"/>
  <c r="B10" i="2"/>
  <c r="M9" i="2"/>
  <c r="K9" i="2"/>
  <c r="J9" i="2"/>
  <c r="I9" i="2"/>
  <c r="G9" i="2"/>
  <c r="F9" i="2"/>
  <c r="E9" i="2"/>
  <c r="D9" i="2"/>
  <c r="C9" i="2"/>
  <c r="B9" i="2"/>
  <c r="N8" i="2"/>
  <c r="M8" i="2"/>
  <c r="L8" i="2"/>
  <c r="K8" i="2"/>
  <c r="J8" i="2"/>
  <c r="I8" i="2"/>
  <c r="G8" i="2"/>
  <c r="F8" i="2"/>
  <c r="E8" i="2"/>
  <c r="D8" i="2"/>
  <c r="C8" i="2"/>
  <c r="B8" i="2"/>
  <c r="N7" i="2"/>
  <c r="M7" i="2"/>
  <c r="L7" i="2"/>
  <c r="K7" i="2"/>
  <c r="J7" i="2"/>
  <c r="I7" i="2"/>
  <c r="G7" i="2"/>
  <c r="F7" i="2"/>
  <c r="E7" i="2"/>
  <c r="D7" i="2"/>
  <c r="C7" i="2"/>
  <c r="B7" i="2"/>
  <c r="M6" i="2"/>
  <c r="K6" i="2"/>
  <c r="J6" i="2"/>
  <c r="I6" i="2"/>
  <c r="G6" i="2"/>
  <c r="F6" i="2"/>
  <c r="E6" i="2"/>
  <c r="D6" i="2"/>
  <c r="C6" i="2"/>
  <c r="B6" i="2"/>
  <c r="N5" i="2"/>
  <c r="M5" i="2"/>
  <c r="L5" i="2"/>
  <c r="K5" i="2"/>
  <c r="J5" i="2"/>
  <c r="I5" i="2"/>
  <c r="G5" i="2"/>
  <c r="F5" i="2"/>
  <c r="E5" i="2"/>
  <c r="D5" i="2"/>
  <c r="C5" i="2"/>
  <c r="B5" i="2"/>
  <c r="M4" i="2"/>
  <c r="L4" i="2"/>
  <c r="K4" i="2"/>
  <c r="J4" i="2"/>
  <c r="I4" i="2"/>
  <c r="G4" i="2"/>
  <c r="F4" i="2"/>
  <c r="E4" i="2"/>
  <c r="D4" i="2"/>
  <c r="C4" i="2"/>
  <c r="B4" i="2"/>
  <c r="M3" i="2"/>
  <c r="L3" i="2"/>
  <c r="K3" i="2"/>
  <c r="J3" i="2"/>
  <c r="I3" i="2"/>
  <c r="G3" i="2"/>
  <c r="F3" i="2"/>
  <c r="E3" i="2"/>
  <c r="D3" i="2"/>
  <c r="C3" i="2"/>
  <c r="B3" i="2"/>
  <c r="B1" i="2"/>
  <c r="C1" i="2" s="1"/>
  <c r="D1" i="2" s="1"/>
  <c r="E1" i="2" s="1"/>
  <c r="F1" i="2" s="1"/>
  <c r="G1" i="2" s="1"/>
  <c r="H1" i="2" s="1"/>
  <c r="I1" i="2" s="1"/>
  <c r="J1" i="2" s="1"/>
  <c r="K1" i="2" s="1"/>
  <c r="L1" i="2" s="1"/>
  <c r="M1" i="2" s="1"/>
  <c r="N1" i="2" s="1"/>
  <c r="A654" i="19" l="1"/>
  <c r="N654" i="19" s="1"/>
  <c r="A152" i="12"/>
  <c r="A72" i="12"/>
  <c r="A145" i="12"/>
  <c r="A235" i="12"/>
  <c r="A31" i="12"/>
  <c r="A32" i="12"/>
  <c r="A107" i="17"/>
  <c r="A166" i="12"/>
  <c r="A86" i="12"/>
  <c r="A98" i="12"/>
  <c r="A110" i="12"/>
  <c r="A24" i="12"/>
  <c r="A161" i="12"/>
  <c r="A9" i="12"/>
  <c r="A187" i="12"/>
  <c r="A57" i="12"/>
  <c r="A35" i="12"/>
  <c r="A628" i="19"/>
  <c r="N628" i="19" s="1"/>
  <c r="A4" i="12"/>
  <c r="A5" i="12"/>
  <c r="A22" i="12"/>
  <c r="A23" i="12"/>
  <c r="A87" i="12"/>
  <c r="A243" i="12"/>
  <c r="A624" i="19"/>
  <c r="N624" i="19" s="1"/>
  <c r="A118" i="12"/>
  <c r="A36" i="17"/>
  <c r="A10" i="12"/>
  <c r="A130" i="12"/>
  <c r="A216" i="12"/>
  <c r="A220" i="12"/>
  <c r="A571" i="19"/>
  <c r="N571" i="19" s="1"/>
  <c r="A102" i="12"/>
  <c r="A105" i="12"/>
  <c r="A196" i="12"/>
  <c r="A82" i="12"/>
  <c r="A212" i="12"/>
  <c r="A244" i="12"/>
  <c r="A164" i="17"/>
  <c r="A594" i="19"/>
  <c r="N594" i="19" s="1"/>
  <c r="A597" i="19"/>
  <c r="N597" i="19" s="1"/>
  <c r="A599" i="19"/>
  <c r="N599" i="19" s="1"/>
  <c r="A605" i="19"/>
  <c r="N605" i="19" s="1"/>
  <c r="A6" i="12"/>
  <c r="A48" i="12"/>
  <c r="A81" i="12"/>
  <c r="A45" i="17"/>
  <c r="A144" i="17"/>
  <c r="A644" i="19"/>
  <c r="N644" i="19" s="1"/>
  <c r="A46" i="12"/>
  <c r="A79" i="12"/>
  <c r="A80" i="12"/>
  <c r="A84" i="12"/>
  <c r="A115" i="12"/>
  <c r="A80" i="17"/>
  <c r="A89" i="17"/>
  <c r="A221" i="12"/>
  <c r="A74" i="12"/>
  <c r="A77" i="12"/>
  <c r="A78" i="12"/>
  <c r="A133" i="12"/>
  <c r="A601" i="19"/>
  <c r="N601" i="19" s="1"/>
  <c r="A604" i="19"/>
  <c r="N604" i="19" s="1"/>
  <c r="A98" i="17"/>
  <c r="A106" i="12"/>
  <c r="A169" i="12"/>
  <c r="A193" i="12"/>
  <c r="A101" i="12"/>
  <c r="A108" i="12"/>
  <c r="A139" i="12"/>
  <c r="A140" i="12"/>
  <c r="A141" i="12"/>
  <c r="A160" i="12"/>
  <c r="A170" i="12"/>
  <c r="A198" i="12"/>
  <c r="A226" i="12"/>
  <c r="A238" i="12"/>
  <c r="A241" i="12"/>
  <c r="A6" i="17"/>
  <c r="A570" i="19"/>
  <c r="N570" i="19" s="1"/>
  <c r="A653" i="19"/>
  <c r="N653" i="19" s="1"/>
  <c r="A8" i="2"/>
  <c r="A9" i="2"/>
  <c r="A51" i="12"/>
  <c r="A52" i="12"/>
  <c r="A173" i="12"/>
  <c r="A188" i="12"/>
  <c r="A197" i="12"/>
  <c r="A248" i="12"/>
  <c r="A116" i="17"/>
  <c r="A568" i="19"/>
  <c r="N568" i="19" s="1"/>
  <c r="A652" i="19"/>
  <c r="N652" i="19" s="1"/>
  <c r="A72" i="17"/>
  <c r="A117" i="12"/>
  <c r="A122" i="12"/>
  <c r="A249" i="12"/>
  <c r="A252" i="12"/>
  <c r="A59" i="17"/>
  <c r="A71" i="17"/>
  <c r="A119" i="12"/>
  <c r="A39" i="17"/>
  <c r="A19" i="4"/>
  <c r="A15" i="17"/>
  <c r="A85" i="17"/>
  <c r="A580" i="19"/>
  <c r="N580" i="19" s="1"/>
  <c r="A202" i="12"/>
  <c r="A211" i="12"/>
  <c r="A62" i="17"/>
  <c r="A74" i="17"/>
  <c r="A97" i="17"/>
  <c r="A182" i="17"/>
  <c r="A183" i="17"/>
  <c r="A3" i="2"/>
  <c r="A15" i="2"/>
  <c r="A16" i="2"/>
  <c r="A13" i="12"/>
  <c r="A15" i="12"/>
  <c r="A17" i="12"/>
  <c r="A127" i="12"/>
  <c r="A128" i="12"/>
  <c r="A131" i="12"/>
  <c r="A176" i="12"/>
  <c r="A180" i="12"/>
  <c r="A201" i="12"/>
  <c r="A622" i="19"/>
  <c r="N622" i="19" s="1"/>
  <c r="A656" i="19"/>
  <c r="N656" i="19" s="1"/>
  <c r="A94" i="12"/>
  <c r="A95" i="12"/>
  <c r="A242" i="12"/>
  <c r="A610" i="19"/>
  <c r="N610" i="19" s="1"/>
  <c r="A616" i="19"/>
  <c r="N616" i="19" s="1"/>
  <c r="A43" i="12"/>
  <c r="A53" i="17"/>
  <c r="A65" i="17"/>
  <c r="A176" i="17"/>
  <c r="A181" i="17"/>
  <c r="A578" i="19"/>
  <c r="N578" i="19" s="1"/>
  <c r="A581" i="19"/>
  <c r="N581" i="19" s="1"/>
  <c r="A606" i="19"/>
  <c r="N606" i="19" s="1"/>
  <c r="A41" i="12"/>
  <c r="A61" i="12"/>
  <c r="A144" i="12"/>
  <c r="A185" i="12"/>
  <c r="A186" i="12"/>
  <c r="A203" i="12"/>
  <c r="A245" i="12"/>
  <c r="A125" i="17"/>
  <c r="A16" i="12"/>
  <c r="A134" i="12"/>
  <c r="A135" i="12"/>
  <c r="A137" i="12"/>
  <c r="A150" i="12"/>
  <c r="A182" i="12"/>
  <c r="A184" i="12"/>
  <c r="A21" i="17"/>
  <c r="A113" i="17"/>
  <c r="A126" i="17"/>
  <c r="A8" i="4"/>
  <c r="A23" i="4"/>
  <c r="A73" i="12"/>
  <c r="A107" i="12"/>
  <c r="A125" i="12"/>
  <c r="A159" i="12"/>
  <c r="A194" i="12"/>
  <c r="A231" i="12"/>
  <c r="A234" i="12"/>
  <c r="A253" i="12"/>
  <c r="A16" i="17"/>
  <c r="A92" i="17"/>
  <c r="A103" i="17"/>
  <c r="A163" i="17"/>
  <c r="A169" i="17"/>
  <c r="A175" i="17"/>
  <c r="A69" i="12"/>
  <c r="A70" i="12"/>
  <c r="A75" i="12"/>
  <c r="A113" i="12"/>
  <c r="A114" i="12"/>
  <c r="A151" i="12"/>
  <c r="A174" i="12"/>
  <c r="A205" i="12"/>
  <c r="A206" i="12"/>
  <c r="A207" i="12"/>
  <c r="A208" i="12"/>
  <c r="A222" i="12"/>
  <c r="A232" i="12"/>
  <c r="A5" i="17"/>
  <c r="A50" i="17"/>
  <c r="A61" i="17"/>
  <c r="A63" i="17"/>
  <c r="A64" i="17"/>
  <c r="A104" i="17"/>
  <c r="A117" i="17"/>
  <c r="A118" i="17"/>
  <c r="A179" i="17"/>
  <c r="A650" i="19"/>
  <c r="N650" i="19" s="1"/>
  <c r="A14" i="2"/>
  <c r="A21" i="12"/>
  <c r="A25" i="12"/>
  <c r="A68" i="12"/>
  <c r="A111" i="12"/>
  <c r="A123" i="12"/>
  <c r="A148" i="12"/>
  <c r="A167" i="12"/>
  <c r="A224" i="12"/>
  <c r="A233" i="12"/>
  <c r="A18" i="17"/>
  <c r="A83" i="17"/>
  <c r="A150" i="17"/>
  <c r="A188" i="17"/>
  <c r="A629" i="19"/>
  <c r="N629" i="19" s="1"/>
  <c r="A632" i="19"/>
  <c r="N632" i="19" s="1"/>
  <c r="A655" i="19"/>
  <c r="N655" i="19" s="1"/>
  <c r="A14" i="12"/>
  <c r="A18" i="12"/>
  <c r="A27" i="12"/>
  <c r="A90" i="12"/>
  <c r="A91" i="12"/>
  <c r="A96" i="12"/>
  <c r="A200" i="12"/>
  <c r="A54" i="17"/>
  <c r="A95" i="17"/>
  <c r="A108" i="17"/>
  <c r="A141" i="17"/>
  <c r="A7" i="12"/>
  <c r="A11" i="12"/>
  <c r="A45" i="12"/>
  <c r="A54" i="12"/>
  <c r="A168" i="12"/>
  <c r="A213" i="12"/>
  <c r="A42" i="17"/>
  <c r="A86" i="17"/>
  <c r="A99" i="17"/>
  <c r="A100" i="17"/>
  <c r="A156" i="17"/>
  <c r="A157" i="17"/>
  <c r="A15" i="4"/>
  <c r="A21" i="4"/>
  <c r="A119" i="17"/>
  <c r="A154" i="17"/>
  <c r="A181" i="12"/>
  <c r="A209" i="12"/>
  <c r="A237" i="12"/>
  <c r="A240" i="12"/>
  <c r="A2" i="17"/>
  <c r="A11" i="17"/>
  <c r="A33" i="17"/>
  <c r="A77" i="17"/>
  <c r="A90" i="17"/>
  <c r="A155" i="17"/>
  <c r="A583" i="19"/>
  <c r="N583" i="19" s="1"/>
  <c r="A589" i="19"/>
  <c r="N589" i="19" s="1"/>
  <c r="A600" i="19"/>
  <c r="N600" i="19" s="1"/>
  <c r="A603" i="19"/>
  <c r="N603" i="19" s="1"/>
  <c r="A50" i="12"/>
  <c r="A229" i="12"/>
  <c r="A230" i="12"/>
  <c r="A12" i="17"/>
  <c r="A24" i="17"/>
  <c r="A26" i="17"/>
  <c r="A56" i="17"/>
  <c r="A67" i="17"/>
  <c r="A110" i="17"/>
  <c r="A121" i="17"/>
  <c r="A138" i="17"/>
  <c r="A161" i="17"/>
  <c r="A170" i="17"/>
  <c r="A20" i="2"/>
  <c r="A21" i="2"/>
  <c r="A5" i="4"/>
  <c r="A85" i="12"/>
  <c r="A172" i="12"/>
  <c r="A227" i="12"/>
  <c r="A25" i="17"/>
  <c r="A27" i="17"/>
  <c r="A41" i="17"/>
  <c r="A48" i="17"/>
  <c r="A68" i="17"/>
  <c r="A79" i="17"/>
  <c r="A81" i="17"/>
  <c r="A82" i="17"/>
  <c r="A122" i="17"/>
  <c r="A135" i="17"/>
  <c r="A564" i="19"/>
  <c r="A6" i="2"/>
  <c r="A19" i="2"/>
  <c r="A34" i="12"/>
  <c r="A39" i="12"/>
  <c r="A40" i="12"/>
  <c r="A60" i="12"/>
  <c r="A14" i="17"/>
  <c r="A28" i="17"/>
  <c r="A101" i="17"/>
  <c r="A132" i="17"/>
  <c r="A187" i="17"/>
  <c r="A582" i="19"/>
  <c r="N582" i="19" s="1"/>
  <c r="A588" i="19"/>
  <c r="N588" i="19" s="1"/>
  <c r="A631" i="19"/>
  <c r="N631" i="19" s="1"/>
  <c r="A634" i="19"/>
  <c r="N634" i="19" s="1"/>
  <c r="A637" i="19"/>
  <c r="N637" i="19" s="1"/>
  <c r="A178" i="17"/>
  <c r="A635" i="19"/>
  <c r="N635" i="19" s="1"/>
  <c r="A638" i="19"/>
  <c r="N638" i="19" s="1"/>
  <c r="A649" i="19"/>
  <c r="N649" i="19" s="1"/>
  <c r="A139" i="17"/>
  <c r="A567" i="19"/>
  <c r="N567" i="19" s="1"/>
  <c r="A13" i="2"/>
  <c r="A129" i="12"/>
  <c r="A204" i="12"/>
  <c r="A250" i="12"/>
  <c r="A17" i="17"/>
  <c r="A29" i="17"/>
  <c r="A31" i="17"/>
  <c r="A38" i="17"/>
  <c r="A40" i="17"/>
  <c r="A146" i="17"/>
  <c r="A184" i="17"/>
  <c r="A186" i="17"/>
  <c r="A566" i="19"/>
  <c r="N566" i="19" s="1"/>
  <c r="A579" i="19"/>
  <c r="N579" i="19" s="1"/>
  <c r="A602" i="19"/>
  <c r="N602" i="19" s="1"/>
  <c r="A609" i="19"/>
  <c r="N609" i="19" s="1"/>
  <c r="A180" i="17"/>
  <c r="A12" i="4"/>
  <c r="A17" i="4"/>
  <c r="A19" i="12"/>
  <c r="A20" i="12"/>
  <c r="A49" i="12"/>
  <c r="A136" i="12"/>
  <c r="A179" i="12"/>
  <c r="A239" i="12"/>
  <c r="A247" i="12"/>
  <c r="A30" i="17"/>
  <c r="A55" i="17"/>
  <c r="A57" i="17"/>
  <c r="A58" i="17"/>
  <c r="A66" i="17"/>
  <c r="A73" i="17"/>
  <c r="A75" i="17"/>
  <c r="A76" i="17"/>
  <c r="A84" i="17"/>
  <c r="A91" i="17"/>
  <c r="A93" i="17"/>
  <c r="A94" i="17"/>
  <c r="A102" i="17"/>
  <c r="A109" i="17"/>
  <c r="A111" i="17"/>
  <c r="A112" i="17"/>
  <c r="A120" i="17"/>
  <c r="A128" i="17"/>
  <c r="A147" i="17"/>
  <c r="A576" i="19"/>
  <c r="N576" i="19" s="1"/>
  <c r="A585" i="19"/>
  <c r="N585" i="19" s="1"/>
  <c r="A586" i="19"/>
  <c r="N586" i="19" s="1"/>
  <c r="A607" i="19"/>
  <c r="N607" i="19" s="1"/>
  <c r="A615" i="19"/>
  <c r="N615" i="19" s="1"/>
  <c r="A11" i="2"/>
  <c r="A10" i="2"/>
  <c r="A6" i="4"/>
  <c r="A16" i="4"/>
  <c r="A3" i="12"/>
  <c r="A62" i="12"/>
  <c r="A100" i="12"/>
  <c r="A103" i="12"/>
  <c r="A104" i="12"/>
  <c r="A116" i="12"/>
  <c r="A132" i="12"/>
  <c r="A138" i="12"/>
  <c r="A157" i="12"/>
  <c r="A178" i="12"/>
  <c r="A199" i="12"/>
  <c r="A8" i="17"/>
  <c r="A129" i="17"/>
  <c r="A148" i="17"/>
  <c r="A151" i="17"/>
  <c r="A158" i="17"/>
  <c r="A591" i="19"/>
  <c r="N591" i="19" s="1"/>
  <c r="A592" i="19"/>
  <c r="N592" i="19" s="1"/>
  <c r="A595" i="19"/>
  <c r="N595" i="19" s="1"/>
  <c r="A596" i="19"/>
  <c r="N596" i="19" s="1"/>
  <c r="A598" i="19"/>
  <c r="N598" i="19" s="1"/>
  <c r="A612" i="19"/>
  <c r="N612" i="19" s="1"/>
  <c r="A613" i="19"/>
  <c r="N613" i="19" s="1"/>
  <c r="A621" i="19"/>
  <c r="N621" i="19" s="1"/>
  <c r="A641" i="19"/>
  <c r="N641" i="19" s="1"/>
  <c r="A648" i="19"/>
  <c r="N648" i="19" s="1"/>
  <c r="A115" i="17"/>
  <c r="A23" i="2"/>
  <c r="A22" i="4"/>
  <c r="A26" i="12"/>
  <c r="A55" i="12"/>
  <c r="A58" i="12"/>
  <c r="A59" i="12"/>
  <c r="A120" i="12"/>
  <c r="A142" i="12"/>
  <c r="A177" i="12"/>
  <c r="A214" i="12"/>
  <c r="A215" i="12"/>
  <c r="A218" i="12"/>
  <c r="A236" i="12"/>
  <c r="A246" i="12"/>
  <c r="A9" i="17"/>
  <c r="A130" i="17"/>
  <c r="A133" i="17"/>
  <c r="A140" i="17"/>
  <c r="A149" i="17"/>
  <c r="A159" i="17"/>
  <c r="A165" i="17"/>
  <c r="A618" i="19"/>
  <c r="N618" i="19" s="1"/>
  <c r="A619" i="19"/>
  <c r="N619" i="19" s="1"/>
  <c r="A627" i="19"/>
  <c r="N627" i="19" s="1"/>
  <c r="A642" i="19"/>
  <c r="N642" i="19" s="1"/>
  <c r="A645" i="19"/>
  <c r="N645" i="19" s="1"/>
  <c r="A647" i="19"/>
  <c r="N647" i="19" s="1"/>
  <c r="A10" i="17"/>
  <c r="A20" i="17"/>
  <c r="A32" i="17"/>
  <c r="A35" i="17"/>
  <c r="A43" i="17"/>
  <c r="A131" i="17"/>
  <c r="A160" i="17"/>
  <c r="A162" i="17"/>
  <c r="A173" i="17"/>
  <c r="A625" i="19"/>
  <c r="N625" i="19" s="1"/>
  <c r="A633" i="19"/>
  <c r="N633" i="19" s="1"/>
  <c r="A52" i="17"/>
  <c r="A60" i="17"/>
  <c r="A70" i="17"/>
  <c r="A78" i="17"/>
  <c r="A88" i="17"/>
  <c r="A96" i="17"/>
  <c r="A106" i="17"/>
  <c r="A114" i="17"/>
  <c r="A575" i="19"/>
  <c r="N575" i="19" s="1"/>
  <c r="A577" i="19"/>
  <c r="N577" i="19" s="1"/>
  <c r="A584" i="19"/>
  <c r="N584" i="19" s="1"/>
  <c r="A587" i="19"/>
  <c r="N587" i="19" s="1"/>
  <c r="A608" i="19"/>
  <c r="N608" i="19" s="1"/>
  <c r="A630" i="19"/>
  <c r="N630" i="19" s="1"/>
  <c r="A639" i="19"/>
  <c r="N639" i="19" s="1"/>
  <c r="A25" i="4"/>
  <c r="A12" i="12"/>
  <c r="A112" i="12"/>
  <c r="A192" i="12"/>
  <c r="A223" i="12"/>
  <c r="A4" i="17"/>
  <c r="A22" i="17"/>
  <c r="A167" i="17"/>
  <c r="A168" i="17"/>
  <c r="A569" i="19"/>
  <c r="N569" i="19" s="1"/>
  <c r="A590" i="19"/>
  <c r="N590" i="19" s="1"/>
  <c r="A593" i="19"/>
  <c r="N593" i="19" s="1"/>
  <c r="A611" i="19"/>
  <c r="N611" i="19" s="1"/>
  <c r="A614" i="19"/>
  <c r="N614" i="19" s="1"/>
  <c r="A636" i="19"/>
  <c r="N636" i="19" s="1"/>
  <c r="A7" i="2"/>
  <c r="A9" i="4"/>
  <c r="A24" i="4"/>
  <c r="A5" i="2"/>
  <c r="A18" i="2"/>
  <c r="A29" i="12"/>
  <c r="A30" i="12"/>
  <c r="A38" i="12"/>
  <c r="A42" i="12"/>
  <c r="A47" i="12"/>
  <c r="A149" i="12"/>
  <c r="A162" i="12"/>
  <c r="A165" i="12"/>
  <c r="A183" i="12"/>
  <c r="A190" i="12"/>
  <c r="A219" i="12"/>
  <c r="A23" i="17"/>
  <c r="A123" i="17"/>
  <c r="A134" i="17"/>
  <c r="A136" i="17"/>
  <c r="A137" i="17"/>
  <c r="A145" i="17"/>
  <c r="A152" i="17"/>
  <c r="A177" i="17"/>
  <c r="A617" i="19"/>
  <c r="N617" i="19" s="1"/>
  <c r="A620" i="19"/>
  <c r="N620" i="19" s="1"/>
  <c r="A643" i="19"/>
  <c r="N643" i="19" s="1"/>
  <c r="A646" i="19"/>
  <c r="N646" i="19" s="1"/>
  <c r="A3" i="4"/>
  <c r="A12" i="2"/>
  <c r="A4" i="2"/>
  <c r="A17" i="2"/>
  <c r="A18" i="4"/>
  <c r="A33" i="12"/>
  <c r="A36" i="12"/>
  <c r="A44" i="12"/>
  <c r="A63" i="12"/>
  <c r="A65" i="12"/>
  <c r="A83" i="12"/>
  <c r="A89" i="12"/>
  <c r="A92" i="12"/>
  <c r="A97" i="12"/>
  <c r="A109" i="12"/>
  <c r="A126" i="12"/>
  <c r="A146" i="12"/>
  <c r="A147" i="12"/>
  <c r="A153" i="12"/>
  <c r="A154" i="12"/>
  <c r="A156" i="12"/>
  <c r="A164" i="12"/>
  <c r="A189" i="12"/>
  <c r="A191" i="12"/>
  <c r="A195" i="12"/>
  <c r="A225" i="12"/>
  <c r="A13" i="17"/>
  <c r="A37" i="17"/>
  <c r="A44" i="17"/>
  <c r="A47" i="17"/>
  <c r="A49" i="17"/>
  <c r="A124" i="17"/>
  <c r="A127" i="17"/>
  <c r="A153" i="17"/>
  <c r="A172" i="17"/>
  <c r="A174" i="17"/>
  <c r="A185" i="17"/>
  <c r="A565" i="19"/>
  <c r="N565" i="19" s="1"/>
  <c r="A572" i="19"/>
  <c r="N572" i="19" s="1"/>
  <c r="A573" i="19"/>
  <c r="N573" i="19" s="1"/>
  <c r="A623" i="19"/>
  <c r="N623" i="19" s="1"/>
  <c r="A626" i="19"/>
  <c r="N626" i="19" s="1"/>
  <c r="A651" i="19"/>
  <c r="N651" i="19" s="1"/>
  <c r="A7" i="4"/>
  <c r="A11" i="4"/>
  <c r="A13" i="4"/>
  <c r="A20" i="4"/>
  <c r="A14" i="4"/>
  <c r="A24" i="2"/>
  <c r="A10" i="4"/>
  <c r="A25" i="2"/>
  <c r="A4" i="4"/>
  <c r="A22" i="2"/>
  <c r="A8" i="12"/>
  <c r="A37" i="12"/>
  <c r="A53" i="12"/>
  <c r="A56" i="12"/>
  <c r="A143" i="12"/>
  <c r="A155" i="12"/>
  <c r="A163" i="12"/>
  <c r="A217" i="12"/>
  <c r="A251" i="12"/>
  <c r="A28" i="12"/>
  <c r="A64" i="12"/>
  <c r="A71" i="12"/>
  <c r="A88" i="12"/>
  <c r="A66" i="12"/>
  <c r="A171" i="12"/>
  <c r="A175" i="12"/>
  <c r="A67" i="12"/>
  <c r="A99" i="12"/>
  <c r="A228" i="12"/>
  <c r="A76" i="12"/>
  <c r="A93" i="12"/>
  <c r="A121" i="12"/>
  <c r="A124" i="12"/>
  <c r="A158" i="12"/>
  <c r="A210" i="12"/>
  <c r="A7" i="17"/>
  <c r="A19" i="17"/>
  <c r="A142" i="17"/>
  <c r="A34" i="17"/>
  <c r="A171" i="17"/>
  <c r="A51" i="17"/>
  <c r="A69" i="17"/>
  <c r="A87" i="17"/>
  <c r="A105" i="17"/>
  <c r="A3" i="17"/>
  <c r="A143" i="17"/>
  <c r="A166" i="17"/>
  <c r="A46" i="17"/>
  <c r="S164" i="12" l="1"/>
  <c r="S65" i="12"/>
  <c r="S177" i="12"/>
  <c r="S140" i="12"/>
  <c r="S110" i="12"/>
  <c r="S16" i="12"/>
  <c r="S207" i="12"/>
  <c r="S47" i="12"/>
  <c r="S178" i="12"/>
  <c r="S37" i="12"/>
  <c r="S66" i="12"/>
  <c r="S226" i="12"/>
  <c r="S217" i="12"/>
  <c r="S126" i="12"/>
  <c r="S219" i="12"/>
  <c r="S212" i="12"/>
  <c r="S253" i="12"/>
  <c r="S201" i="12"/>
  <c r="S176" i="12"/>
  <c r="S161" i="12"/>
  <c r="S26" i="12"/>
  <c r="S167" i="12"/>
  <c r="S103" i="12"/>
  <c r="S198" i="12"/>
  <c r="S24" i="12"/>
  <c r="S50" i="12"/>
  <c r="S22" i="12"/>
  <c r="S128" i="12"/>
  <c r="S61" i="12"/>
  <c r="S45" i="12"/>
  <c r="S134" i="12"/>
  <c r="S210" i="12"/>
  <c r="S33" i="12"/>
  <c r="S228" i="12"/>
  <c r="S163" i="12"/>
  <c r="S109" i="12"/>
  <c r="S190" i="12"/>
  <c r="S78" i="12"/>
  <c r="S223" i="12"/>
  <c r="S186" i="12"/>
  <c r="S54" i="12"/>
  <c r="S152" i="12"/>
  <c r="S246" i="12"/>
  <c r="S48" i="12"/>
  <c r="S100" i="12"/>
  <c r="S180" i="12"/>
  <c r="S235" i="12"/>
  <c r="S17" i="12"/>
  <c r="S127" i="12"/>
  <c r="S41" i="12"/>
  <c r="S10" i="12"/>
  <c r="S96" i="12"/>
  <c r="S155" i="12"/>
  <c r="S225" i="12"/>
  <c r="S97" i="12"/>
  <c r="S183" i="12"/>
  <c r="S220" i="12"/>
  <c r="S185" i="12"/>
  <c r="S80" i="12"/>
  <c r="S237" i="12"/>
  <c r="S151" i="12"/>
  <c r="S236" i="12"/>
  <c r="S62" i="12"/>
  <c r="S133" i="12"/>
  <c r="S247" i="12"/>
  <c r="S125" i="12"/>
  <c r="S108" i="12"/>
  <c r="S46" i="12"/>
  <c r="S4" i="12"/>
  <c r="S15" i="12"/>
  <c r="S121" i="12"/>
  <c r="S76" i="12"/>
  <c r="S143" i="12"/>
  <c r="S195" i="12"/>
  <c r="S92" i="12"/>
  <c r="S165" i="12"/>
  <c r="S192" i="12"/>
  <c r="S31" i="12"/>
  <c r="S173" i="12"/>
  <c r="S230" i="12"/>
  <c r="S150" i="12"/>
  <c r="S218" i="12"/>
  <c r="S3" i="12"/>
  <c r="S106" i="12"/>
  <c r="S239" i="12"/>
  <c r="S25" i="12"/>
  <c r="S233" i="12"/>
  <c r="S79" i="12"/>
  <c r="S169" i="12"/>
  <c r="S249" i="12"/>
  <c r="S159" i="12"/>
  <c r="S147" i="12"/>
  <c r="S99" i="12"/>
  <c r="S67" i="12"/>
  <c r="S175" i="12"/>
  <c r="S56" i="12"/>
  <c r="S191" i="12"/>
  <c r="S89" i="12"/>
  <c r="S162" i="12"/>
  <c r="S184" i="12"/>
  <c r="S52" i="12"/>
  <c r="S172" i="12"/>
  <c r="S229" i="12"/>
  <c r="S144" i="12"/>
  <c r="S215" i="12"/>
  <c r="S98" i="12"/>
  <c r="S179" i="12"/>
  <c r="S243" i="12"/>
  <c r="S209" i="12"/>
  <c r="S232" i="12"/>
  <c r="S35" i="12"/>
  <c r="S145" i="12"/>
  <c r="S241" i="12"/>
  <c r="S107" i="12"/>
  <c r="S88" i="12"/>
  <c r="S171" i="12"/>
  <c r="S53" i="12"/>
  <c r="S189" i="12"/>
  <c r="S83" i="12"/>
  <c r="S149" i="12"/>
  <c r="S141" i="12"/>
  <c r="S148" i="12"/>
  <c r="S221" i="12"/>
  <c r="S137" i="12"/>
  <c r="S214" i="12"/>
  <c r="S199" i="12"/>
  <c r="S72" i="12"/>
  <c r="S136" i="12"/>
  <c r="S197" i="12"/>
  <c r="S23" i="12"/>
  <c r="S122" i="12"/>
  <c r="S194" i="12"/>
  <c r="S21" i="12"/>
  <c r="S242" i="12"/>
  <c r="S118" i="12"/>
  <c r="S238" i="12"/>
  <c r="S111" i="12"/>
  <c r="S250" i="12"/>
  <c r="S102" i="12"/>
  <c r="S119" i="12"/>
  <c r="S81" i="12"/>
  <c r="S203" i="12"/>
  <c r="S95" i="12"/>
  <c r="S211" i="12"/>
  <c r="S68" i="12"/>
  <c r="S156" i="12"/>
  <c r="S63" i="12"/>
  <c r="S42" i="12"/>
  <c r="S112" i="12"/>
  <c r="S70" i="12"/>
  <c r="S91" i="12"/>
  <c r="S206" i="12"/>
  <c r="S244" i="12"/>
  <c r="S142" i="12"/>
  <c r="S157" i="12"/>
  <c r="S224" i="12"/>
  <c r="S20" i="12"/>
  <c r="S117" i="12"/>
  <c r="S245" i="12"/>
  <c r="S57" i="12"/>
  <c r="S101" i="12"/>
  <c r="S77" i="12"/>
  <c r="S182" i="12"/>
  <c r="S94" i="12"/>
  <c r="S139" i="12"/>
  <c r="S73" i="12"/>
  <c r="S166" i="12"/>
  <c r="S158" i="12"/>
  <c r="S154" i="12"/>
  <c r="S9" i="12"/>
  <c r="S12" i="12"/>
  <c r="S90" i="12"/>
  <c r="S202" i="12"/>
  <c r="S130" i="12"/>
  <c r="S120" i="12"/>
  <c r="S138" i="12"/>
  <c r="S131" i="12"/>
  <c r="S19" i="12"/>
  <c r="S105" i="12"/>
  <c r="S204" i="12"/>
  <c r="S196" i="12"/>
  <c r="S74" i="12"/>
  <c r="S86" i="12"/>
  <c r="S231" i="12"/>
  <c r="S222" i="12"/>
  <c r="S49" i="12"/>
  <c r="S71" i="12"/>
  <c r="S44" i="12"/>
  <c r="S38" i="12"/>
  <c r="S124" i="12"/>
  <c r="S64" i="12"/>
  <c r="S153" i="12"/>
  <c r="S36" i="12"/>
  <c r="S114" i="12"/>
  <c r="S30" i="12"/>
  <c r="S6" i="12"/>
  <c r="S32" i="12"/>
  <c r="S200" i="12"/>
  <c r="S11" i="12"/>
  <c r="S59" i="12"/>
  <c r="S252" i="12"/>
  <c r="S132" i="12"/>
  <c r="S40" i="12"/>
  <c r="S75" i="12"/>
  <c r="S168" i="12"/>
  <c r="S213" i="12"/>
  <c r="S85" i="12"/>
  <c r="S60" i="12"/>
  <c r="S240" i="12"/>
  <c r="S43" i="12"/>
  <c r="S84" i="12"/>
  <c r="S208" i="12"/>
  <c r="S14" i="12"/>
  <c r="S188" i="12"/>
  <c r="S58" i="12"/>
  <c r="S39" i="12"/>
  <c r="S116" i="12"/>
  <c r="S234" i="12"/>
  <c r="S18" i="12"/>
  <c r="S129" i="12"/>
  <c r="S87" i="12"/>
  <c r="S34" i="12"/>
  <c r="S181" i="12"/>
  <c r="S216" i="12"/>
  <c r="S51" i="12"/>
  <c r="S205" i="12"/>
  <c r="S27" i="12"/>
  <c r="S28" i="12"/>
  <c r="S29" i="12"/>
  <c r="S187" i="12"/>
  <c r="S93" i="12"/>
  <c r="S251" i="12"/>
  <c r="S7" i="12"/>
  <c r="S146" i="12"/>
  <c r="S69" i="12"/>
  <c r="S135" i="12"/>
  <c r="S227" i="12"/>
  <c r="S170" i="12"/>
  <c r="S13" i="12"/>
  <c r="S55" i="12"/>
  <c r="S104" i="12"/>
  <c r="S82" i="12"/>
  <c r="S123" i="12"/>
  <c r="S174" i="12"/>
  <c r="S115" i="12"/>
  <c r="S193" i="12"/>
  <c r="S160" i="12"/>
  <c r="S5" i="12"/>
  <c r="S248" i="12"/>
  <c r="S113" i="12"/>
  <c r="S8" i="12"/>
</calcChain>
</file>

<file path=xl/sharedStrings.xml><?xml version="1.0" encoding="utf-8"?>
<sst xmlns="http://schemas.openxmlformats.org/spreadsheetml/2006/main" count="9460" uniqueCount="3944">
  <si>
    <t>CHAVE_2</t>
  </si>
  <si>
    <t>CHAVE</t>
  </si>
  <si>
    <t>CPF</t>
  </si>
  <si>
    <t>NOME</t>
  </si>
  <si>
    <t>ENCARGO</t>
  </si>
  <si>
    <t>MUNICÍPIO</t>
  </si>
  <si>
    <t>UNIDADE</t>
  </si>
  <si>
    <t>CURSO</t>
  </si>
  <si>
    <t>TURNO</t>
  </si>
  <si>
    <t>POSSE</t>
  </si>
  <si>
    <t>EMAIL</t>
  </si>
  <si>
    <t>EMAIL SECUNDÁRIO</t>
  </si>
  <si>
    <t>N.TELEFONE 01</t>
  </si>
  <si>
    <t>N.TELEFONE 02</t>
  </si>
  <si>
    <t>CHAVES PRIMÁRIAS</t>
  </si>
  <si>
    <t>DADOS DA OFERTA</t>
  </si>
  <si>
    <t>PROFESSOR</t>
  </si>
  <si>
    <t>SUPERVISOR</t>
  </si>
  <si>
    <t>ORIENTADOR</t>
  </si>
  <si>
    <t>CHAVE_PROF</t>
  </si>
  <si>
    <t>CHAVE_SUP</t>
  </si>
  <si>
    <t>CHAVE_ORI</t>
  </si>
  <si>
    <t>MUNICIPIO</t>
  </si>
  <si>
    <t>CARGA HORÁRIA</t>
  </si>
  <si>
    <t>DATA DE INÍCIO DA OFERTA</t>
  </si>
  <si>
    <t>DATA FINAL DA OFERTA</t>
  </si>
  <si>
    <t>TELEFONE</t>
  </si>
  <si>
    <t>AREIA</t>
  </si>
  <si>
    <t>ASSENTAMENTO UNIAO</t>
  </si>
  <si>
    <t>AGENTE DE DESENVOLVIMENTO COOPERATIVISTA</t>
  </si>
  <si>
    <t>TARDE</t>
  </si>
  <si>
    <t>BAYEUX</t>
  </si>
  <si>
    <t>ASSISTENTE ESCOLAR</t>
  </si>
  <si>
    <t>BAIA DA TRAICAO</t>
  </si>
  <si>
    <t>EMEF CENTRO SOCIAL SAO MIGUEL</t>
  </si>
  <si>
    <t>AGRICULTOR ORGANICO</t>
  </si>
  <si>
    <t>CAJAZEIRAS</t>
  </si>
  <si>
    <t>RECEPCIONISTA</t>
  </si>
  <si>
    <t>CAMPINA GRANDE</t>
  </si>
  <si>
    <t>COSTUREIRO DE MAQUINA RETA E OVERLOQUE</t>
  </si>
  <si>
    <t>EEEFM SEN ARGEMIRO DE FIGUEIREDO</t>
  </si>
  <si>
    <t>VENDEDOR</t>
  </si>
  <si>
    <t>NOITE</t>
  </si>
  <si>
    <t>CONDADO</t>
  </si>
  <si>
    <t>ECIT DR. TRAJANO PIRES DA NOBREGA</t>
  </si>
  <si>
    <t>MANHA</t>
  </si>
  <si>
    <t>GURINHEM</t>
  </si>
  <si>
    <t>SINDICATO DOS TRABALHADORES RURAIS AGRICULTORES E AGRICULTORAS FAMILIARES DE GURINHEM</t>
  </si>
  <si>
    <t>JOAO PESSOA</t>
  </si>
  <si>
    <t>ASSOCIACAO BENEFICENTE MULHERES DO BEM - ALTO DO MATEUS</t>
  </si>
  <si>
    <t>CUIDADOR DE IDOSO</t>
  </si>
  <si>
    <t>CENTRO SOCIAL URBANO MONSENHOR JOSE COUTINHO - BAIRRO DOS IPES</t>
  </si>
  <si>
    <t>CUIDADOR INFANTIL</t>
  </si>
  <si>
    <t>ASSOCIACAO BENEFICENTE SAO JOSE</t>
  </si>
  <si>
    <t>CONFEITEIRO</t>
  </si>
  <si>
    <t>PATOS</t>
  </si>
  <si>
    <t>PILOES</t>
  </si>
  <si>
    <t>POMBAL</t>
  </si>
  <si>
    <t>MICROEMPREENDEDOR INDIVIDUAL (MEI)</t>
  </si>
  <si>
    <t>QUEIMADAS</t>
  </si>
  <si>
    <t>ECIT FRANCISCO ERNESTO DO REGO</t>
  </si>
  <si>
    <t>MANICURE E PEDICURE</t>
  </si>
  <si>
    <t>SAO FRANCISCO</t>
  </si>
  <si>
    <t>EMEF. FRANCISCO SALES GADELHA DE OLIVEIRA</t>
  </si>
  <si>
    <t>UIRAUNA</t>
  </si>
  <si>
    <t>ECIT DR. JOSE DUARTE FILHO</t>
  </si>
  <si>
    <t>1</t>
  </si>
  <si>
    <t>CURSO
(CÓDIGO)</t>
  </si>
  <si>
    <t>CARGA
HORÁRIA</t>
  </si>
  <si>
    <t>AGENTE CULTURAL</t>
  </si>
  <si>
    <t>AGENTE DE AEROPORTO</t>
  </si>
  <si>
    <t>AGENTE DE ALIMENTAÇAO ESCOLAR</t>
  </si>
  <si>
    <t>AGENTE DE DESENVOLVIMENTO SOCIOAMBIENTAL</t>
  </si>
  <si>
    <t>AGENTE DE GESTAO DE RESIDUOS SOLIDOS</t>
  </si>
  <si>
    <t>AGENTE DE INFORMACOES TURISTICAS</t>
  </si>
  <si>
    <t>AGENTE DE LIMPEZA URBANA</t>
  </si>
  <si>
    <t>AGENTE DE PROTECAO SOCIAL BASICA</t>
  </si>
  <si>
    <t>AGENTE DE SEGREGAÇÃO E COLETA DE RESÍDUOS SÓLIDOS</t>
  </si>
  <si>
    <t>AGRICULTOR FAMILIAR</t>
  </si>
  <si>
    <t>AJUDANTE DE OBRAS</t>
  </si>
  <si>
    <t>AJUSTADOR MECANICO</t>
  </si>
  <si>
    <t>ALFAIATE</t>
  </si>
  <si>
    <t>ALMOXARIFE</t>
  </si>
  <si>
    <t>APICULTOR</t>
  </si>
  <si>
    <t>APLICADOR DE REVESTIMENTO CERAMICO</t>
  </si>
  <si>
    <t>AQUICULTOR</t>
  </si>
  <si>
    <t>ARTESAO DE PINTURA EM TECIDO</t>
  </si>
  <si>
    <t>ARTESÃO EM BORDADO À MÃO</t>
  </si>
  <si>
    <t>ASSISTENTE ADMINISTRATIVO</t>
  </si>
  <si>
    <t>ASSISTENTE DE CONTABILIDADE</t>
  </si>
  <si>
    <t>ASSISTENTE DE COSTURA</t>
  </si>
  <si>
    <t>ASSISTENTE DE CREDITO E COBRANÇA</t>
  </si>
  <si>
    <t>ASSISTENTE DE LOGISTICA</t>
  </si>
  <si>
    <t>ASSISTENTE DE RECURSOS HUMANOS</t>
  </si>
  <si>
    <t>ASSISTENTE DE SECRETARIA ESCOLAR</t>
  </si>
  <si>
    <t>ASSISTENTE FINANCEIRO</t>
  </si>
  <si>
    <t>ATENDENTE DE LANCHONETE</t>
  </si>
  <si>
    <t>AUXILIAR DE AGROECOLOGIA</t>
  </si>
  <si>
    <t>AUXILIAR DE AGROPECUARIA</t>
  </si>
  <si>
    <t>AUXILIAR DE BIBLIOTECA</t>
  </si>
  <si>
    <t>AUXILIAR DE CONFEITARIA</t>
  </si>
  <si>
    <t>AUXILIAR DE COZINHA</t>
  </si>
  <si>
    <t>AUXILIAR DE FISCALIZAÇAO AMBIENTAL</t>
  </si>
  <si>
    <t>AUXILIAR DE LABORATORIO DE SAUDE</t>
  </si>
  <si>
    <t>AUXILIAR DE NUTRIÇÃO E DIETÉTICA</t>
  </si>
  <si>
    <t>ASSISTENTE DE OPERAÇÃO DE LOGÍSTICA PORTUÁRIA</t>
  </si>
  <si>
    <t>AUXILIAR PEDAGOGICO</t>
  </si>
  <si>
    <t>AVICULTOR</t>
  </si>
  <si>
    <t>BALCONISTA DE FARMACIA</t>
  </si>
  <si>
    <t>BARBEIRO</t>
  </si>
  <si>
    <t>BARISTA</t>
  </si>
  <si>
    <t>BOMBEIRO CIVIL</t>
  </si>
  <si>
    <t>BORRACHEIRO, ALINHADOR E BALANCEADOR</t>
  </si>
  <si>
    <t>BOVINOCULTOR DE CORTE</t>
  </si>
  <si>
    <t>BOVINOCULTOR DE LEITE</t>
  </si>
  <si>
    <t>CAPRINOCULTOR</t>
  </si>
  <si>
    <t>CONDUTOR DE TURISMO EM ESPAÇOS CULTURAIS LOCAIS</t>
  </si>
  <si>
    <t>CHAVEIRO</t>
  </si>
  <si>
    <t>CHURRASQUEIRO</t>
  </si>
  <si>
    <t>CONDUTOR DE TURISMO DE AVENTURA</t>
  </si>
  <si>
    <t>CONDUTOR DE TURISMO EM UNIDADES DE CONSERVACAO AMBIENTAL LOCAL</t>
  </si>
  <si>
    <t>CONFECCIONADOR DE BIJUTERIAS</t>
  </si>
  <si>
    <t>CONFECCIONADOR DE BOLSAS EM COURO E MATERIAL SINTETICO</t>
  </si>
  <si>
    <t>CONFECCIONADOR DE BOLSAS EM TECIDO</t>
  </si>
  <si>
    <t>CONFECCIONADOR DE LINGERIE E MODA PRAIA</t>
  </si>
  <si>
    <t>COSTUREIRO INDUSTRIAL DO VESTUARIO</t>
  </si>
  <si>
    <t>COZINHEIRO ARTESANAL</t>
  </si>
  <si>
    <t>CRIADOR DE PEIXES EM TANQUE REDE</t>
  </si>
  <si>
    <t>CRIADOR DE PEIXES EM VIVEIROS ESCAVADOS</t>
  </si>
  <si>
    <t>DEPILADOR</t>
  </si>
  <si>
    <t>DESENHISTA DE ANIMAÇAO</t>
  </si>
  <si>
    <t>DESENVOLVEDOR DE APLICATIVOS PARA MIDIAS DIGITAIS</t>
  </si>
  <si>
    <t>ELETRICISTA DE AUTOMOVEIS</t>
  </si>
  <si>
    <t>ELETRICISTA DE REDE DE DISTRIBUIÇAO DE ENERGIA ELETRICA</t>
  </si>
  <si>
    <t>ELETRICISTA DE SISTEMAS DE ENERGIAS RENOVAVEIS</t>
  </si>
  <si>
    <t>ELETRICISTA INSTALADOR PREDIAL DE BAIXA TENSAO</t>
  </si>
  <si>
    <t>EMBALADOR</t>
  </si>
  <si>
    <t>ENCANADOR INDUSTRIAL</t>
  </si>
  <si>
    <t>ESPANHOL BÁSICO</t>
  </si>
  <si>
    <t>ESPANHOL INTERMEDIÁRIO</t>
  </si>
  <si>
    <t>ESTAMPADOR DE TECIDO</t>
  </si>
  <si>
    <t>FORRAGICULTOR</t>
  </si>
  <si>
    <t>FRUTICULTOR</t>
  </si>
  <si>
    <t>GARÇOM</t>
  </si>
  <si>
    <t>GESSEIRO</t>
  </si>
  <si>
    <t>GESTOR DE MICROEMPRESA</t>
  </si>
  <si>
    <t>GUIA INTERPRETE</t>
  </si>
  <si>
    <t>HORTICULTOR ORGANICO</t>
  </si>
  <si>
    <t>INGLES BASICO</t>
  </si>
  <si>
    <t>INGLES INTERMEDIARIO</t>
  </si>
  <si>
    <t>INSEMINADOR ARTIFICIAL DE ANIMAIS</t>
  </si>
  <si>
    <t>INSPETOR ESCOLAR</t>
  </si>
  <si>
    <t>INSTALADOR E REPARADOR DE REDES DE COMPUTADORES</t>
  </si>
  <si>
    <t>INTRODUCAO A INTERPRETACAO EM LINGUA BRASILEIRA DE SINAIS (LIBRAS)</t>
  </si>
  <si>
    <t>MAQUIADOR</t>
  </si>
  <si>
    <t>MASSAGISTA</t>
  </si>
  <si>
    <t>MECANICO DE FREIOS, SUSPENSAO E DIREÇAO DE VEICULOS LEVES</t>
  </si>
  <si>
    <t>MECANICO DE MAQUINAS AGRICOLAS</t>
  </si>
  <si>
    <t>MECANICO DE MOTOCICLETAS</t>
  </si>
  <si>
    <t>MECANICO DE MOTORES A DIESEL</t>
  </si>
  <si>
    <t>MELIPONICULTOR</t>
  </si>
  <si>
    <t>MONTADOR E INSTALADOR DE MOVEIS</t>
  </si>
  <si>
    <t>MONTADOR E REPARADOR DE COMPUTADORES</t>
  </si>
  <si>
    <t>OPERADOR DE CAIXA</t>
  </si>
  <si>
    <t>OPERADOR DE COMPUTADOR</t>
  </si>
  <si>
    <t>OPERADOR DE MAQUINAS E IMPLEMENTOS AGRICOLAS</t>
  </si>
  <si>
    <t>OPERADOR DE MOTONIVELADORA</t>
  </si>
  <si>
    <t>OPERADOR DE PROCESSAMENTO DE FRUTAS E HORTALICAS</t>
  </si>
  <si>
    <t>OPERADOR DE RETROESCAVADEIRA</t>
  </si>
  <si>
    <t>OPERADOR DE SISTEMAS DE IRRIGACAO</t>
  </si>
  <si>
    <t>OPERADOR DE SUPERMERCADOS</t>
  </si>
  <si>
    <t>OPERADOR DE TELEMARKETING</t>
  </si>
  <si>
    <t>OPERADOR DE TRATORES</t>
  </si>
  <si>
    <t>ORGANIZADOR DE EVENTOS</t>
  </si>
  <si>
    <t>OVINOCULTOR</t>
  </si>
  <si>
    <t>PADEIRO</t>
  </si>
  <si>
    <t>PEDREIRO DE ALVENARIA</t>
  </si>
  <si>
    <t>PINTOR DE OBRAS IMOBILIARIAS</t>
  </si>
  <si>
    <t>PISCICULTOR</t>
  </si>
  <si>
    <t>PORTEIRO E VIGIA</t>
  </si>
  <si>
    <t>PREPARADOR DE DOCES E CONSERVAS</t>
  </si>
  <si>
    <t>PRODUTOR AGROPECUARIO</t>
  </si>
  <si>
    <t>PRODUTOR DE CACHAÇA</t>
  </si>
  <si>
    <t>PRODUTOR DE DERIVADOS DO LEITE</t>
  </si>
  <si>
    <t>PRODUTOR DE LICORES</t>
  </si>
  <si>
    <t>PRODUTOR DE MANDIOCA</t>
  </si>
  <si>
    <t>PRODUTOR DE OLERICOLAS</t>
  </si>
  <si>
    <t>PRODUTOR DE PLANTAS AROMATICAS E MEDICINAIS</t>
  </si>
  <si>
    <t>PRODUTOR DE PRODUTOS APICOLAS</t>
  </si>
  <si>
    <t>PRODUTOR DE QUEIJO</t>
  </si>
  <si>
    <t>PROGRAMADOR DE SISTEMAS</t>
  </si>
  <si>
    <t>PROGRAMADOR WEB</t>
  </si>
  <si>
    <t>PROMOTOR DE VENDAS</t>
  </si>
  <si>
    <t>RECEPCIONISTA EM SERVIÇOS DE SAÚDE</t>
  </si>
  <si>
    <t>REPARADOR DE ELETRODOMESTICOS</t>
  </si>
  <si>
    <t>SALGADEIRO</t>
  </si>
  <si>
    <t>SUINOCULTOR</t>
  </si>
  <si>
    <t>TRATORISTA AGRICOLA</t>
  </si>
  <si>
    <t>VENDEDOR PERMISSIONARIO</t>
  </si>
  <si>
    <t>VIDRACEIRO</t>
  </si>
  <si>
    <t>VIGILANTE</t>
  </si>
  <si>
    <t>VIVEIRICULTOR</t>
  </si>
  <si>
    <t>DESISTÊNCIA</t>
  </si>
  <si>
    <t>EDITAL</t>
  </si>
  <si>
    <t>CLASSIFICAÇÃO</t>
  </si>
  <si>
    <t>OBSERVAÇÃO DA POSSE</t>
  </si>
  <si>
    <t>DATA DE INÍCIO DO VÍNCULO</t>
  </si>
  <si>
    <t>DATA DE TÉRMINO DO VÍNCULO</t>
  </si>
  <si>
    <t>COD. AÇÕES</t>
  </si>
  <si>
    <t>AÇÕES</t>
  </si>
  <si>
    <t>COD. PROGRAMA</t>
  </si>
  <si>
    <t>PROGRAMA</t>
  </si>
  <si>
    <t>CÓD UNIDADE</t>
  </si>
  <si>
    <t>UNIDADE PRINCIPAL SISTEC</t>
  </si>
  <si>
    <t>UNIDADE REMOTA SISTEC</t>
  </si>
  <si>
    <t>UNIDADE DE ENSINO DA OFERTA</t>
  </si>
  <si>
    <t>CÓD CURSO</t>
  </si>
  <si>
    <t>EIXO</t>
  </si>
  <si>
    <t>MODALIDADE</t>
  </si>
  <si>
    <t>CARGA HORÁRIA (HORAS)</t>
  </si>
  <si>
    <t>EMAIL RESPONSÁVEL DA EQUIPE</t>
  </si>
  <si>
    <t>STATUS DA TURMA</t>
  </si>
  <si>
    <t>STATUS DA TURMA PELO PEDAGÓGICO</t>
  </si>
  <si>
    <t>CERTIFICADOS CRIADOS</t>
  </si>
  <si>
    <t>NÚMERO DE ALUNOS CADASTRADOS</t>
  </si>
  <si>
    <t>NÚMERO DE ALUNOS APROVADO</t>
  </si>
  <si>
    <t>DOCUMENTO FINAL ASSINADO</t>
  </si>
  <si>
    <t>LINK EIXO 1</t>
  </si>
  <si>
    <t>LINK EIXO 2</t>
  </si>
  <si>
    <t>LINK EIXO 3</t>
  </si>
  <si>
    <t>OBSERVAÇÃO</t>
  </si>
  <si>
    <t>REQUERENTE / COORDENADOR LOCAL</t>
  </si>
  <si>
    <t>APOIO</t>
  </si>
  <si>
    <t>ANO</t>
  </si>
  <si>
    <t>SIM</t>
  </si>
  <si>
    <t>CANCELADO</t>
  </si>
  <si>
    <t>CODIGO</t>
  </si>
  <si>
    <t>COD_MUNICIPIO</t>
  </si>
  <si>
    <t>COD_UNIDADE</t>
  </si>
  <si>
    <t>AGUA BRANCA</t>
  </si>
  <si>
    <t>13001 - AGUA BRANCA</t>
  </si>
  <si>
    <t>EEEFM JOSE NOMINANDO</t>
  </si>
  <si>
    <t>017 - EEEFM JOSE NOMINANDO</t>
  </si>
  <si>
    <t xml:space="preserve">POVOADO DE LAGOINHA </t>
  </si>
  <si>
    <t xml:space="preserve">116 - POVOADO DE LAGOINHA </t>
  </si>
  <si>
    <t>CENTRO ADMINISTRATIVO DA PREFEITURA</t>
  </si>
  <si>
    <t>350 - CENTRO ADMINISTRATIVO DA PREFEITURA</t>
  </si>
  <si>
    <t>ESCOLA MARIA DE LOURDES</t>
  </si>
  <si>
    <t>351 - ESCOLA MARIA DE LOURDES</t>
  </si>
  <si>
    <t>EMEF ANDRE ALVES DO NASCIMENTO</t>
  </si>
  <si>
    <t>381 - EMEF ANDRE ALVES DO NASCIMENTO</t>
  </si>
  <si>
    <t>EMEF ANTONIO VIRGOLINO BATISTA</t>
  </si>
  <si>
    <t>411 - EMEF ANTONIO VIRGOLINO BATISTA</t>
  </si>
  <si>
    <t>ESCOLA MAE IAIA</t>
  </si>
  <si>
    <t>442 - ESCOLA MAE IAIA</t>
  </si>
  <si>
    <t>AGUIAR</t>
  </si>
  <si>
    <t>13002 - AGUIAR</t>
  </si>
  <si>
    <t>AGUIAR - 13002.01 - Rua Antônio Alves, s/n, Centro</t>
  </si>
  <si>
    <t>149 - AGUIAR - 13002.01 - Rua Antônio Alves, s/n, Centro</t>
  </si>
  <si>
    <t>AGUIAR - 13002.02 - RUA SEVERINO AMANCIO</t>
  </si>
  <si>
    <t>150 - AGUIAR - 13002.02 - RUA SEVERINO AMANCIO</t>
  </si>
  <si>
    <t>EMEF LIDIA CABRAL DE SOUSA</t>
  </si>
  <si>
    <t>578 - EMEF LIDIA CABRAL DE SOUSA</t>
  </si>
  <si>
    <t>ALAGOA GRANDE</t>
  </si>
  <si>
    <t>13003 - ALAGOA GRANDE</t>
  </si>
  <si>
    <t>ECIT OSWALDO TRIGUEIRO DE ALBUQUERQUE MELO</t>
  </si>
  <si>
    <t>307 - ECIT OSWALDO TRIGUEIRO DE ALBUQUERQUE MELO</t>
  </si>
  <si>
    <t>COMUNIDADE QUILOMBOLA CAIANA DOS CRIOULOS</t>
  </si>
  <si>
    <t>466 - COMUNIDADE QUILOMBOLA CAIANA DOS CRIOULOS</t>
  </si>
  <si>
    <t>ALAGOA NOVA</t>
  </si>
  <si>
    <t>13004 - ALAGOA NOVA</t>
  </si>
  <si>
    <t>ALAGOA NOVA - 13004.01 - RUA ODILON LIMA S/N</t>
  </si>
  <si>
    <t>151 - ALAGOA NOVA - 13004.01 - RUA ODILON LIMA S/N</t>
  </si>
  <si>
    <t>ECIT MONSENHOR JOSÉ BORGES DE CARVALHO</t>
  </si>
  <si>
    <t>308 - ECIT MONSENHOR JOSÉ BORGES DE CARVALHO</t>
  </si>
  <si>
    <t>CENTRO ARTESANATO RAIMUNDO ASFORA</t>
  </si>
  <si>
    <t>412 - CENTRO ARTESANATO RAIMUNDO ASFORA</t>
  </si>
  <si>
    <t>CENTRO DE CULTURA E CIDADANIA DA ACAJAMAN</t>
  </si>
  <si>
    <t>573 - CENTRO DE CULTURA E CIDADANIA DA ACAJAMAN</t>
  </si>
  <si>
    <t>ALAGOINHA</t>
  </si>
  <si>
    <t>13005 - ALAGOINHA</t>
  </si>
  <si>
    <t>ECIT AGENOR CLEMENTE DOS SANTOS</t>
  </si>
  <si>
    <t>263 - ECIT AGENOR CLEMENTE DOS SANTOS</t>
  </si>
  <si>
    <t>ALHANDRA</t>
  </si>
  <si>
    <t>13006 - ALHANDRA</t>
  </si>
  <si>
    <t>ECIT RENATO RIBEIRO COUTINHO</t>
  </si>
  <si>
    <t>260 - ECIT RENATO RIBEIRO COUTINHO</t>
  </si>
  <si>
    <t>EMEIEF PROF ZELIA CORREIA DO O</t>
  </si>
  <si>
    <t>485 - EMEIEF PROF ZELIA CORREIA DO O</t>
  </si>
  <si>
    <t>AMPARO</t>
  </si>
  <si>
    <t>13175 - AMPARO</t>
  </si>
  <si>
    <t>AMPARO - 13175.01 - Avenida Vereador Cícero Soares</t>
  </si>
  <si>
    <t>152 - AMPARO - 13175.01 - Avenida Vereador Cícero Soares</t>
  </si>
  <si>
    <t>E.M.E.B. ILDEFONSO ANSELMO DA SILVA</t>
  </si>
  <si>
    <t>580 - E.M.E.B. ILDEFONSO ANSELMO DA SILVA</t>
  </si>
  <si>
    <t>APARECIDA</t>
  </si>
  <si>
    <t>13176 - APARECIDA</t>
  </si>
  <si>
    <t>APARECIDA - 13176.01 - RUA JOSEFA CASIMIRO DE ALMEIDA, 257</t>
  </si>
  <si>
    <t>153 - APARECIDA - 13176.01 - RUA JOSEFA CASIMIRO DE ALMEIDA, 257</t>
  </si>
  <si>
    <t>EMEF LILI QUEIROGA</t>
  </si>
  <si>
    <t>352 - EMEF LILI QUEIROGA</t>
  </si>
  <si>
    <t>SINDICATO DOS TRABALHADORES RURAIS</t>
  </si>
  <si>
    <t>353 - SINDICATO DOS TRABALHADORES RURAIS</t>
  </si>
  <si>
    <t>EMEF JOAQUINA AMELIA DE SA</t>
  </si>
  <si>
    <t>413 - EMEF JOAQUINA AMELIA DE SA</t>
  </si>
  <si>
    <t>SECRETARIA MUNICIPAL DE EDUCACAO</t>
  </si>
  <si>
    <t>486 - SECRETARIA MUNICIPAL DE EDUCACAO</t>
  </si>
  <si>
    <t>SINDICATO DOS TRABALHADORES RURAIS AGRICULTORES E AGRICULTORAS FAMILIARES DE APARECIDA PB</t>
  </si>
  <si>
    <t>487 - SINDICATO DOS TRABALHADORES RURAIS AGRICULTORES E AGRICULTORAS FAMILIARES DE APARECIDA PB</t>
  </si>
  <si>
    <t>ARAÇAGI</t>
  </si>
  <si>
    <t>13008 - ARAÇAGI</t>
  </si>
  <si>
    <t>EEEF RODRIGUES DE CARVALHO</t>
  </si>
  <si>
    <t>337 - EEEF RODRIGUES DE CARVALHO</t>
  </si>
  <si>
    <t>EMEF MARGARIDA PESSOA COUTINHO</t>
  </si>
  <si>
    <t>414 - EMEF MARGARIDA PESSOA COUTINHO</t>
  </si>
  <si>
    <t>EEEFM RODRIGUES DE CARVALHO</t>
  </si>
  <si>
    <t>460 - EEEFM RODRIGUES DE CARVALHO</t>
  </si>
  <si>
    <t>ARARA</t>
  </si>
  <si>
    <t>13009 - ARARA</t>
  </si>
  <si>
    <t>ARARA - 13009.01 - Rua Senador Ruy Carneiro, s/n</t>
  </si>
  <si>
    <t>154 - ARARA - 13009.01 - Rua Senador Ruy Carneiro, s/n</t>
  </si>
  <si>
    <t>EEEFM E EJA ANESIO DEODONIO MORENO</t>
  </si>
  <si>
    <t>395 - EEEFM E EJA ANESIO DEODONIO MORENO</t>
  </si>
  <si>
    <t>ARARUNA</t>
  </si>
  <si>
    <t>13010 - ARARUNA</t>
  </si>
  <si>
    <t>ASSOCIAÇÃO AFINK</t>
  </si>
  <si>
    <t>117 - ASSOCIAÇÃO AFINK</t>
  </si>
  <si>
    <t>ECIT BENJAMIN MARANHÃO</t>
  </si>
  <si>
    <t>305 - ECIT BENJAMIN MARANHÃO</t>
  </si>
  <si>
    <t>13011 - AREIA</t>
  </si>
  <si>
    <t>EEEF ALVARO MACHADO</t>
  </si>
  <si>
    <t>018 - EEEF ALVARO MACHADO</t>
  </si>
  <si>
    <t>ECIT MINISTRO JOSÉ AMÉRICO DE ALMEIDA</t>
  </si>
  <si>
    <t>278 - ECIT MINISTRO JOSÉ AMÉRICO DE ALMEIDA</t>
  </si>
  <si>
    <t>E.M.E.F ABEL BARBOSA DA SILVA</t>
  </si>
  <si>
    <t>354 - E.M.E.F ABEL BARBOSA DA SILVA</t>
  </si>
  <si>
    <t>E.M.E.F JOSE RODRIGUES</t>
  </si>
  <si>
    <t>355 - E.M.E.F JOSE RODRIGUES</t>
  </si>
  <si>
    <t>ECIT MINISTRO JOSE AMERICO DE ALMEIDA</t>
  </si>
  <si>
    <t>415 - ECIT MINISTRO JOSE AMERICO DE ALMEIDA</t>
  </si>
  <si>
    <t>AREIAL</t>
  </si>
  <si>
    <t>13012 - AREIAL</t>
  </si>
  <si>
    <t>E.E.E.M FRANCISCO APOLINARIO DA SILVA</t>
  </si>
  <si>
    <t>356 - E.E.E.M FRANCISCO APOLINARIO DA SILVA</t>
  </si>
  <si>
    <t>AROEIRAS</t>
  </si>
  <si>
    <t>13013 - AROEIRAS</t>
  </si>
  <si>
    <t>019 - CRIADOR DE PEIXES EM TANQUE REDE</t>
  </si>
  <si>
    <t>AROEIRAS - 13013.01 - Rua Vicente Ferreira Lima, s/n</t>
  </si>
  <si>
    <t>155 - AROEIRAS - 13013.01 - Rua Vicente Ferreira Lima, s/n</t>
  </si>
  <si>
    <t>AROEIRAS - 13013.02 - Rua Zeferino de Paula, 610</t>
  </si>
  <si>
    <t>156 - AROEIRAS - 13013.02 - Rua Zeferino de Paula, 610</t>
  </si>
  <si>
    <t>EEEFM MAJOR JOSE BARBOSA</t>
  </si>
  <si>
    <t>248 - EEEFM MAJOR JOSE BARBOSA</t>
  </si>
  <si>
    <t>EMEF JARDIRENE OLIVEIRA DE SOUZA</t>
  </si>
  <si>
    <t>445 - EMEF JARDIRENE OLIVEIRA DE SOUZA</t>
  </si>
  <si>
    <t>ASSUNCAO</t>
  </si>
  <si>
    <t>13178 - ASSUNÇÃO</t>
  </si>
  <si>
    <t>EEEFM JOAO ROGERIO D TOLEDO</t>
  </si>
  <si>
    <t>454 - EEEFM JOAO ROGERIO D TOLEDO</t>
  </si>
  <si>
    <t>ESCOLA CIDADA INTEGRAL ESTADUAL DE ENSINO MEDIO JOAO ROGERIO DIAS TOLEDO</t>
  </si>
  <si>
    <t>488 - ESCOLA CIDADA INTEGRAL ESTADUAL DE ENSINO MEDIO JOAO ROGERIO DIAS TOLEDO</t>
  </si>
  <si>
    <t>13015 - BAÍA DA TRAÍÇÃO</t>
  </si>
  <si>
    <t>ESCOLA MUNICIPAL PAULO EFÁSIO RODRIGUES</t>
  </si>
  <si>
    <t>357 - ESCOLA MUNICIPAL PAULO EFÁSIO RODRIGUES</t>
  </si>
  <si>
    <t>ASSOCIAÇÃO MULHERES GUERREIRAS INDÍGENAS POTIGUARA</t>
  </si>
  <si>
    <t>463 - ASSOCIAÇÃO MULHERES GUERREIRAS INDÍGENAS POTIGUARA</t>
  </si>
  <si>
    <t>ESCOLA MUNICIPAL DE ENSINO INFANTIL FUND. CENTRO SOCIAL SAO MIGUEL</t>
  </si>
  <si>
    <t>566 - ESCOLA MUNICIPAL DE ENSINO INFANTIL FUND. CENTRO SOCIAL SAO MIGUEL</t>
  </si>
  <si>
    <t>BANANEIRAS</t>
  </si>
  <si>
    <t>13016 - BANANEIRAS</t>
  </si>
  <si>
    <t>EMF JOÃO PAULO II - DISTRITO DE ROMA</t>
  </si>
  <si>
    <t>020 - EMF JOÃO PAULO II - DISTRITO DE ROMA</t>
  </si>
  <si>
    <t>BANANEIRAS - 13016.01 - RUA AUGUSTO BEZERRA CAVALCANTE, S/N, CENTRO</t>
  </si>
  <si>
    <t>157 - BANANEIRAS - 13016.01 - RUA AUGUSTO BEZERRA CAVALCANTE, S/N, CENTRO</t>
  </si>
  <si>
    <t>ECIT JOSÉ ROCHA SOBRINHO</t>
  </si>
  <si>
    <t>303 - ECIT JOSÉ ROCHA SOBRINHO</t>
  </si>
  <si>
    <t>ASSOCIAÇAO DOS TRABALHADORES RURAIS DO PA NOSSA SENHORA DO LIVRAMENTO</t>
  </si>
  <si>
    <t>416 - ASSOCIAÇAO DOS TRABALHADORES RURAIS DO PA NOSSA SENHORA DO LIVRAMENTO</t>
  </si>
  <si>
    <t>EMEF DO OLHO DAGUA</t>
  </si>
  <si>
    <t>417 - EMEF DO OLHO DAGUA</t>
  </si>
  <si>
    <t>CAMARA MUNICIPAL DE BANANEIRAS</t>
  </si>
  <si>
    <t>489 - CAMARA MUNICIPAL DE BANANEIRAS</t>
  </si>
  <si>
    <t>ESCOLA EMILIA DE OLIVEIRA NEVES</t>
  </si>
  <si>
    <t>490 - ESCOLA EMILIA DE OLIVEIRA NEVES</t>
  </si>
  <si>
    <t>ESCOLA MUNICIPAL DO JARACATIA</t>
  </si>
  <si>
    <t>491 - ESCOLA MUNICIPAL DO JARACATIA</t>
  </si>
  <si>
    <t>ESPACO CULTURAL OSCAR DE CASTRO</t>
  </si>
  <si>
    <t>492 - ESPACO CULTURAL OSCAR DE CASTRO</t>
  </si>
  <si>
    <t>BARAÚNA</t>
  </si>
  <si>
    <t>13179 - BARAÚNA</t>
  </si>
  <si>
    <t>ESCOLA MUNICIPAL FELIPE RODRIGUES DE LIMA</t>
  </si>
  <si>
    <t>358 - ESCOLA MUNICIPAL FELIPE RODRIGUES DE LIMA</t>
  </si>
  <si>
    <t>BARRA DE SANTA ROSA</t>
  </si>
  <si>
    <t>13017 - BARRA DE SANTA ROSA</t>
  </si>
  <si>
    <t>EEEFM JOSÉ LUIZ NETO</t>
  </si>
  <si>
    <t>021 - EEEFM JOSÉ LUIZ NETO</t>
  </si>
  <si>
    <t>COLÔNIA DE PESCADORES - AGÊNCIA XIQUE XIQUE</t>
  </si>
  <si>
    <t>022 - COLÔNIA DE PESCADORES - AGÊNCIA XIQUE XIQUE</t>
  </si>
  <si>
    <t>ECIT JOSÉ LUIZ NETO</t>
  </si>
  <si>
    <t>316 - ECIT JOSÉ LUIZ NETO</t>
  </si>
  <si>
    <t>SINDICATO DOS TRABALHADORES RURAIS AGRICULTORES E AGRICULTORAS FAMILIARES DE BARRA DE SANTA ROSA</t>
  </si>
  <si>
    <t>493 - SINDICATO DOS TRABALHADORES RURAIS AGRICULTORES E AGRICULTORAS FAMILIARES DE BARRA DE SANTA ROSA</t>
  </si>
  <si>
    <t>AUDITORIO DA USINA MARIA JOSE SOUSA SILVA</t>
  </si>
  <si>
    <t>579 - AUDITORIO DA USINA MARIA JOSE SOUSA SILVA</t>
  </si>
  <si>
    <t>BARRA DE SÃO MIGUEL</t>
  </si>
  <si>
    <t>13018 - BARRA DE SÃO MIGUEL</t>
  </si>
  <si>
    <t>ESCOLA JOÃO PINTO DA SILVA</t>
  </si>
  <si>
    <t>023 - ESCOLA JOÃO PINTO DA SILVA</t>
  </si>
  <si>
    <t>13019 - BAYEUX</t>
  </si>
  <si>
    <t>ECIT BAYEUX</t>
  </si>
  <si>
    <t>024 - ECIT BAYEUX</t>
  </si>
  <si>
    <t>BAYEUX - 13019.01 - RUA JOSÉ ULISSES TEIXEIRA, S/N - CENTRO</t>
  </si>
  <si>
    <t>158 - BAYEUX - 13019.01 - RUA JOSÉ ULISSES TEIXEIRA, S/N - CENTRO</t>
  </si>
  <si>
    <t>BAYEUX - 13019.02 - RUA PROJETADA, S/N - BAIRRO MÁRIO ANDREAZZA</t>
  </si>
  <si>
    <t>159 - BAYEUX - 13019.02 - RUA PROJETADA, S/N - BAIRRO MÁRIO ANDREAZZA</t>
  </si>
  <si>
    <t>ECI IRINEU PINTO</t>
  </si>
  <si>
    <t>239 - ECI IRINEU PINTO</t>
  </si>
  <si>
    <t>ECIT ERENICE CAVALCANTE FIDELES</t>
  </si>
  <si>
    <t>279 - ECIT ERENICE CAVALCANTE FIDELES</t>
  </si>
  <si>
    <t>BELÉM</t>
  </si>
  <si>
    <t>13020 - BELÉM</t>
  </si>
  <si>
    <t>BELEM - 13020.01 - Rua Francisco Carneiro, s/n - Centro</t>
  </si>
  <si>
    <t>160 - BELEM - 13020.01 - Rua Francisco Carneiro, s/n - Centro</t>
  </si>
  <si>
    <t>BELEM - 13020.02 - Rua Flávio Ribeiro, s/n - Centro</t>
  </si>
  <si>
    <t>161 - BELEM - 13020.02 - Rua Flávio Ribeiro, s/n - Centro</t>
  </si>
  <si>
    <t>ECIT MÁRCIA GUEDES ALCOFORADO DE CARVALHO</t>
  </si>
  <si>
    <t>304 - ECIT MÁRCIA GUEDES ALCOFORADO DE CARVALHO</t>
  </si>
  <si>
    <t>BERNARDINO BATISTA</t>
  </si>
  <si>
    <t>13181 - BERNARDINO BATISTA</t>
  </si>
  <si>
    <t>EMEF JOSE BATISTA DE SOUSA</t>
  </si>
  <si>
    <t>162 - EMEF JOSE BATISTA DE SOUSA</t>
  </si>
  <si>
    <t>ECI NELSON BATISTA ALVES</t>
  </si>
  <si>
    <t>359 - ECI NELSON BATISTA ALVES</t>
  </si>
  <si>
    <t>BOA VISTA</t>
  </si>
  <si>
    <t>13182 - BOA VISTA</t>
  </si>
  <si>
    <t>BOA VISTA - 13182.01 - RUA JOSÉ ALBINO DA SILVA Nº 25 - ESPLANADA BOM JESUS</t>
  </si>
  <si>
    <t>164 - BOA VISTA - 13182.01 - RUA JOSÉ ALBINO DA SILVA Nº 25 - ESPLANADA BOM JESUS</t>
  </si>
  <si>
    <t>ASSOCIAÇAO COMUNITARIA OS QUILOMBOLAS DE SANTA ROSA</t>
  </si>
  <si>
    <t>418 - ASSOCIAÇAO COMUNITARIA OS QUILOMBOLAS DE SANTA ROSA</t>
  </si>
  <si>
    <t>ESCOLA MUNICIPAL PROFESSORA FRANCISCA LEITE VITORINO</t>
  </si>
  <si>
    <t>455 - ESCOLA MUNICIPAL PROFESSORA FRANCISCA LEITE VITORINO</t>
  </si>
  <si>
    <t>BOM JESUS</t>
  </si>
  <si>
    <t>13023 - BOM JESUS</t>
  </si>
  <si>
    <t>ESCOLA MUNICIPAL DE ENSINO FUNDAMENTAL MARIA DO CARMO GONÇALVES</t>
  </si>
  <si>
    <t>118 - ESCOLA MUNICIPAL DE ENSINO FUNDAMENTAL MARIA DO CARMO GONÇALVES</t>
  </si>
  <si>
    <t>BONITO DE SANTA FÉ</t>
  </si>
  <si>
    <t>13025 - BONITO DE SANTA FÉ</t>
  </si>
  <si>
    <t>BONITO DE SANTA FE - 13025.01 - RUA JOANA MARIA DA CONCEIÇÃO, S/N - ANTOLÂNDIA</t>
  </si>
  <si>
    <t>165 - BONITO DE SANTA FE - 13025.01 - RUA JOANA MARIA DA CONCEIÇÃO, S/N - ANTOLÂNDIA</t>
  </si>
  <si>
    <t>EEEFM MONSENHOR MORAIS</t>
  </si>
  <si>
    <t>338 - EEEFM MONSENHOR MORAIS</t>
  </si>
  <si>
    <t>EMEIF PROF. AUREA DIAS DE ALMEIDA</t>
  </si>
  <si>
    <t>419 - EMEIF PROF. AUREA DIAS DE ALMEIDA</t>
  </si>
  <si>
    <t>BOQUEIRAO</t>
  </si>
  <si>
    <t>13026 - BOQUEIRÃO</t>
  </si>
  <si>
    <t>ESCOLA AGRICOLA DE BOQUEIRAO</t>
  </si>
  <si>
    <t>574 - ESCOLA AGRICOLA DE BOQUEIRAO</t>
  </si>
  <si>
    <t>BOQUEIRÃO</t>
  </si>
  <si>
    <t>EEEFM CONSELHEIRO JOSE BRAZ DO REGO</t>
  </si>
  <si>
    <t>012 - EEEFM CONSELHEIRO JOSE BRAZ DO REGO</t>
  </si>
  <si>
    <t>BOQUEIRAO - 13026.01 - Rua João Cícero dos Santos , S/N</t>
  </si>
  <si>
    <t>166 - BOQUEIRAO - 13026.01 - Rua João Cícero dos Santos , S/N</t>
  </si>
  <si>
    <t>ECIT JOSÉ BRAZ DO REGO</t>
  </si>
  <si>
    <t>311 - ECIT JOSÉ BRAZ DO REGO</t>
  </si>
  <si>
    <t>SERVIÇO DE CONVIVENCIA E FORTALECIMENTO DE VINCULOS-SCFV-BOQUEIRAO</t>
  </si>
  <si>
    <t>420 - SERVIÇO DE CONVIVENCIA E FORTALECIMENTO DE VINCULOS-SCFV-BOQUEIRAO</t>
  </si>
  <si>
    <t>BREJO DO CRUZ</t>
  </si>
  <si>
    <t>13029 - BREJO DO CRUZ</t>
  </si>
  <si>
    <t>BREJO DO CRUZ - 13029.01 - RUA RIO GRANDE DO NORTE, 299- DOS ESTADOS - BREJO DO CRUZ</t>
  </si>
  <si>
    <t>167 - BREJO DO CRUZ - 13029.01 - RUA RIO GRANDE DO NORTE, 299- DOS ESTADOS - BREJO DO CRUZ</t>
  </si>
  <si>
    <t>ESCOLA MUNICIPAL DE ENSINO FUNDAMENTAL JOSUÉ ALVES DE AZEVEDO</t>
  </si>
  <si>
    <t>360 - ESCOLA MUNICIPAL DE ENSINO FUNDAMENTAL JOSUÉ ALVES DE AZEVEDO</t>
  </si>
  <si>
    <t>BREJO DOS SANTOS</t>
  </si>
  <si>
    <t>13030 - BREJO DOS SANTOS</t>
  </si>
  <si>
    <t>EEIF MANOEL ADELINO</t>
  </si>
  <si>
    <t>119 - EEIF MANOEL ADELINO</t>
  </si>
  <si>
    <t>BREJO DOS SANTOS - 13030.01 - Rua Antônio Benjamim da Cruz</t>
  </si>
  <si>
    <t>168 - BREJO DOS SANTOS - 13030.01 - Rua Antônio Benjamim da Cruz</t>
  </si>
  <si>
    <t>CAAPORÃ</t>
  </si>
  <si>
    <t>13031 - CAAPORÃ</t>
  </si>
  <si>
    <t>ECIT AURICELIA MARIA DA COSTA</t>
  </si>
  <si>
    <t>025 - ECIT AURICELIA MARIA DA COSTA</t>
  </si>
  <si>
    <t>ECIT AURICÉLIA MARIA DA COSTA</t>
  </si>
  <si>
    <t>301 - ECIT AURICÉLIA MARIA DA COSTA</t>
  </si>
  <si>
    <t>ESCOLA MUNICIPAL DE ENSINO FUNDAMENTAL SEVERINO HELENA DOS SANTOS VELOSO</t>
  </si>
  <si>
    <t>361 - ESCOLA MUNICIPAL DE ENSINO FUNDAMENTAL SEVERINO HELENA DOS SANTOS VELOSO</t>
  </si>
  <si>
    <t>CABACEIRAS</t>
  </si>
  <si>
    <t>13032 - CABACEIRAS</t>
  </si>
  <si>
    <t>EEEFM ALCIDES BEZERRA</t>
  </si>
  <si>
    <t>026 - EEEFM ALCIDES BEZERRA</t>
  </si>
  <si>
    <t>ESCOLA MUNICIPAL ABDIAS AIRES DE QUEIROZ</t>
  </si>
  <si>
    <t>027 - ESCOLA MUNICIPAL ABDIAS AIRES DE QUEIROZ</t>
  </si>
  <si>
    <t>CABEDELO</t>
  </si>
  <si>
    <t>13033 - CABEDELO</t>
  </si>
  <si>
    <t>ECIT JOSÉ GUEDES</t>
  </si>
  <si>
    <t>001 - ECIT JOSÉ GUEDES</t>
  </si>
  <si>
    <t>028 - ECIT JOSÉ GUEDES</t>
  </si>
  <si>
    <t>COLÔNIA DE PESCADORES</t>
  </si>
  <si>
    <t>029 - COLÔNIA DE PESCADORES</t>
  </si>
  <si>
    <t>ECIT JOSÉ GUEDES CAVALCANTI</t>
  </si>
  <si>
    <t>294 - ECIT JOSÉ GUEDES CAVALCANTI</t>
  </si>
  <si>
    <t>EEEFM JOÃO XXIII</t>
  </si>
  <si>
    <t>336 - EEEFM JOÃO XXIII</t>
  </si>
  <si>
    <t>CENTRO PORTO QUE EDUCA</t>
  </si>
  <si>
    <t>403 - CENTRO PORTO QUE EDUCA</t>
  </si>
  <si>
    <t>452 - EEEFM JOÃO XXIII</t>
  </si>
  <si>
    <t>PORTO CIDADE</t>
  </si>
  <si>
    <t>494 - PORTO CIDADE</t>
  </si>
  <si>
    <t>CACHOEIRA DOS INDIOS</t>
  </si>
  <si>
    <t>13034 - CACHOEIRA DOS ÍNDIOS</t>
  </si>
  <si>
    <t>SECRETARIA DE ASSISTÊNCIA SOCIAL</t>
  </si>
  <si>
    <t>120 - SECRETARIA DE ASSISTÊNCIA SOCIAL</t>
  </si>
  <si>
    <t>FUNDACAO COMUNITARIA OS QUILOMBOLAS DO SITIO CIPO</t>
  </si>
  <si>
    <t>495 - FUNDACAO COMUNITARIA OS QUILOMBOLAS DO SITIO CIPO</t>
  </si>
  <si>
    <t>CACIMBA DE AREIA</t>
  </si>
  <si>
    <t>13035 - CACIMBA DE AREIA</t>
  </si>
  <si>
    <t>CACIMBA DE AREIA - 13035.01 - RUA ADALTO GOMES MONTENEGRO, S/N, CENTRO.</t>
  </si>
  <si>
    <t>169 - CACIMBA DE AREIA - 13035.01 - RUA ADALTO GOMES MONTENEGRO, S/N, CENTRO.</t>
  </si>
  <si>
    <t>CACIMBA DE DENTRO</t>
  </si>
  <si>
    <t>13036 - CACIMBA DE DENTRO</t>
  </si>
  <si>
    <t>ECIT HUMBERTO LUCENA</t>
  </si>
  <si>
    <t>016 - ECIT HUMBERTO LUCENA</t>
  </si>
  <si>
    <t>EEEF PERRILO DE OLIVEIRA</t>
  </si>
  <si>
    <t>030 - EEEF PERRILO DE OLIVEIRA</t>
  </si>
  <si>
    <t>EEEFMN PEDRO TARGINO DA COSTA MOREIRA</t>
  </si>
  <si>
    <t>391 - EEEFMN PEDRO TARGINO DA COSTA MOREIRA</t>
  </si>
  <si>
    <t>ECI SENADOR HUMBERTO LUCENA</t>
  </si>
  <si>
    <t>496 - ECI SENADOR HUMBERTO LUCENA</t>
  </si>
  <si>
    <t>CACIMBAS</t>
  </si>
  <si>
    <t>13183 - CACIMBAS</t>
  </si>
  <si>
    <t>ASSOCIACAO QUILOMBO SERRA FEIA</t>
  </si>
  <si>
    <t>469 - ASSOCIACAO QUILOMBO SERRA FEIA</t>
  </si>
  <si>
    <t>ESCOLA MUNICIPAL JOAQUIM ALVES</t>
  </si>
  <si>
    <t>470 - ESCOLA MUNICIPAL JOAQUIM ALVES</t>
  </si>
  <si>
    <t>CAIÇARA</t>
  </si>
  <si>
    <t>13037 - CAIÇARA</t>
  </si>
  <si>
    <t>EEEF DRº JOÃO SOARES</t>
  </si>
  <si>
    <t>031 - EEEF DRº JOÃO SOARES</t>
  </si>
  <si>
    <t>13038 - CAJAZEIRAS</t>
  </si>
  <si>
    <t>EEEFM CRISTIANO CARTAXO</t>
  </si>
  <si>
    <t>003 - EEEFM CRISTIANO CARTAXO</t>
  </si>
  <si>
    <t>ECIT CRISTIANO CARTAXO</t>
  </si>
  <si>
    <t>032 - ECIT CRISTIANO CARTAXO</t>
  </si>
  <si>
    <t>ECIT NICEIA CLAUDINO</t>
  </si>
  <si>
    <t>033 - ECIT NICEIA CLAUDINO</t>
  </si>
  <si>
    <t>EEEFM MONSENHOR CONSTANTINO VIEIRA</t>
  </si>
  <si>
    <t>034 - EEEFM MONSENHOR CONSTANTINO VIEIRA</t>
  </si>
  <si>
    <t>EEEFM MONS CONSTANTINO VIEIRA</t>
  </si>
  <si>
    <t>253 - EEEFM MONS CONSTANTINO VIEIRA</t>
  </si>
  <si>
    <t>ECIT PROFA. NICÉA CLAUDINO PINHEIRO</t>
  </si>
  <si>
    <t>322 - ECIT PROFA. NICÉA CLAUDINO PINHEIRO</t>
  </si>
  <si>
    <t>ECIEFM PROF. CRISPIM COELHO</t>
  </si>
  <si>
    <t>339 - ECIEFM PROF. CRISPIM COELHO</t>
  </si>
  <si>
    <t>EEEF DOM MOISES COELHO</t>
  </si>
  <si>
    <t>401 - EEEF DOM MOISES COELHO</t>
  </si>
  <si>
    <t>ECIT NICEA CLAUDINO PINHEIRO</t>
  </si>
  <si>
    <t>497 - ECIT NICEA CLAUDINO PINHEIRO</t>
  </si>
  <si>
    <t>EMEIEF ANTONIO DE SOUZA DIAS</t>
  </si>
  <si>
    <t>498 - EMEIEF ANTONIO DE SOUZA DIAS</t>
  </si>
  <si>
    <t>CAJAZEIRINHAS</t>
  </si>
  <si>
    <t>13184 - CAJAZEIRINHAS</t>
  </si>
  <si>
    <t>CAJAZEIRINHAS - 13184.01 - JOSÉ ELISEU DE ALMEIDA, S/N, CENTRO</t>
  </si>
  <si>
    <t>170 - CAJAZEIRINHAS - 13184.01 - JOSÉ ELISEU DE ALMEIDA, S/N, CENTRO</t>
  </si>
  <si>
    <t>CENTRO PROFISSIONALIZANTE DE GERACAO DE RENDA GILMARCOS SANTANA DUTRA</t>
  </si>
  <si>
    <t>499 - CENTRO PROFISSIONALIZANTE DE GERACAO DE RENDA GILMARCOS SANTANA DUTRA</t>
  </si>
  <si>
    <t>ECI MARIA SOLEDADE ASSIS FREITAS</t>
  </si>
  <si>
    <t>500 - ECI MARIA SOLEDADE ASSIS FREITAS</t>
  </si>
  <si>
    <t>CAMALAÚ</t>
  </si>
  <si>
    <t>13040 - CAMALAÚ</t>
  </si>
  <si>
    <t>ECIT "PEDRO BEZERRA FILHO"</t>
  </si>
  <si>
    <t>035 - ECIT "PEDRO BEZERRA FILHO"</t>
  </si>
  <si>
    <t>ECIT PEDRO BEZERRA FILHO</t>
  </si>
  <si>
    <t>318 - ECIT PEDRO BEZERRA FILHO</t>
  </si>
  <si>
    <t>13041 - CAMPINA GRANDE</t>
  </si>
  <si>
    <t>ENE PADRE EMIDIO VIANA CORREIA</t>
  </si>
  <si>
    <t>013 - ENE PADRE EMIDIO VIANA CORREIA</t>
  </si>
  <si>
    <t>ECI NENZINHA CUNHA LIMA</t>
  </si>
  <si>
    <t>036 - ECI NENZINHA CUNHA LIMA</t>
  </si>
  <si>
    <t>ECIT BRAULIO MAIA JUNIOR</t>
  </si>
  <si>
    <t>037 - ECIT BRAULIO MAIA JUNIOR</t>
  </si>
  <si>
    <t>CLUBE DE MÃES IRACEMA DA SILVA GOMES</t>
  </si>
  <si>
    <t>121 - CLUBE DE MÃES IRACEMA DA SILVA GOMES</t>
  </si>
  <si>
    <t>ECI MONTE CARMELO</t>
  </si>
  <si>
    <t>249 - ECI MONTE CARMELO</t>
  </si>
  <si>
    <t>ECI RAUL CORDULA</t>
  </si>
  <si>
    <t>250 - ECI RAUL CORDULA</t>
  </si>
  <si>
    <t>EEEFM MAJOR VENEZIANO VITAL DO REGO</t>
  </si>
  <si>
    <t>251 - EEEFM MAJOR VENEZIANO VITAL DO REGO</t>
  </si>
  <si>
    <t>EEEFM SENADOR HUMBERTO LUCENA</t>
  </si>
  <si>
    <t>252 - EEEFM SENADOR HUMBERTO LUCENA</t>
  </si>
  <si>
    <t>ECIT PROF. ANÉSIO LEÃO</t>
  </si>
  <si>
    <t>282 - ECIT PROF. ANÉSIO LEÃO</t>
  </si>
  <si>
    <t>ECIT DR. ELPÍDIO DE ALMEIDA</t>
  </si>
  <si>
    <t>306 - ECIT DR. ELPÍDIO DE ALMEIDA</t>
  </si>
  <si>
    <t>ECIT PROF. BRÁULIO MAIA JÚNIOR</t>
  </si>
  <si>
    <t>309 - ECIT PROF. BRÁULIO MAIA JÚNIOR</t>
  </si>
  <si>
    <t>ECIT NENZINHA CUNHA LIMA</t>
  </si>
  <si>
    <t>315 - ECIT NENZINHA CUNHA LIMA</t>
  </si>
  <si>
    <t>SÍTIO LUCAS, 2034. ZONA RURAL</t>
  </si>
  <si>
    <t>334 - SÍTIO LUCAS, 2034. ZONA RURAL</t>
  </si>
  <si>
    <t>ECIT PROF. RAUL CÓRDULA</t>
  </si>
  <si>
    <t>335 - ECIT PROF. RAUL CÓRDULA</t>
  </si>
  <si>
    <t>392 - EEEFM SEN ARGEMIRO DE FIGUEIREDO</t>
  </si>
  <si>
    <t>EEEFM ADEMAR VELOSO SILVEIRA</t>
  </si>
  <si>
    <t>393 - EEEFM ADEMAR VELOSO SILVEIRA</t>
  </si>
  <si>
    <t>EEEFM CLEMENTINO PROCOPIO</t>
  </si>
  <si>
    <t>394 - EEEFM CLEMENTINO PROCOPIO</t>
  </si>
  <si>
    <t>EEEFM POETA CARLOS DRUMOND DE ANDRADE</t>
  </si>
  <si>
    <t>396 - EEEFM POETA CARLOS DRUMOND DE ANDRADE</t>
  </si>
  <si>
    <t>EEEFM POETISA VICENTINA FIGUEIREDO VITAL DO REGO</t>
  </si>
  <si>
    <t>397 - EEEFM POETISA VICENTINA FIGUEIREDO VITAL DO REGO</t>
  </si>
  <si>
    <t>PENITENCIÁRIA PADRÃO DE CAMPINA GRANDE</t>
  </si>
  <si>
    <t>405 - PENITENCIÁRIA PADRÃO DE CAMPINA GRANDE</t>
  </si>
  <si>
    <t>PENITENCIÁRIA RAIMUNDO ASFORA</t>
  </si>
  <si>
    <t>406 - PENITENCIÁRIA RAIMUNDO ASFORA</t>
  </si>
  <si>
    <t>ENE PE EMIDIO VIANA CORREIA</t>
  </si>
  <si>
    <t>461 - ENE PE EMIDIO VIANA CORREIA</t>
  </si>
  <si>
    <t>CAPIM</t>
  </si>
  <si>
    <t>13185 - CAPIM</t>
  </si>
  <si>
    <t>ECI. E. JOSE WILSON A. MELO</t>
  </si>
  <si>
    <t>471 - ECI. E. JOSE WILSON A. MELO</t>
  </si>
  <si>
    <t>ESCOLA MUNICIPAL DEP. JOAO FERNANDES DE LIMA</t>
  </si>
  <si>
    <t>472 - ESCOLA MUNICIPAL DEP. JOAO FERNANDES DE LIMA</t>
  </si>
  <si>
    <t>CARRAPATEIRA</t>
  </si>
  <si>
    <t>13042 - CARRAPATEIRA</t>
  </si>
  <si>
    <t>CARRAPATEIRA - 13042.01 - RUA JOEL PEREIRA, Nº 46, CENTRO</t>
  </si>
  <si>
    <t>171 - CARRAPATEIRA - 13042.01 - RUA JOEL PEREIRA, Nº 46, CENTRO</t>
  </si>
  <si>
    <t>EMEF ANTONIO GALDINO DA SILVA</t>
  </si>
  <si>
    <t>501 - EMEF ANTONIO GALDINO DA SILVA</t>
  </si>
  <si>
    <t>CASSERENGUE</t>
  </si>
  <si>
    <t>13187 - CASSERENGUE</t>
  </si>
  <si>
    <t>EMEF FERNANDO MACENA DA SILVA</t>
  </si>
  <si>
    <t>459 - EMEF FERNANDO MACENA DA SILVA</t>
  </si>
  <si>
    <t>AUDITORIO DA ESCOLA FERNANDO MACENA</t>
  </si>
  <si>
    <t>575 - AUDITORIO DA ESCOLA FERNANDO MACENA</t>
  </si>
  <si>
    <t>CATINGUEIRA</t>
  </si>
  <si>
    <t>13043 - CATINGUEIRA</t>
  </si>
  <si>
    <t>CATINGUEIRA - 13043.01 - Av: Brasiliano Lopes Loureiro , S/N</t>
  </si>
  <si>
    <t>172 - CATINGUEIRA - 13043.01 - Av: Brasiliano Lopes Loureiro , S/N</t>
  </si>
  <si>
    <t>EEEFM INACIO DA CATINGUEIRA</t>
  </si>
  <si>
    <t>421 - EEEFM INACIO DA CATINGUEIRA</t>
  </si>
  <si>
    <t>ECIT INACIO DA CATINGUEIRA</t>
  </si>
  <si>
    <t>502 - ECIT INACIO DA CATINGUEIRA</t>
  </si>
  <si>
    <t>CATOLÉ DO ROCHA</t>
  </si>
  <si>
    <t>13044 - CATOLÉ DO ROCHA</t>
  </si>
  <si>
    <t>ECIT OBIDÚLIA DANTAS</t>
  </si>
  <si>
    <t>038 - ECIT OBIDÚLIA DANTAS</t>
  </si>
  <si>
    <t>ECIT OBDÚLIA DANTAS</t>
  </si>
  <si>
    <t>261 - ECIT OBDÚLIA DANTAS</t>
  </si>
  <si>
    <t>EMEIEF CATARINA DE SOUSA MAIA</t>
  </si>
  <si>
    <t>362 - EMEIEF CATARINA DE SOUSA MAIA</t>
  </si>
  <si>
    <t>ESCOLA AGROTECNICA DO CAJUEIRO CAMPUS IV - UEPB</t>
  </si>
  <si>
    <t>422 - ESCOLA AGROTECNICA DO CAJUEIRO CAMPUS IV - UEPB</t>
  </si>
  <si>
    <t>CATURITÉ</t>
  </si>
  <si>
    <t>13188 - CATURITÉ</t>
  </si>
  <si>
    <t>ESCOLA MUNICIPAL RURAL DE ENSINO FUNDAMENTAL MARIA VERÍSSIMO DE SOUSA</t>
  </si>
  <si>
    <t>039 - ESCOLA MUNICIPAL RURAL DE ENSINO FUNDAMENTAL MARIA VERÍSSIMO DE SOUSA</t>
  </si>
  <si>
    <t>CONCEICAO</t>
  </si>
  <si>
    <t>13045 - CONCEICAO</t>
  </si>
  <si>
    <t>EEEFM MAESTRO JOSÉ SIQUEIRA</t>
  </si>
  <si>
    <t>011 - EEEFM MAESTRO JOSÉ SIQUEIRA</t>
  </si>
  <si>
    <t>ECI MAESTRO JOSÉ SIQUEIRA</t>
  </si>
  <si>
    <t>040 - ECI MAESTRO JOSÉ SIQUEIRA</t>
  </si>
  <si>
    <t>EMEF RAIMUNDA LEITE SOBRINHA</t>
  </si>
  <si>
    <t>349 - EMEF RAIMUNDA LEITE SOBRINHA</t>
  </si>
  <si>
    <t>CAPELA DE SANTO ANTONIO</t>
  </si>
  <si>
    <t>423 - CAPELA DE SANTO ANTONIO</t>
  </si>
  <si>
    <t>ESCOLA ESTADUAL DE ENSINO FUNDAMENTAL JOSE LEITE</t>
  </si>
  <si>
    <t>467 - ESCOLA ESTADUAL DE ENSINO FUNDAMENTAL JOSE LEITE</t>
  </si>
  <si>
    <t>E.M.E.F. RAIMUNDA LEITE SOBRINHA</t>
  </si>
  <si>
    <t>567 - E.M.E.F. RAIMUNDA LEITE SOBRINHA</t>
  </si>
  <si>
    <t>13046 - CONDADO</t>
  </si>
  <si>
    <t>041 - COLÔNIA DE PESCADORES</t>
  </si>
  <si>
    <t>CONDADO - 13046.01 - RUA AGEU DE CASTRO, S/N, CENTRO</t>
  </si>
  <si>
    <t>173 - CONDADO - 13046.01 - RUA AGEU DE CASTRO, S/N, CENTRO</t>
  </si>
  <si>
    <t>ESCOLA MUNICIPAL CIPRIANO LINHARES ARAGÃO</t>
  </si>
  <si>
    <t>363 - ESCOLA MUNICIPAL CIPRIANO LINHARES ARAGÃO</t>
  </si>
  <si>
    <t>503 - ECIT DR. TRAJANO PIRES DA NOBREGA</t>
  </si>
  <si>
    <t>CONDE</t>
  </si>
  <si>
    <t>13047 - CONDE</t>
  </si>
  <si>
    <t>ECIT PROFª ILZA DE ALMEIDA RIBEIRO</t>
  </si>
  <si>
    <t>010 - ECIT PROFª ILZA DE ALMEIDA RIBEIRO</t>
  </si>
  <si>
    <t>ECIT LIZA DE ALMEIDA RIBEIRO</t>
  </si>
  <si>
    <t>042 - ECIT LIZA DE ALMEIDA RIBEIRO</t>
  </si>
  <si>
    <t>CONDE - 13047.01 - LOTEAMENTO NOSSA SENHORA DAS NEVES, S/N, CENTRO</t>
  </si>
  <si>
    <t>174 - CONDE - 13047.01 - LOTEAMENTO NOSSA SENHORA DAS NEVES, S/N, CENTRO</t>
  </si>
  <si>
    <t>CONDE - 13047.02 - RUA NOSSA SENHORA DA CONCEIÇÃO, S/N, CENTRO</t>
  </si>
  <si>
    <t>175 - CONDE - 13047.02 - RUA NOSSA SENHORA DA CONCEIÇÃO, S/N, CENTRO</t>
  </si>
  <si>
    <t>ECIT PROFA. ILZA DE ALMEIDA RIBEIRO</t>
  </si>
  <si>
    <t>299 - ECIT PROFA. ILZA DE ALMEIDA RIBEIRO</t>
  </si>
  <si>
    <t>HOTEL ESCOLA</t>
  </si>
  <si>
    <t>451 - HOTEL ESCOLA</t>
  </si>
  <si>
    <t>SEDEC EMEF GOV PEDRO GONDIM</t>
  </si>
  <si>
    <t>504 - SEDEC EMEF GOV PEDRO GONDIM</t>
  </si>
  <si>
    <t>CONGO</t>
  </si>
  <si>
    <t>13048 - CONGO</t>
  </si>
  <si>
    <t>CONGO - 13048.01 - Rua Vicente José Bezerra, S/N, Salão A e B.</t>
  </si>
  <si>
    <t>176 - CONGO - 13048.01 - Rua Vicente José Bezerra, S/N, Salão A e B.</t>
  </si>
  <si>
    <t>CENTRO DE REFERENCIA DE ASSISTENCIA SOCIAL</t>
  </si>
  <si>
    <t>505 - CENTRO DE REFERENCIA DE ASSISTENCIA SOCIAL</t>
  </si>
  <si>
    <t>COREMAS</t>
  </si>
  <si>
    <t>13049 - COREMAS</t>
  </si>
  <si>
    <t>ECIT NOBEL VITA</t>
  </si>
  <si>
    <t>043 - ECIT NOBEL VITA</t>
  </si>
  <si>
    <t>ESCOLA CIDADÃ INTEGRAL TECNICA ESTADUAL ADVOGADO NOBEL VITA</t>
  </si>
  <si>
    <t>364 - ESCOLA CIDADÃ INTEGRAL TECNICA ESTADUAL ADVOGADO NOBEL VITA</t>
  </si>
  <si>
    <t>EMEIF MENINO JESUS</t>
  </si>
  <si>
    <t>462 - EMEIF MENINO JESUS</t>
  </si>
  <si>
    <t>ECIT ADVOGADO NOBEL VITA</t>
  </si>
  <si>
    <t>506 - ECIT ADVOGADO NOBEL VITA</t>
  </si>
  <si>
    <t>CRUZ DO ESPIRITO SANTO</t>
  </si>
  <si>
    <t>13050 - CRUZ DO ESPÍRITO SANTO</t>
  </si>
  <si>
    <t>EMEIEF RENATO RIBEIRO COUTINHO</t>
  </si>
  <si>
    <t>441 - EMEIEF RENATO RIBEIRO COUTINHO</t>
  </si>
  <si>
    <t>ESCOLA RENATO RIBEIRO COUTINHO</t>
  </si>
  <si>
    <t>507 - ESCOLA RENATO RIBEIRO COUTINHO</t>
  </si>
  <si>
    <t>CUBATI</t>
  </si>
  <si>
    <t>13051 - CUBATI</t>
  </si>
  <si>
    <t>ECIT IOLANDA TEREZA CHAVES LIMA</t>
  </si>
  <si>
    <t>328 - ECIT IOLANDA TEREZA CHAVES LIMA</t>
  </si>
  <si>
    <t>CUITE</t>
  </si>
  <si>
    <t>13052 - CUITÉ</t>
  </si>
  <si>
    <t>EEEF ANDRÉ VITAL DE NEGREIROS</t>
  </si>
  <si>
    <t>044 - EEEF ANDRÉ VITAL DE NEGREIROS</t>
  </si>
  <si>
    <t>ECIT JORNALISTA JOSÉ ITAMAR DA ROCHA CÂNDIDO</t>
  </si>
  <si>
    <t>317 - ECIT JORNALISTA JOSÉ ITAMAR DA ROCHA CÂNDIDO</t>
  </si>
  <si>
    <t>ESCOLA MUNICIPAL DE ENSINO FUNDAMENTAL BENEDITO VENÂNCIO DOS SANTOS</t>
  </si>
  <si>
    <t>365 - ESCOLA MUNICIPAL DE ENSINO FUNDAMENTAL BENEDITO VENÂNCIO DOS SANTOS</t>
  </si>
  <si>
    <t>CENTRO DE CONVIVENCIA DA CRIANÇA E DO ADOLESCENTE</t>
  </si>
  <si>
    <t>424 - CENTRO DE CONVIVENCIA DA CRIANÇA E DO ADOLESCENTE</t>
  </si>
  <si>
    <t>EMEF. ELCA CARVALHO DA FONSECA</t>
  </si>
  <si>
    <t>508 - EMEF. ELCA CARVALHO DA FONSECA</t>
  </si>
  <si>
    <t>CUITEGI</t>
  </si>
  <si>
    <t>13053 - CUITEGI</t>
  </si>
  <si>
    <t>SINDICATO DOS TRABALHADORES RURAIS DE CUITEGI</t>
  </si>
  <si>
    <t>473 - SINDICATO DOS TRABALHADORES RURAIS DE CUITEGI</t>
  </si>
  <si>
    <t>CURRAL DE CIMA</t>
  </si>
  <si>
    <t>13191 - CURRAL DE CIMA</t>
  </si>
  <si>
    <t>ECI HENRIQUE FERNANDES</t>
  </si>
  <si>
    <t>006 - ECI HENRIQUE FERNANDES</t>
  </si>
  <si>
    <t>ECIT HENRIQUE FERNANDES DE FARIAS</t>
  </si>
  <si>
    <t>045 - ECIT HENRIQUE FERNANDES DE FARIAS</t>
  </si>
  <si>
    <t>CURRAL DE CIMA - 13191.01 - JOSÉ EUGÊNIO, S/N, CENTRO.</t>
  </si>
  <si>
    <t>177 - CURRAL DE CIMA - 13191.01 - JOSÉ EUGÊNIO, S/N, CENTRO.</t>
  </si>
  <si>
    <t>EMEIF VALDEVINO RIBEIRO DA SILVA</t>
  </si>
  <si>
    <t>425 - EMEIF VALDEVINO RIBEIRO DA SILVA</t>
  </si>
  <si>
    <t>CURRAL VELHO</t>
  </si>
  <si>
    <t>13054 - CURRAL VELHO</t>
  </si>
  <si>
    <t>CURRAL VELHO - 13054.01 - Rua Manoel Batista Sobrinho n 42</t>
  </si>
  <si>
    <t>178 - CURRAL VELHO - 13054.01 - Rua Manoel Batista Sobrinho n 42</t>
  </si>
  <si>
    <t>ESCOLA MUNICIPAL ANTONIO GOMES DE CARVALHO</t>
  </si>
  <si>
    <t>509 - ESCOLA MUNICIPAL ANTONIO GOMES DE CARVALHO</t>
  </si>
  <si>
    <t>DAMIAO</t>
  </si>
  <si>
    <t>13192 - DAMIÃO</t>
  </si>
  <si>
    <t>ESCOLA MUNICIPAL E.F DINIZ DA PENHA</t>
  </si>
  <si>
    <t>122 - ESCOLA MUNICIPAL E.F DINIZ DA PENHA</t>
  </si>
  <si>
    <t>ESCOLA MUNICIPAL E.F ALEXANDRE DINIZ DA PENHA</t>
  </si>
  <si>
    <t>123 - ESCOLA MUNICIPAL E.F ALEXANDRE DINIZ DA PENHA</t>
  </si>
  <si>
    <t>EMEF ALEXANDRE DINIZ DA PENHA</t>
  </si>
  <si>
    <t>426 - EMEF ALEXANDRE DINIZ DA PENHA</t>
  </si>
  <si>
    <t>ESCOLA MUNICIPAL ALEXANDRE DINIZ DA PENHA</t>
  </si>
  <si>
    <t>510 - ESCOLA MUNICIPAL ALEXANDRE DINIZ DA PENHA</t>
  </si>
  <si>
    <t>DIAMANTE</t>
  </si>
  <si>
    <t>13057 - DIAMANTE</t>
  </si>
  <si>
    <t>046 - COLÔNIA DE PESCADORES</t>
  </si>
  <si>
    <t>ESCOLA MUNICIPAL ARLINDO BATISTA PALITOT</t>
  </si>
  <si>
    <t>511 - ESCOLA MUNICIPAL ARLINDO BATISTA PALITOT</t>
  </si>
  <si>
    <t>DONA INES</t>
  </si>
  <si>
    <t>13058 - DONA INÊS</t>
  </si>
  <si>
    <t>DONA INES - 13058.01 - Anezio Ferreira de Lima, 250.</t>
  </si>
  <si>
    <t>179 - DONA INES - 13058.01 - Anezio Ferreira de Lima, 250.</t>
  </si>
  <si>
    <t>ESCOLA MUNICIPAL DE ENSINO FUNDAMENTAL SENADOR HUMBERTO LUCENA</t>
  </si>
  <si>
    <t>512 - ESCOLA MUNICIPAL DE ENSINO FUNDAMENTAL SENADOR HUMBERTO LUCENA</t>
  </si>
  <si>
    <t>DUAS ESTRADAS</t>
  </si>
  <si>
    <t>13059 - DUAS ESTRADAS</t>
  </si>
  <si>
    <t>ESCOLA MUNICIOAL E.F PRPF. MARIA DUTRA</t>
  </si>
  <si>
    <t>124 - ESCOLA MUNICIOAL E.F PRPF. MARIA DUTRA</t>
  </si>
  <si>
    <t>DUAS ESTRADAS - 13059.01 - RUA TIRADENTES, 154</t>
  </si>
  <si>
    <t>180 - DUAS ESTRADAS - 13059.01 - RUA TIRADENTES, 154</t>
  </si>
  <si>
    <t>ESPERANCA</t>
  </si>
  <si>
    <t>13061 - ESPERANÇA</t>
  </si>
  <si>
    <t>AUDITÓRIO CENTRO ADMINISTRATIVO MUNICIPAL</t>
  </si>
  <si>
    <t>125 - AUDITÓRIO CENTRO ADMINISTRATIVO MUNICIPAL</t>
  </si>
  <si>
    <t>ECIT MONSENHOR JOSÉ DA SILVA COUTINHO</t>
  </si>
  <si>
    <t>276 - ECIT MONSENHOR JOSÉ DA SILVA COUTINHO</t>
  </si>
  <si>
    <t>ESCOLA DOM MANUEL PALMEIRA DA ROCHA</t>
  </si>
  <si>
    <t>366 - ESCOLA DOM MANUEL PALMEIRA DA ROCHA</t>
  </si>
  <si>
    <t>EMEF DOM MANUEL PALMEIRA DA ROCHA</t>
  </si>
  <si>
    <t>427 - EMEF DOM MANUEL PALMEIRA DA ROCHA</t>
  </si>
  <si>
    <t>FAGUNDES</t>
  </si>
  <si>
    <t>13062 - FAGUNDES</t>
  </si>
  <si>
    <t>EEEFM JOANA EMILIA DA SILVA</t>
  </si>
  <si>
    <t>047 - EEEFM JOANA EMILIA DA SILVA</t>
  </si>
  <si>
    <t>GADO BRAVO</t>
  </si>
  <si>
    <t>13193 - GADO BRAVO</t>
  </si>
  <si>
    <t>GADO BRAVO - 13193.01 - RUA, Tv. José Pereira de Águiar, S/N - CENTRO, Gado Bravo</t>
  </si>
  <si>
    <t>181 - GADO BRAVO - 13193.01 - RUA, Tv. José Pereira de Águiar, S/N - CENTRO, Gado Bravo</t>
  </si>
  <si>
    <t>EMEFM PE. GODOFREDO JOOSTEN</t>
  </si>
  <si>
    <t>428 - EMEFM PE. GODOFREDO JOOSTEN</t>
  </si>
  <si>
    <t>EMEF PADRE GODOFREDO JOOSTEN</t>
  </si>
  <si>
    <t>513 - EMEF PADRE GODOFREDO JOOSTEN</t>
  </si>
  <si>
    <t>GUARABIRA</t>
  </si>
  <si>
    <t>13064 - GUARABIRA</t>
  </si>
  <si>
    <t>ECIT MONSENHOR EMILIANO DE CRISTO</t>
  </si>
  <si>
    <t>007 - ECIT MONSENHOR EMILIANO DE CRISTO</t>
  </si>
  <si>
    <t>ECIT EMILIANO DE CRISTO</t>
  </si>
  <si>
    <t>048 - ECIT EMILIANO DE CRISTO</t>
  </si>
  <si>
    <t>ESCOLA PUBLICA EDUCACIONAL OSMAR DE AQUINO</t>
  </si>
  <si>
    <t>126 - ESCOLA PUBLICA EDUCACIONAL OSMAR DE AQUINO</t>
  </si>
  <si>
    <t>PENITENCIARIA JOAO BOSCO CARNEIRO</t>
  </si>
  <si>
    <t>407 - PENITENCIARIA JOAO BOSCO CARNEIRO</t>
  </si>
  <si>
    <t>13065 - GURINHÉM</t>
  </si>
  <si>
    <t>CENTRO DE FORMAÇÃO CONJUNTO RIBEIRÃO</t>
  </si>
  <si>
    <t>127 - CENTRO DE FORMAÇÃO CONJUNTO RIBEIRÃO</t>
  </si>
  <si>
    <t>ESCOLA FELICIANO DE FRANÇA GALVÃO</t>
  </si>
  <si>
    <t>367 - ESCOLA FELICIANO DE FRANÇA GALVÃO</t>
  </si>
  <si>
    <t>EMEF MADRE DANTAS</t>
  </si>
  <si>
    <t>429 - EMEF MADRE DANTAS</t>
  </si>
  <si>
    <t>EMEF FAVIANO RIBEIRO COUTINHO</t>
  </si>
  <si>
    <t>514 - EMEF FAVIANO RIBEIRO COUTINHO</t>
  </si>
  <si>
    <t>GRUPO ESCOLAR MUNICIPAL ANALIA ARRUDA DA SILVA</t>
  </si>
  <si>
    <t>515 - GRUPO ESCOLAR MUNICIPAL ANALIA ARRUDA DA SILVA</t>
  </si>
  <si>
    <t>516 - SINDICATO DOS TRABALHADORES RURAIS AGRICULTORES E AGRICULTORAS FAMILIARES DE GURINHEM</t>
  </si>
  <si>
    <t>GURJAO</t>
  </si>
  <si>
    <t>13066 - GURJÃO</t>
  </si>
  <si>
    <t>EM ÁUREA CORREIA DE QUEIROZ</t>
  </si>
  <si>
    <t>049 - EM ÁUREA CORREIA DE QUEIROZ</t>
  </si>
  <si>
    <t>GURJAO - 13066.01 - RUA DEPUTADO ALVARO GALDENCIO, Nº 252, CENTRO</t>
  </si>
  <si>
    <t>182 - GURJAO - 13066.01 - RUA DEPUTADO ALVARO GALDENCIO, Nº 252, CENTRO</t>
  </si>
  <si>
    <t>ESCOLA MUNICIPAL ÁUREA CORREIA DE QUEIROZ</t>
  </si>
  <si>
    <t>382 - ESCOLA MUNICIPAL ÁUREA CORREIA DE QUEIROZ</t>
  </si>
  <si>
    <t>ESCOLA AUREA CORREIA DE QUEIROZ</t>
  </si>
  <si>
    <t>517 - ESCOLA AUREA CORREIA DE QUEIROZ</t>
  </si>
  <si>
    <t>IBIARA</t>
  </si>
  <si>
    <t>13067 - IBIARA</t>
  </si>
  <si>
    <t>050 - COLÔNIA DE PESCADORES</t>
  </si>
  <si>
    <t>EMIF PROF. CECI BADU DE SOUSA</t>
  </si>
  <si>
    <t>051 - EMIF PROF. CECI BADU DE SOUSA</t>
  </si>
  <si>
    <t>IBIARA - 13067.01 - Rua Santa Maria, Ibiarinha</t>
  </si>
  <si>
    <t>183 - IBIARA - 13067.01 - Rua Santa Maria, Ibiarinha</t>
  </si>
  <si>
    <t>ECI EEM PADRE MANOEL OTAVIANO</t>
  </si>
  <si>
    <t>518 - ECI EEM PADRE MANOEL OTAVIANO</t>
  </si>
  <si>
    <t>IGARACY</t>
  </si>
  <si>
    <t>13027 - IGARACY</t>
  </si>
  <si>
    <t>ECI JOSELITA BRASILEIRO</t>
  </si>
  <si>
    <t>052 - ECI JOSELITA BRASILEIRO</t>
  </si>
  <si>
    <t>IMACULADA</t>
  </si>
  <si>
    <t>13068 - IMACULADA</t>
  </si>
  <si>
    <t>ECIT MARIA DO SOCORRO RAMALHO QUIRINO</t>
  </si>
  <si>
    <t>325 - ECIT MARIA DO SOCORRO RAMALHO QUIRINO</t>
  </si>
  <si>
    <t>INGA</t>
  </si>
  <si>
    <t>13069 - INGÁ</t>
  </si>
  <si>
    <t>ELETRICISTA DE SISTEMAS DE ENERGIAS RENOVÁVEIS</t>
  </si>
  <si>
    <t>053 - ELETRICISTA DE SISTEMAS DE ENERGIAS RENOVÁVEIS</t>
  </si>
  <si>
    <t>RUA MAGNO BACALHAU .</t>
  </si>
  <si>
    <t>128 - RUA MAGNO BACALHAU .</t>
  </si>
  <si>
    <t>ESCOLA MUNICIPAL DE ENSINO INFANTIL E FUNDAMENTAL MAJOR JOSÉ BARBOSA MONTEIRO</t>
  </si>
  <si>
    <t>368 - ESCOLA MUNICIPAL DE ENSINO INFANTIL E FUNDAMENTAL MAJOR JOSÉ BARBOSA MONTEIRO</t>
  </si>
  <si>
    <t>EEEIF ABEL DA SILVA</t>
  </si>
  <si>
    <t>430 - EEEIF ABEL DA SILVA</t>
  </si>
  <si>
    <t>EMEIEF ABEL DA SILVA</t>
  </si>
  <si>
    <t>519 - EMEIEF ABEL DA SILVA</t>
  </si>
  <si>
    <t>ESCOLA QUILOMBOLA DE PEDRA D’AGUA JOSEFA MARIA DO ESPIRITO SANTO</t>
  </si>
  <si>
    <t>577 - ESCOLA QUILOMBOLA DE PEDRA D’AGUA JOSEFA MARIA DO ESPIRITO SANTO</t>
  </si>
  <si>
    <t>ITABAIANA</t>
  </si>
  <si>
    <t>13070 - ITABAIANA</t>
  </si>
  <si>
    <t>EEE JOÃO FAGUNDES</t>
  </si>
  <si>
    <t>054 - EEE JOÃO FAGUNDES</t>
  </si>
  <si>
    <t>E.M.E.I.E.F. JOANA TRINDADE</t>
  </si>
  <si>
    <t>055 - E.M.E.I.E.F. JOANA TRINDADE</t>
  </si>
  <si>
    <t>ZONA RURAL DE CARIATA .</t>
  </si>
  <si>
    <t>129 - ZONA RURAL DE CARIATA .</t>
  </si>
  <si>
    <t>SITIO ALMIR MUNIZ.</t>
  </si>
  <si>
    <t>130 - SITIO ALMIR MUNIZ.</t>
  </si>
  <si>
    <t>ECIT DR. ANTÔNIO BATISTA SANTIAGO</t>
  </si>
  <si>
    <t>283 - ECIT DR. ANTÔNIO BATISTA SANTIAGO</t>
  </si>
  <si>
    <t>SCFV SERVICO DE CONVIVENCIA E FORTALECIMENTO DE VINCULOS</t>
  </si>
  <si>
    <t>520 - SCFV SERVICO DE CONVIVENCIA E FORTALECIMENTO DE VINCULOS</t>
  </si>
  <si>
    <t>ITAPORANGA</t>
  </si>
  <si>
    <t>13071 - ITAPORANGA</t>
  </si>
  <si>
    <t>EEEM ADALGISA TEODULO DA FONSECA</t>
  </si>
  <si>
    <t>014 - EEEM ADALGISA TEODULO DA FONSECA</t>
  </si>
  <si>
    <t>ECIT ITAPORANGA</t>
  </si>
  <si>
    <t>056 - ECIT ITAPORANGA</t>
  </si>
  <si>
    <t>ECIT MONSENHOR JOSÉ SINFRÔNIO DE ASSIS FILHO</t>
  </si>
  <si>
    <t>057 - ECIT MONSENHOR JOSÉ SINFRÔNIO DE ASSIS FILHO</t>
  </si>
  <si>
    <t>ITAPORANGA - 13071.01 - RUA: SANTOS DUMONT, 107, CENTRO</t>
  </si>
  <si>
    <t>184 - ITAPORANGA - 13071.01 - RUA: SANTOS DUMONT, 107, CENTRO</t>
  </si>
  <si>
    <t>ECI FRACELINO A. NEVES</t>
  </si>
  <si>
    <t>340 - ECI FRACELINO A. NEVES</t>
  </si>
  <si>
    <t>ITAPOROROCA</t>
  </si>
  <si>
    <t>13072 - ITAPOROROCA</t>
  </si>
  <si>
    <t>ECI SEVERINO FELIX</t>
  </si>
  <si>
    <t>058 - ECI SEVERINO FELIX</t>
  </si>
  <si>
    <t>AUDITÓRIO DA IGREJA CRISTO VIVE</t>
  </si>
  <si>
    <t>131 - AUDITÓRIO DA IGREJA CRISTO VIVE</t>
  </si>
  <si>
    <t>EEEFM ISAURA FERNANDES DE SOUZA</t>
  </si>
  <si>
    <t>402 - EEEFM ISAURA FERNANDES DE SOUZA</t>
  </si>
  <si>
    <t>ITATUBA</t>
  </si>
  <si>
    <t>13073 - ITATUBA</t>
  </si>
  <si>
    <t>059 - COLÔNIA DE PESCADORES</t>
  </si>
  <si>
    <t>ITATUBA - 13073.01 - R. Maurino Rodrigues de Andrade, SN - JOAQUIM FLORENTINO, Itatuba - PB</t>
  </si>
  <si>
    <t>185 - ITATUBA - 13073.01 - R. Maurino Rodrigues de Andrade, SN - JOAQUIM FLORENTINO, Itatuba - PB</t>
  </si>
  <si>
    <t>JACARAÚ</t>
  </si>
  <si>
    <t>13074 - JACARAÚ</t>
  </si>
  <si>
    <t>ECI AUZIRA LISBOA</t>
  </si>
  <si>
    <t>060 - ECI AUZIRA LISBOA</t>
  </si>
  <si>
    <t>JACARAU - 13074.01 - Rua Augusto Luna, s/n - Centro</t>
  </si>
  <si>
    <t>186 - JACARAU - 13074.01 - Rua Augusto Luna, s/n - Centro</t>
  </si>
  <si>
    <t>JERICO</t>
  </si>
  <si>
    <t>13075 - JERICÓ</t>
  </si>
  <si>
    <t>JERICO - 13075.01 - Rua Artur Dantas</t>
  </si>
  <si>
    <t>187 - JERICO - 13075.01 - Rua Artur Dantas</t>
  </si>
  <si>
    <t>JERICO - 13075.02 - Rua Lopes de Figueiredo, S/N Centro de Jericó</t>
  </si>
  <si>
    <t>188 - JERICO - 13075.02 - Rua Lopes de Figueiredo, S/N Centro de Jericó</t>
  </si>
  <si>
    <t>SERVIÇO DE CONVIVENCIA E FORTALECIMENTO DE VINCULOS-SCFV-JERICO</t>
  </si>
  <si>
    <t>431 - SERVIÇO DE CONVIVENCIA E FORTALECIMENTO DE VINCULOS-SCFV-JERICO</t>
  </si>
  <si>
    <t>EMEF. JOAO ROSADO DE OLIVEIRA</t>
  </si>
  <si>
    <t>521 - EMEF. JOAO ROSADO DE OLIVEIRA</t>
  </si>
  <si>
    <t>13076 - JOÃO PESSOA</t>
  </si>
  <si>
    <t>ECIT MANGABEIRA (ECIT PASTOR JOÃO PEREIRA GOMES FILHO)</t>
  </si>
  <si>
    <t>002 - ECIT MANGABEIRA (ECIT PASTOR JOÃO PEREIRA GOMES FILHO)</t>
  </si>
  <si>
    <t>EEEF PROFESSORA ANTONIA RANGEL DE FARIAS</t>
  </si>
  <si>
    <t>061 - EEEF PROFESSORA ANTONIA RANGEL DE FARIAS</t>
  </si>
  <si>
    <t>ECI FAC - FRANCISCA ASCENSSÃO CUNHA</t>
  </si>
  <si>
    <t>062 - ECI FAC - FRANCISCA ASCENSSÃO CUNHA</t>
  </si>
  <si>
    <t>ECI LUIZ RAMALHO</t>
  </si>
  <si>
    <t>063 - ECI LUIZ RAMALHO</t>
  </si>
  <si>
    <t>ECI RAUL MACHADO</t>
  </si>
  <si>
    <t>064 - ECI RAUL MACHADO</t>
  </si>
  <si>
    <t>ECIT DAURA SANTTIAGO</t>
  </si>
  <si>
    <t>065 - ECIT DAURA SANTTIAGO</t>
  </si>
  <si>
    <t>ECIT MANGABEIRA</t>
  </si>
  <si>
    <t>066 - ECIT MANGABEIRA</t>
  </si>
  <si>
    <t>ECIT MARIA DOCARMO</t>
  </si>
  <si>
    <t>067 - ECIT MARIA DOCARMO</t>
  </si>
  <si>
    <t>ECIT OSWALDO PESSOA</t>
  </si>
  <si>
    <t>068 - ECIT OSWALDO PESSOA</t>
  </si>
  <si>
    <t>ECIT FRANCISCA ASCENSÃO CUNHA</t>
  </si>
  <si>
    <t>088 - ECIT FRANCISCA ASCENSÃO CUNHA</t>
  </si>
  <si>
    <t>CEEEA SESQUICENTENARIO</t>
  </si>
  <si>
    <t>240 - CEEEA SESQUICENTENARIO</t>
  </si>
  <si>
    <t>CENTRO PROFIS DEP ANTONIO CABRAL</t>
  </si>
  <si>
    <t>241 - CENTRO PROFIS DEP ANTONIO CABRAL</t>
  </si>
  <si>
    <t>ECI CONEGO FRANCISCO GOMES DE LIMA</t>
  </si>
  <si>
    <t>242 - ECI CONEGO FRANCISCO GOMES DE LIMA</t>
  </si>
  <si>
    <t>ECI LUIS RAMALHO</t>
  </si>
  <si>
    <t>243 - ECI LUIS RAMALHO</t>
  </si>
  <si>
    <t>ECI OLIVIO PINTO</t>
  </si>
  <si>
    <t>244 - ECI OLIVIO PINTO</t>
  </si>
  <si>
    <t>ECI PAPA PAULO VI</t>
  </si>
  <si>
    <t>245 - ECI PAPA PAULO VI</t>
  </si>
  <si>
    <t>ECIT ALICE CARNEIRO</t>
  </si>
  <si>
    <t>246 - ECIT ALICE CARNEIRO</t>
  </si>
  <si>
    <t>EEEF PROF ORLANDO CAVALCANTI GOMES</t>
  </si>
  <si>
    <t>247 - EEEF PROF ORLANDO CAVALCANTI GOMES</t>
  </si>
  <si>
    <t>SEDE (SEECT)</t>
  </si>
  <si>
    <t>257 - SEDE (SEECT)</t>
  </si>
  <si>
    <t>ECIT MONSENHOR PEDRO ANÍSIO BEZERRA DANTAS</t>
  </si>
  <si>
    <t>259 - ECIT MONSENHOR PEDRO ANÍSIO BEZERRA DANTAS</t>
  </si>
  <si>
    <t>ECIT MANOEL LISBOA</t>
  </si>
  <si>
    <t>265 - ECIT MANOEL LISBOA</t>
  </si>
  <si>
    <t>COLÉGIO DA POLÍCIA MILITAR ESTUDANTE REBECA CRISTINA ALVES SIMÕES</t>
  </si>
  <si>
    <t>268 - COLÉGIO DA POLÍCIA MILITAR ESTUDANTE REBECA CRISTINA ALVES SIMÕES</t>
  </si>
  <si>
    <t>ECIT PRESIDENTE JOÃO GOULART</t>
  </si>
  <si>
    <t>272 - ECIT PRESIDENTE JOÃO GOULART</t>
  </si>
  <si>
    <t>ECIT MARIA DO CARMO DE MIRANDA</t>
  </si>
  <si>
    <t>273 - ECIT MARIA DO CARMO DE MIRANDA</t>
  </si>
  <si>
    <t>CENTRO PROFISSIONALIZANTE DEPUTADO ANTÔNIO CABRAL</t>
  </si>
  <si>
    <t>281 - CENTRO PROFISSIONALIZANTE DEPUTADO ANTÔNIO CABRAL</t>
  </si>
  <si>
    <t>ECIT DOM JOSÉ MARIA PIRES</t>
  </si>
  <si>
    <t>288 - ECIT DOM JOSÉ MARIA PIRES</t>
  </si>
  <si>
    <t>ECIT PREFEITO OSWALDO PESSOA</t>
  </si>
  <si>
    <t>289 - ECIT PREFEITO OSWALDO PESSOA</t>
  </si>
  <si>
    <t>ECIT PASTOR JOÃO PEREIRA GOMES FILHO</t>
  </si>
  <si>
    <t>290 - ECIT PASTOR JOÃO PEREIRA GOMES FILHO</t>
  </si>
  <si>
    <t>ECIT RAUL MACHADO</t>
  </si>
  <si>
    <t>291 - ECIT RAUL MACHADO</t>
  </si>
  <si>
    <t>292 - ECIT PROF. RAUL CÓRDULA</t>
  </si>
  <si>
    <t>ECIT MANOEL LISBOA DE MOURA</t>
  </si>
  <si>
    <t>293 - ECIT MANOEL LISBOA DE MOURA</t>
  </si>
  <si>
    <t>ECIT PROFA OLIVINA OLÍVIA CARNEIRO DA CUNHA</t>
  </si>
  <si>
    <t>295 - ECIT PROFA OLIVINA OLÍVIA CARNEIRO DA CUNHA</t>
  </si>
  <si>
    <t>ECIT MESTRE SIVUCA</t>
  </si>
  <si>
    <t>296 - ECIT MESTRE SIVUCA</t>
  </si>
  <si>
    <t>ECIT PAPA PAULO VI</t>
  </si>
  <si>
    <t>297 - ECIT PAPA PAULO VI</t>
  </si>
  <si>
    <t>ECIT HORÁCIO DE ALMEIDA</t>
  </si>
  <si>
    <t>298 - ECIT HORÁCIO DE ALMEIDA</t>
  </si>
  <si>
    <t>ECIT DAURA SANTIAGO RANGEL</t>
  </si>
  <si>
    <t>300 - ECIT DAURA SANTIAGO RANGEL</t>
  </si>
  <si>
    <t>ECIT JOÃO ROBERTO BORGES DE SOUZA</t>
  </si>
  <si>
    <t>302 - ECIT JOÃO ROBERTO BORGES DE SOUZA</t>
  </si>
  <si>
    <t>ECIT LUIZ GONZAGA DE ALBUQUERQUE BURITY</t>
  </si>
  <si>
    <t>329 - ECIT LUIZ GONZAGA DE ALBUQUERQUE BURITY</t>
  </si>
  <si>
    <t>ECIT PADRE HILDON BANDEIRA</t>
  </si>
  <si>
    <t>330 - ECIT PADRE HILDON BANDEIRA</t>
  </si>
  <si>
    <t>ECIT LICEU PARAIBANO</t>
  </si>
  <si>
    <t>333 - ECIT LICEU PARAIBANO</t>
  </si>
  <si>
    <t>EEEFM PROF CELESTIN MALZAC</t>
  </si>
  <si>
    <t>341 - EEEFM PROF CELESTIN MALZAC</t>
  </si>
  <si>
    <t>EEEM CON LUIZ GONZAGA DE OLIVEIRA</t>
  </si>
  <si>
    <t>342 - EEEM CON LUIZ GONZAGA DE OLIVEIRA</t>
  </si>
  <si>
    <t>EEEF DR OTAVIO NOVAIS</t>
  </si>
  <si>
    <t>384 - EEEF DR OTAVIO NOVAIS</t>
  </si>
  <si>
    <t>EEEFM DOMINGOS JOSE DA PAIXAO</t>
  </si>
  <si>
    <t>385 - EEEFM DOMINGOS JOSE DA PAIXAO</t>
  </si>
  <si>
    <t>EEEFM DR JOAO NAVARRO FILHO</t>
  </si>
  <si>
    <t>386 - EEEFM DR JOAO NAVARRO FILHO</t>
  </si>
  <si>
    <t>EEEFM PROF JOSE BAPTISTA DE MELLO</t>
  </si>
  <si>
    <t>387 - EEEFM PROF JOSE BAPTISTA DE MELLO</t>
  </si>
  <si>
    <t>EEEFM SANTOS DUMONT</t>
  </si>
  <si>
    <t>388 - EEEFM SANTOS DUMONT</t>
  </si>
  <si>
    <t>EEEF PROFA ARGENTINA PEREIRA GOMES</t>
  </si>
  <si>
    <t>389 - EEEF PROFA ARGENTINA PEREIRA GOMES</t>
  </si>
  <si>
    <t>INSTITUTO DE EDUCACAO DA PARAIBA IEP</t>
  </si>
  <si>
    <t>390 - INSTITUTO DE EDUCACAO DA PARAIBA IEP</t>
  </si>
  <si>
    <t>ASSOCIAÇÃO BENEFICENTE SÃO JOSÉ</t>
  </si>
  <si>
    <t>404 - ASSOCIAÇÃO BENEFICENTE SÃO JOSÉ</t>
  </si>
  <si>
    <t>PENITENCIÁRIA DESEMBARGADOR SILVIO PORTO</t>
  </si>
  <si>
    <t>408 - PENITENCIÁRIA DESEMBARGADOR SILVIO PORTO</t>
  </si>
  <si>
    <t>PIA SOCIEDADE DE PE. NICOLA MAZZA</t>
  </si>
  <si>
    <t>464 - PIA SOCIEDADE DE PE. NICOLA MAZZA</t>
  </si>
  <si>
    <t>INSTITUTO HUMANITAS</t>
  </si>
  <si>
    <t>465 - INSTITUTO HUMANITAS</t>
  </si>
  <si>
    <t>PENITENCIÁRIA CRIMINALISTA GERALDO BELTRÃO</t>
  </si>
  <si>
    <t>468 - PENITENCIÁRIA CRIMINALISTA GERALDO BELTRÃO</t>
  </si>
  <si>
    <t>522 - ASSOCIACAO BENEFICENTE SAO JOSE</t>
  </si>
  <si>
    <t>CENTRO SOCIAL URBANO MONSENHOR JOSE COUTINHO</t>
  </si>
  <si>
    <t>523 - CENTRO SOCIAL URBANO MONSENHOR JOSE COUTINHO</t>
  </si>
  <si>
    <t>ECIT DOM JOSE MARIA PIRES</t>
  </si>
  <si>
    <t>524 - ECIT DOM JOSE MARIA PIRES</t>
  </si>
  <si>
    <t>ECIT PEDRO ANISIO BEZERRA DANTAS</t>
  </si>
  <si>
    <t>525 - ECIT PEDRO ANISIO BEZERRA DANTAS</t>
  </si>
  <si>
    <t>EEEFM DESEMBARGADOR BRAZ BARACUHY</t>
  </si>
  <si>
    <t>526 - EEEFM DESEMBARGADOR BRAZ BARACUHY</t>
  </si>
  <si>
    <t>JOCA CLAUDINO</t>
  </si>
  <si>
    <t>13210 - JOCA CLAUDINO</t>
  </si>
  <si>
    <t>ESCOLA MUNICIPAL JOSE GUALBERTO DE ANDRADE</t>
  </si>
  <si>
    <t>474 - ESCOLA MUNICIPAL JOSE GUALBERTO DE ANDRADE</t>
  </si>
  <si>
    <t>JUAREZ TÁVORA</t>
  </si>
  <si>
    <t>13077 - JUAREZ TÁVORA</t>
  </si>
  <si>
    <t>JUAREZ TAVORA - 13077.01 - RUA ADALBERTO PEREIRA DE MELO, S/N, CENTRO</t>
  </si>
  <si>
    <t>189 - JUAREZ TAVORA - 13077.01 - RUA ADALBERTO PEREIRA DE MELO, S/N, CENTRO</t>
  </si>
  <si>
    <t>JUAREZ TAVORA - 13077.02 - RUA TOBIAS RIBEIRO, S/N, CENTRO</t>
  </si>
  <si>
    <t>190 - JUAREZ TAVORA - 13077.02 - RUA TOBIAS RIBEIRO, S/N, CENTRO</t>
  </si>
  <si>
    <t>JUAZEIRINHO</t>
  </si>
  <si>
    <t>13078 - JUAZEIRINHO</t>
  </si>
  <si>
    <t>JUAZEIRINHO - 13078.01 - Avenida Juiz Federal Genival Matias</t>
  </si>
  <si>
    <t>191 - JUAZEIRINHO - 13078.01 - Avenida Juiz Federal Genival Matias</t>
  </si>
  <si>
    <t>ECIT DEPUTADO GENIVAL MATIAS</t>
  </si>
  <si>
    <t>314 - ECIT DEPUTADO GENIVAL MATIAS</t>
  </si>
  <si>
    <t>ECIT ESCOLA CIDADA INTEGRAL DEPUTADO GENIVAL MATIAS DE OLIVEIRA</t>
  </si>
  <si>
    <t>527 - ECIT ESCOLA CIDADA INTEGRAL DEPUTADO GENIVAL MATIAS DE OLIVEIRA</t>
  </si>
  <si>
    <t>JUNCO DO SERIDO</t>
  </si>
  <si>
    <t>13079 - JUNCO DO SERIDÓ</t>
  </si>
  <si>
    <t>GRUPO ESCOLAR DA COMUNIDADE DA CARNEIRA</t>
  </si>
  <si>
    <t>070 - GRUPO ESCOLAR DA COMUNIDADE DA CARNEIRA</t>
  </si>
  <si>
    <t>JUNCO DO SERIDO - 13079.01 - AVENIDA BALDUINO GUEDES, 218</t>
  </si>
  <si>
    <t>192 - JUNCO DO SERIDO - 13079.01 - AVENIDA BALDUINO GUEDES, 218</t>
  </si>
  <si>
    <t>ECIT EZEQUIEL FERNANDES</t>
  </si>
  <si>
    <t>258 - ECIT EZEQUIEL FERNANDES</t>
  </si>
  <si>
    <t>ESCOLA MUNICIPAL SANTO ONOFRE</t>
  </si>
  <si>
    <t>528 - ESCOLA MUNICIPAL SANTO ONOFRE</t>
  </si>
  <si>
    <t>JURIPIRANGA</t>
  </si>
  <si>
    <t>13080 - JURIPIRANGA</t>
  </si>
  <si>
    <t>ESCOLA MUNICIPAL MARIA JOSE BORBA</t>
  </si>
  <si>
    <t>369 - ESCOLA MUNICIPAL MARIA JOSE BORBA</t>
  </si>
  <si>
    <t>JURU</t>
  </si>
  <si>
    <t>13081 - JURU</t>
  </si>
  <si>
    <t>EMF ANTONIO ALVES DA SILVA</t>
  </si>
  <si>
    <t>071 - EMF ANTONIO ALVES DA SILVA</t>
  </si>
  <si>
    <t>LOTEAMENTO NOVO HORIZONTE</t>
  </si>
  <si>
    <t>132 - LOTEAMENTO NOVO HORIZONTE</t>
  </si>
  <si>
    <t>ECIT ARLINDA PESSOA DA SILVA</t>
  </si>
  <si>
    <t>331 - ECIT ARLINDA PESSOA DA SILVA</t>
  </si>
  <si>
    <t>LAGOA DE DENTRO</t>
  </si>
  <si>
    <t>13083 - LAGOA DE DENTRO</t>
  </si>
  <si>
    <t>EEEFM IVAN BICHARA SOBREIRA</t>
  </si>
  <si>
    <t>072 - EEEFM IVAN BICHARA SOBREIRA</t>
  </si>
  <si>
    <t>ESCOLA MUNICIPAL DE ENSINO FUNDAMENTAL ALFREDO CHAVES</t>
  </si>
  <si>
    <t>529 - ESCOLA MUNICIPAL DE ENSINO FUNDAMENTAL ALFREDO CHAVES</t>
  </si>
  <si>
    <t>LAGOA SECA</t>
  </si>
  <si>
    <t>13084 - LAGOA SECA</t>
  </si>
  <si>
    <t>EEEFM PROF. GERALDO LAFAYETTE BEZERRA</t>
  </si>
  <si>
    <t>069 - EEEFM PROF. GERALDO LAFAYETTE BEZERRA</t>
  </si>
  <si>
    <t>LAGOA SECA - 13084.01 - Rua Antônio Borges, 210 – Centro</t>
  </si>
  <si>
    <t>193 - LAGOA SECA - 13084.01 - Rua Antônio Borges, 210 – Centro</t>
  </si>
  <si>
    <t>ECIT FRANCISCA MARTINIANO DA ROCHA</t>
  </si>
  <si>
    <t>264 - ECIT FRANCISCA MARTINIANO DA ROCHA</t>
  </si>
  <si>
    <t>LOGRADOURO</t>
  </si>
  <si>
    <t>13194 - LOGRADOURO</t>
  </si>
  <si>
    <t>CRAS - CENTRO DE REFERENCIA DA ASSISTENCIA SOCIAL</t>
  </si>
  <si>
    <t>475 - CRAS - CENTRO DE REFERENCIA DA ASSISTENCIA SOCIAL</t>
  </si>
  <si>
    <t>LUCENA</t>
  </si>
  <si>
    <t>13087 - LUCENA</t>
  </si>
  <si>
    <t>EM AMÉRICO FALCÃO</t>
  </si>
  <si>
    <t>073 - EM AMÉRICO FALCÃO</t>
  </si>
  <si>
    <t>MALTA</t>
  </si>
  <si>
    <t>13089 - MALTA</t>
  </si>
  <si>
    <t>EEEFM DR ANTONIO FERNANDES</t>
  </si>
  <si>
    <t>074 - EEEFM DR ANTONIO FERNANDES</t>
  </si>
  <si>
    <t>MAMANGUAPE</t>
  </si>
  <si>
    <t>13090 - MAMANGUAPE</t>
  </si>
  <si>
    <t>ECIT MAMANGUAPE (ECIT JOAO DA MATA CAVALCANTI DE ALBUQUERQUE)</t>
  </si>
  <si>
    <t>015 - ECIT MAMANGUAPE (ECIT JOAO DA MATA CAVALCANTI DE ALBUQUERQUE)</t>
  </si>
  <si>
    <t>ECIT MAMANGUAPE</t>
  </si>
  <si>
    <t>075 - ECIT MAMANGUAPE</t>
  </si>
  <si>
    <t>ECIT JOÃO DA MATA CAVALCANTI DE ALBUQUERQUE</t>
  </si>
  <si>
    <t>271 - ECIT JOÃO DA MATA CAVALCANTI DE ALBUQUERQUE</t>
  </si>
  <si>
    <t>CENTRO DE CIENCIAS APLICADAS E EDUCACAO (CCAE)</t>
  </si>
  <si>
    <t>581 - CENTRO DE CIENCIAS APLICADAS E EDUCACAO (CCAE)</t>
  </si>
  <si>
    <t>MANAIRA</t>
  </si>
  <si>
    <t>13091 - MANAÍRA</t>
  </si>
  <si>
    <t>MANAIRA - 13091.01 - RUA JOAQUIM SIMAO, 96</t>
  </si>
  <si>
    <t>194 - MANAIRA - 13091.01 - RUA JOAQUIM SIMAO, 96</t>
  </si>
  <si>
    <t>EMEF PROF. CICERO RABELO NOGUEIRA</t>
  </si>
  <si>
    <t>432 - EMEF PROF. CICERO RABELO NOGUEIRA</t>
  </si>
  <si>
    <t>ECI MONSENHOR SEBASTIAO RABELO NOGUEIRA</t>
  </si>
  <si>
    <t>530 - ECI MONSENHOR SEBASTIAO RABELO NOGUEIRA</t>
  </si>
  <si>
    <t>EMEF PROFESSOR CICERO RABELO NOGUEIRA</t>
  </si>
  <si>
    <t>531 - EMEF PROFESSOR CICERO RABELO NOGUEIRA</t>
  </si>
  <si>
    <t>MARI</t>
  </si>
  <si>
    <t>13092 - MARI</t>
  </si>
  <si>
    <t>ASSOCIAÇÃO DOS FILHOS E AMIGOS DE MARI</t>
  </si>
  <si>
    <t>370 - ASSOCIAÇÃO DOS FILHOS E AMIGOS DE MARI</t>
  </si>
  <si>
    <t>ASFAM ASSOCIACAO DOS FILHOS E AMIGOS DE MARI</t>
  </si>
  <si>
    <t>433 - ASFAM ASSOCIACAO DOS FILHOS E AMIGOS DE MARI</t>
  </si>
  <si>
    <t>ECIT JOSE PAULO DE FRANCA</t>
  </si>
  <si>
    <t>532 - ECIT JOSE PAULO DE FRANCA</t>
  </si>
  <si>
    <t>ESCOLA MUNICIPAL DE PIRPIRI</t>
  </si>
  <si>
    <t>533 - ESCOLA MUNICIPAL DE PIRPIRI</t>
  </si>
  <si>
    <t>MARIZÓPOLIS</t>
  </si>
  <si>
    <t>13196 - MARIZÓPOLIS</t>
  </si>
  <si>
    <t>ASSENTAMENTO JUAZEIRO</t>
  </si>
  <si>
    <t>133 - ASSENTAMENTO JUAZEIRO</t>
  </si>
  <si>
    <t>ESCOLA  MUNICIPAL JOÃO ALEXANDRE DE OLIVEIRA</t>
  </si>
  <si>
    <t>371 - ESCOLA  MUNICIPAL JOÃO ALEXANDRE DE OLIVEIRA</t>
  </si>
  <si>
    <t>EM PE. JULIA MARIA DE CARVALHO SILVA</t>
  </si>
  <si>
    <t>434 - EM PE. JULIA MARIA DE CARVALHO SILVA</t>
  </si>
  <si>
    <t>MASSARANDUBA</t>
  </si>
  <si>
    <t>13093 - MASSARANDUBA</t>
  </si>
  <si>
    <t>ASSOCIACAO DE DESENVOLVIMENTO COMUNITARIO DO SITIO CHUPADOURO</t>
  </si>
  <si>
    <t>476 - ASSOCIACAO DE DESENVOLVIMENTO COMUNITARIO DO SITIO CHUPADOURO</t>
  </si>
  <si>
    <t>SINDICATO DOS TRABALHADORES RURAIS AGRICULTORES E AGRICULTORAS FAMILIARES DE MASSARANDUBA</t>
  </si>
  <si>
    <t>568 - SINDICATO DOS TRABALHADORES RURAIS AGRICULTORES E AGRICULTORAS FAMILIARES DE MASSARANDUBA</t>
  </si>
  <si>
    <t>MATINHAS</t>
  </si>
  <si>
    <t>13197 - MATINHAS</t>
  </si>
  <si>
    <t>ECIT POETA MÁRIO VIEIRA DA SILVA</t>
  </si>
  <si>
    <t>312 - ECIT POETA MÁRIO VIEIRA DA SILVA</t>
  </si>
  <si>
    <t>MATUREIA</t>
  </si>
  <si>
    <t>13199 - MATURÉIA</t>
  </si>
  <si>
    <t xml:space="preserve">ESCOLA MUNICIPAL DE ENSINO FUNDAMENTAL MARIA TAMARA SOUZA DE NASCIMENTO </t>
  </si>
  <si>
    <t xml:space="preserve">372 - ESCOLA MUNICIPAL DE ENSINO FUNDAMENTAL MARIA TAMARA SOUZA DE NASCIMENTO </t>
  </si>
  <si>
    <t>EMEF MARIA TAMARA SOUZA DO NASCIMENTO</t>
  </si>
  <si>
    <t>435 - EMEF MARIA TAMARA SOUZA DO NASCIMENTO</t>
  </si>
  <si>
    <t>MOGEIRO</t>
  </si>
  <si>
    <t>13095 - MOGEIRO</t>
  </si>
  <si>
    <t>EEE OTÁVIA SILVEIRA</t>
  </si>
  <si>
    <t>076 - EEE OTÁVIA SILVEIRA</t>
  </si>
  <si>
    <t>EMEF IRACI RODRIGUES DE FARIAS MELO</t>
  </si>
  <si>
    <t>436 - EMEF IRACI RODRIGUES DE FARIAS MELO</t>
  </si>
  <si>
    <t>ECIT OTAVIA SILVEIRA</t>
  </si>
  <si>
    <t>534 - ECIT OTAVIA SILVEIRA</t>
  </si>
  <si>
    <t>ESCOLA MUNICIPAL IRACI RODRIGUES DE FARIAS MELO</t>
  </si>
  <si>
    <t>535 - ESCOLA MUNICIPAL IRACI RODRIGUES DE FARIAS MELO</t>
  </si>
  <si>
    <t>MONTEIRO</t>
  </si>
  <si>
    <t>13098 - MONTEIRO</t>
  </si>
  <si>
    <t>ECIT JOSE LEITE DE SOUSA</t>
  </si>
  <si>
    <t>009 - ECIT JOSE LEITE DE SOUSA</t>
  </si>
  <si>
    <t>EEEFM JOAO DE OLIVEIRA CHAVES</t>
  </si>
  <si>
    <t>077 - EEEFM JOAO DE OLIVEIRA CHAVES</t>
  </si>
  <si>
    <t>ESCOLA MUNICIPAL VILA LAFAYETTE</t>
  </si>
  <si>
    <t>078 - ESCOLA MUNICIPAL VILA LAFAYETTE</t>
  </si>
  <si>
    <t>MONTEIRO - 13098.01 - Rua Professora Maria da Salete , SN, Alto São Vicente</t>
  </si>
  <si>
    <t>195 - MONTEIRO - 13098.01 - Rua Professora Maria da Salete , SN, Alto São Vicente</t>
  </si>
  <si>
    <t>MONTEIRO - 13098.02 - Rua Projetada S/N, Vila Santa Maria</t>
  </si>
  <si>
    <t>196 - MONTEIRO - 13098.02 - Rua Projetada S/N, Vila Santa Maria</t>
  </si>
  <si>
    <t>ESCOLA MUNICIPAL PROFESSOR JOSE DE ARAUJO VALENCA</t>
  </si>
  <si>
    <t>536 - ESCOLA MUNICIPAL PROFESSOR JOSE DE ARAUJO VALENCA</t>
  </si>
  <si>
    <t>NAZAREZINHO</t>
  </si>
  <si>
    <t>13101 - NAZAREZINHO</t>
  </si>
  <si>
    <t>NAZAREZINHO - 13101.01 - Endereço: RUA ANTONIO GINO FILHO, S/N - LINDOLFO PIRES, Nazarezinho - PB,</t>
  </si>
  <si>
    <t>197 - NAZAREZINHO - 13101.01 - Endereço: RUA ANTONIO GINO FILHO, S/N - LINDOLFO PIRES, Nazarezinho - PB,</t>
  </si>
  <si>
    <t>COOPERATIVA DOS AGRICULTORES E AQUICULTORES DE NAZAREZINHO E REGIAO (COOPENAZA)</t>
  </si>
  <si>
    <t>537 - COOPERATIVA DOS AGRICULTORES E AQUICULTORES DE NAZAREZINHO E REGIAO (COOPENAZA)</t>
  </si>
  <si>
    <t>NOVA FLORESTA</t>
  </si>
  <si>
    <t>13102 - NOVA FLORESTA</t>
  </si>
  <si>
    <t>EEEFM JOSÉ ROLDERICK DE OLIVEIRA</t>
  </si>
  <si>
    <t>079 - EEEFM JOSÉ ROLDERICK DE OLIVEIRA</t>
  </si>
  <si>
    <t>NOVA OLINDA</t>
  </si>
  <si>
    <t>13103 - NOVA OLINDA</t>
  </si>
  <si>
    <t>EEEFM JOÃO LEITE NETO</t>
  </si>
  <si>
    <t>080 - EEEFM JOÃO LEITE NETO</t>
  </si>
  <si>
    <t>NOVA OLINDA - 13103.01 - Rua vereador António Gonçalves</t>
  </si>
  <si>
    <t>198 - NOVA OLINDA - 13103.01 - Rua vereador António Gonçalves</t>
  </si>
  <si>
    <t>EMEF GENESIO PINTO RAMALHO</t>
  </si>
  <si>
    <t>538 - EMEF GENESIO PINTO RAMALHO</t>
  </si>
  <si>
    <t>NOVA PALMEIRA</t>
  </si>
  <si>
    <t>13104 - NOVA PALMEIRA</t>
  </si>
  <si>
    <t>SEDE DA ASSOCIAÇÃO QUILOMBA SERRA DO ABREU</t>
  </si>
  <si>
    <t>134 - SEDE DA ASSOCIAÇÃO QUILOMBA SERRA DO ABREU</t>
  </si>
  <si>
    <t>OLHO DAGUA</t>
  </si>
  <si>
    <t>13105 - OLHO D´AGUA</t>
  </si>
  <si>
    <t>EEEFM ANTÔNIO AVELINO</t>
  </si>
  <si>
    <t>081 - EEEFM ANTÔNIO AVELINO</t>
  </si>
  <si>
    <t>SEDE DO CRAS</t>
  </si>
  <si>
    <t>135 - SEDE DO CRAS</t>
  </si>
  <si>
    <t>ASSENTAMENTO "MÃE RAINHA"</t>
  </si>
  <si>
    <t>136 - ASSENTAMENTO "MÃE RAINHA"</t>
  </si>
  <si>
    <t>ECIT ANTONIO AVELINO DE ALMEIDA</t>
  </si>
  <si>
    <t>477 - ECIT ANTONIO AVELINO DE ALMEIDA</t>
  </si>
  <si>
    <t>EEEF CONEGO MANOEL OTAVIANO</t>
  </si>
  <si>
    <t>478 - EEEF CONEGO MANOEL OTAVIANO</t>
  </si>
  <si>
    <t>479 - EEEF CONEGO MANOEL OTAVIANO</t>
  </si>
  <si>
    <t>ESCOLA MUNICIPAL JULIO MINERVINO</t>
  </si>
  <si>
    <t>480 - ESCOLA MUNICIPAL JULIO MINERVINO</t>
  </si>
  <si>
    <t>539 - EEEF CONEGO MANOEL OTAVIANO</t>
  </si>
  <si>
    <t>540 - ESCOLA MUNICIPAL JULIO MINERVINO</t>
  </si>
  <si>
    <t>13109 - PATOS</t>
  </si>
  <si>
    <t>EEEFM AUZENIR LACERDA</t>
  </si>
  <si>
    <t>004 - EEEFM AUZENIR LACERDA</t>
  </si>
  <si>
    <t>ECIT AUZENIR LACERDA</t>
  </si>
  <si>
    <t>082 - ECIT AUZENIR LACERDA</t>
  </si>
  <si>
    <t>PATOS - 13109.01 - Rua José Satiro Quinho, 171 - Monte Castelo</t>
  </si>
  <si>
    <t>199 - PATOS - 13109.01 - Rua José Satiro Quinho, 171 - Monte Castelo</t>
  </si>
  <si>
    <t>ECIT DR. DIONÍSIO DA COSTA</t>
  </si>
  <si>
    <t>275 - ECIT DR. DIONÍSIO DA COSTA</t>
  </si>
  <si>
    <t>ECIT LYNALDO CAVALCANTI DE ALBUQUERQUE</t>
  </si>
  <si>
    <t>277 - ECIT LYNALDO CAVALCANTI DE ALBUQUERQUE</t>
  </si>
  <si>
    <t>EEEF RIO BRANCO</t>
  </si>
  <si>
    <t>343 - EEEF RIO BRANCO</t>
  </si>
  <si>
    <t>EMEF ARISTIDES HAMAD TIMENE</t>
  </si>
  <si>
    <t>373 - EMEF ARISTIDES HAMAD TIMENE</t>
  </si>
  <si>
    <t>EEEFM ANTONIA ARAUJO</t>
  </si>
  <si>
    <t>399 - EEEFM ANTONIA ARAUJO</t>
  </si>
  <si>
    <t>PENITENCIARIA REGIONAL FEMININA DE PATOS</t>
  </si>
  <si>
    <t>409 - PENITENCIARIA REGIONAL FEMININA DE PATOS</t>
  </si>
  <si>
    <t>PAULISTA</t>
  </si>
  <si>
    <t>13110 - PAULISTA</t>
  </si>
  <si>
    <t>PAULISTA - 13110.01 - Rua Vigolvino Calixto, Centro.</t>
  </si>
  <si>
    <t>200 - PAULISTA - 13110.01 - Rua Vigolvino Calixto, Centro.</t>
  </si>
  <si>
    <t>ECIT FRANCISCO DE SÁ CAVALCANTE</t>
  </si>
  <si>
    <t>326 - ECIT FRANCISCO DE SÁ CAVALCANTE</t>
  </si>
  <si>
    <t>EMEF CANDIDO DE ASSIS QUEIROGA</t>
  </si>
  <si>
    <t>437 - EMEF CANDIDO DE ASSIS QUEIROGA</t>
  </si>
  <si>
    <t>EECIT FRANCISCO DE SA CAVALCANTE</t>
  </si>
  <si>
    <t>541 - EECIT FRANCISCO DE SA CAVALCANTE</t>
  </si>
  <si>
    <t>PEDRA BRANCA</t>
  </si>
  <si>
    <t>13111 - PEDRA BRANCA</t>
  </si>
  <si>
    <t>EM MANOEL CLAUDINO DA SILVA</t>
  </si>
  <si>
    <t>438 - EM MANOEL CLAUDINO DA SILVA</t>
  </si>
  <si>
    <t>PEDRA LAVRADA</t>
  </si>
  <si>
    <t>13112 - PEDRA LAVRADA</t>
  </si>
  <si>
    <t>PEDRA LAVRADA - 13112.01 - Rua Heronides Meira Vasconcelos - s/n, Pedra Lavrada</t>
  </si>
  <si>
    <t>201 - PEDRA LAVRADA - 13112.01 - Rua Heronides Meira Vasconcelos - s/n, Pedra Lavrada</t>
  </si>
  <si>
    <t>PEDRAS DE FOGO</t>
  </si>
  <si>
    <t>13113 - PEDRAS DE FOGO</t>
  </si>
  <si>
    <t>ECIT JOÃO ÚRSULO</t>
  </si>
  <si>
    <t>083 - ECIT JOÃO ÚRSULO</t>
  </si>
  <si>
    <t>ESCOLA MUNICIPAL VALDECI CAVALCANTI</t>
  </si>
  <si>
    <t>084 - ESCOLA MUNICIPAL VALDECI CAVALCANTI</t>
  </si>
  <si>
    <t>EEEFM PROF GETULIO CESAR RODRIGUES GUEDES</t>
  </si>
  <si>
    <t>255 - EEEFM PROF GETULIO CESAR RODRIGUES GUEDES</t>
  </si>
  <si>
    <t>PEDRO RÉGIS</t>
  </si>
  <si>
    <t>13203 - PEDRO RÉGIS</t>
  </si>
  <si>
    <t>ESCOLA MUNICIPAL E.F DAURA RIBEIRO</t>
  </si>
  <si>
    <t>137 - ESCOLA MUNICIPAL E.F DAURA RIBEIRO</t>
  </si>
  <si>
    <t>EEEFM MARGARIDA DIAS</t>
  </si>
  <si>
    <t>344 - EEEFM MARGARIDA DIAS</t>
  </si>
  <si>
    <t>EMEF DAURA RIBEIRO DA SILVA</t>
  </si>
  <si>
    <t>449 - EMEF DAURA RIBEIRO DA SILVA</t>
  </si>
  <si>
    <t>PIANCO</t>
  </si>
  <si>
    <t>13114 - PIANCÓ</t>
  </si>
  <si>
    <t>EEEM SANTO ANTONIO</t>
  </si>
  <si>
    <t>085 - EEEM SANTO ANTONIO</t>
  </si>
  <si>
    <t>PIANCO - 13114.01 - Av Virgilio Silva</t>
  </si>
  <si>
    <t>202 - PIANCO - 13114.01 - Av Virgilio Silva</t>
  </si>
  <si>
    <t>EMEIF LUCIANO FREIRE DE FARIAS</t>
  </si>
  <si>
    <t>448 - EMEIF LUCIANO FREIRE DE FARIAS</t>
  </si>
  <si>
    <t>ECIT SANTO ANTONIO</t>
  </si>
  <si>
    <t>542 - ECIT SANTO ANTONIO</t>
  </si>
  <si>
    <t>PICUÍ</t>
  </si>
  <si>
    <t>13115 - PICUÍ</t>
  </si>
  <si>
    <t>ESCOLA MUNICIPAL DE ENSINO FUNDAMENTAL TERTULIANO PEREIRA DE ARAÚJO</t>
  </si>
  <si>
    <t>086 - ESCOLA MUNICIPAL DE ENSINO FUNDAMENTAL TERTULIANO PEREIRA DE ARAÚJO</t>
  </si>
  <si>
    <t>PARQUE ECOLÓGICO MUNICIPAL</t>
  </si>
  <si>
    <t>138 - PARQUE ECOLÓGICO MUNICIPAL</t>
  </si>
  <si>
    <t>PICUI - 13115.01 - AV LUIZA ALVES , S/N, BAIRRO CONECISTA</t>
  </si>
  <si>
    <t>203 - PICUI - 13115.01 - AV LUIZA ALVES , S/N, BAIRRO CONECISTA</t>
  </si>
  <si>
    <t>PICUI - 13115.02 - RUA ANTÔNIO FIRMINO DE MACEDO, S/N., LIMEIRA</t>
  </si>
  <si>
    <t>204 - PICUI - 13115.02 - RUA ANTÔNIO FIRMINO DE MACEDO, S/N., LIMEIRA</t>
  </si>
  <si>
    <t>ECIT PROF. LORDÃO</t>
  </si>
  <si>
    <t>284 - ECIT PROF. LORDÃO</t>
  </si>
  <si>
    <t>EEEFM FELIPE TIAGO GOMES</t>
  </si>
  <si>
    <t>398 - EEEFM FELIPE TIAGO GOMES</t>
  </si>
  <si>
    <t>ASSOCIAÇAO COMUNITÁRIA NEGRA SERRA DO ABREU</t>
  </si>
  <si>
    <t>458 - ASSOCIAÇAO COMUNITÁRIA NEGRA SERRA DO ABREU</t>
  </si>
  <si>
    <t>PILAR</t>
  </si>
  <si>
    <t>13116 - PILAR</t>
  </si>
  <si>
    <t>EEE MARIA ALVES DE BRITO</t>
  </si>
  <si>
    <t>087 - EEE MARIA ALVES DE BRITO</t>
  </si>
  <si>
    <t>13117 - PILÕES</t>
  </si>
  <si>
    <t>ESCOLA MUNICIPAL E.F BRAZ BARACHUY</t>
  </si>
  <si>
    <t>139 - ESCOLA MUNICIPAL E.F BRAZ BARACHUY</t>
  </si>
  <si>
    <t>E.M.E.F DES. BRAZ BARACHUY</t>
  </si>
  <si>
    <t>374 - E.M.E.F DES. BRAZ BARACHUY</t>
  </si>
  <si>
    <t>ESCOLA MUNICIPAL DES. BRAZ BARACUHY</t>
  </si>
  <si>
    <t>543 - ESCOLA MUNICIPAL DES. BRAZ BARACUHY</t>
  </si>
  <si>
    <t>PILÕEZINHOS</t>
  </si>
  <si>
    <t>13118 - PILÕEZINHOS</t>
  </si>
  <si>
    <t>ECI SILVIO PORTO</t>
  </si>
  <si>
    <t>453 - ECI SILVIO PORTO</t>
  </si>
  <si>
    <t>PITIMBU</t>
  </si>
  <si>
    <t>13120 - PITIMBU</t>
  </si>
  <si>
    <t>ECIT DURVAL GUEDES</t>
  </si>
  <si>
    <t>287 - ECIT DURVAL GUEDES</t>
  </si>
  <si>
    <t>ESCOLA ESTADUAL DE ENSINO FUNDAMENTAL E MÉDIO DURVAL GUEDES</t>
  </si>
  <si>
    <t>457 - ESCOLA ESTADUAL DE ENSINO FUNDAMENTAL E MÉDIO DURVAL GUEDES</t>
  </si>
  <si>
    <t>POCINHOS</t>
  </si>
  <si>
    <t>13121 - POCINHOS</t>
  </si>
  <si>
    <t>SECRETARIA DE AGRICULTURA</t>
  </si>
  <si>
    <t>375 - SECRETARIA DE AGRICULTURA</t>
  </si>
  <si>
    <t>COLEGIO MUNICIPAL PADRE GALVAO</t>
  </si>
  <si>
    <t>571 - COLEGIO MUNICIPAL PADRE GALVAO</t>
  </si>
  <si>
    <t>POÇO DANTAS</t>
  </si>
  <si>
    <t>13201 - POÇO DANTAS</t>
  </si>
  <si>
    <t>EMEIFM ROSA DIAS DO NASCIMENTO</t>
  </si>
  <si>
    <t>439 - EMEIFM ROSA DIAS DO NASCIMENTO</t>
  </si>
  <si>
    <t>POÇO DE JOSÉ DE MOURA</t>
  </si>
  <si>
    <t>13202 - POÇO DE JOSÉ DE MOURA</t>
  </si>
  <si>
    <t>POCO DE JOSE DE MOURA - 13202.01 - RUA ALEXANDRE AMADOR, S/N</t>
  </si>
  <si>
    <t>205 - POCO DE JOSE DE MOURA - 13202.01 - RUA ALEXANDRE AMADOR, S/N</t>
  </si>
  <si>
    <t>13122 - POMBAL</t>
  </si>
  <si>
    <t>ECIT MONSENHOR VICENTE FREITAS</t>
  </si>
  <si>
    <t>089 - ECIT MONSENHOR VICENTE FREITAS</t>
  </si>
  <si>
    <t>DISTRITO DE CACHOEIRA</t>
  </si>
  <si>
    <t>140 - DISTRITO DE CACHOEIRA</t>
  </si>
  <si>
    <t>EEEFM ARRUDA CAMARA</t>
  </si>
  <si>
    <t>256 - EEEFM ARRUDA CAMARA</t>
  </si>
  <si>
    <t>ECIT MONSENHOR VICENTE DE FREITAS</t>
  </si>
  <si>
    <t>327 - ECIT MONSENHOR VICENTE DE FREITAS</t>
  </si>
  <si>
    <t>PRATA</t>
  </si>
  <si>
    <t>13123 - PRATA</t>
  </si>
  <si>
    <t>ECI FRANCISCO DE ASSIS GONZAGA</t>
  </si>
  <si>
    <t>090 - ECI FRANCISCO DE ASSIS GONZAGA</t>
  </si>
  <si>
    <t>ECIT FRANCISCO DE ASSIS GONZAGA</t>
  </si>
  <si>
    <t>544 - ECIT FRANCISCO DE ASSIS GONZAGA</t>
  </si>
  <si>
    <t>PRINCESA ISABEL</t>
  </si>
  <si>
    <t>13124 - PRINCESA ISABEL</t>
  </si>
  <si>
    <t>ECI NOSSA SENHORA DO BOM CONSELHO</t>
  </si>
  <si>
    <t>091 - ECI NOSSA SENHORA DO BOM CONSELHO</t>
  </si>
  <si>
    <t>ESCOLA MUNICIPAL CARLOS ALBERTO MEDEIROS DUARTE</t>
  </si>
  <si>
    <t>092 - ESCOLA MUNICIPAL CARLOS ALBERTO MEDEIROS DUARTE</t>
  </si>
  <si>
    <t>PRINCESA ISABEL - 13124.01 - EMEF Carlos Alberto Medeiros Duarte Sobreira</t>
  </si>
  <si>
    <t>206 - PRINCESA ISABEL - 13124.01 - EMEF Carlos Alberto Medeiros Duarte Sobreira</t>
  </si>
  <si>
    <t>ECIT NOSSA SENHORA DO BOM CONSELHO</t>
  </si>
  <si>
    <t>324 - ECIT NOSSA SENHORA DO BOM CONSELHO</t>
  </si>
  <si>
    <t>PUXINANÃ</t>
  </si>
  <si>
    <t>13125 - PUXINANÃ</t>
  </si>
  <si>
    <t>ECIT PLÍNIO LEMOS</t>
  </si>
  <si>
    <t>270 - ECIT PLÍNIO LEMOS</t>
  </si>
  <si>
    <t>13126 - QUEIMADAS</t>
  </si>
  <si>
    <t>QUEIMADAS - 13126.01 - Av Severino Bezerra Cabral</t>
  </si>
  <si>
    <t>207 - QUEIMADAS - 13126.01 - Av Severino Bezerra Cabral</t>
  </si>
  <si>
    <t>313 - ECIT FRANCISCO ERNESTO DO REGO</t>
  </si>
  <si>
    <t>EEEFM FRANCISCO E DO REGO</t>
  </si>
  <si>
    <t>345 - EEEFM FRANCISCO E DO REGO</t>
  </si>
  <si>
    <t>ESCOLA MUNICIPAL CARLOS ERNESTO</t>
  </si>
  <si>
    <t>376 - ESCOLA MUNICIPAL CARLOS ERNESTO</t>
  </si>
  <si>
    <t>EMEF ANTONIO VITAL DO REGO</t>
  </si>
  <si>
    <t>446 - EMEF ANTONIO VITAL DO REGO</t>
  </si>
  <si>
    <t>SALAO DE COSTURA ANEXO DO CRAS</t>
  </si>
  <si>
    <t>545 - SALAO DE COSTURA ANEXO DO CRAS</t>
  </si>
  <si>
    <t>SECRETARIA DE DESENVOLVIMENTO SOCIAL QUALIFICA</t>
  </si>
  <si>
    <t>546 - SECRETARIA DE DESENVOLVIMENTO SOCIAL QUALIFICA</t>
  </si>
  <si>
    <t>QUIXABA</t>
  </si>
  <si>
    <t>13127 - QUIXABA</t>
  </si>
  <si>
    <t>EMEIFM CÍCERO SULPINO</t>
  </si>
  <si>
    <t>141 - EMEIFM CÍCERO SULPINO</t>
  </si>
  <si>
    <t>REMÍGIO</t>
  </si>
  <si>
    <t>13128 - REMÍGIO</t>
  </si>
  <si>
    <t>ECIT JOSÉ BRONZEADO SOBRINHO</t>
  </si>
  <si>
    <t>310 - ECIT JOSÉ BRONZEADO SOBRINHO</t>
  </si>
  <si>
    <t>RIACHÃO DO BACAMARTE</t>
  </si>
  <si>
    <t>13205 - RIACHÃO DO BACAMARTE</t>
  </si>
  <si>
    <t>EEE ADAUTO CABRAL</t>
  </si>
  <si>
    <t>093 - EEE ADAUTO CABRAL</t>
  </si>
  <si>
    <t>RIACHO DE SANTO ANTÔNIO</t>
  </si>
  <si>
    <t>13207 - RIACHO DE SANTO ANTÔNIO</t>
  </si>
  <si>
    <t>RIACHO DE SANTO ANTONIO - 13207.01 - Rua são João s/nº</t>
  </si>
  <si>
    <t>208 - RIACHO DE SANTO ANTONIO - 13207.01 - Rua são João s/nº</t>
  </si>
  <si>
    <t>RIACHO DOS CAVALOS</t>
  </si>
  <si>
    <t>13129 - RIACHO DOS CAVALOS</t>
  </si>
  <si>
    <t>481 - CENTRO DE REFERENCIA DE ASSISTENCIA SOCIAL</t>
  </si>
  <si>
    <t>RIO TINTO</t>
  </si>
  <si>
    <t>13130 - RIO TINTO</t>
  </si>
  <si>
    <t>EEEFM LUIZ GONZAGA BURITY</t>
  </si>
  <si>
    <t>094 - EEEFM LUIZ GONZAGA BURITY</t>
  </si>
  <si>
    <t>ECIT LUIZ GONZAGA BURITY</t>
  </si>
  <si>
    <t>332 - ECIT LUIZ GONZAGA BURITY</t>
  </si>
  <si>
    <t>EMEFM ANTONIA LUNA LISBOA</t>
  </si>
  <si>
    <t>443 - EMEFM ANTONIA LUNA LISBOA</t>
  </si>
  <si>
    <t>CENTRO DE CONVIVENCIA DO IDOSO</t>
  </si>
  <si>
    <t>547 - CENTRO DE CONVIVENCIA DO IDOSO</t>
  </si>
  <si>
    <t>ESCOLA CIDADA INTEGRAL TECNICA ESTADUAL PROFESSOR LUIZ GONZAGA BURITY</t>
  </si>
  <si>
    <t>548 - ESCOLA CIDADA INTEGRAL TECNICA ESTADUAL PROFESSOR LUIZ GONZAGA BURITY</t>
  </si>
  <si>
    <t>SALGADINHO</t>
  </si>
  <si>
    <t>13131 - SALGADINHO</t>
  </si>
  <si>
    <t>SALGADINHO - 13131.01 - RUA JOSÉ MACIEL DE SOUZA, S/N</t>
  </si>
  <si>
    <t>209 - SALGADINHO - 13131.01 - RUA JOSÉ MACIEL DE SOUZA, S/N</t>
  </si>
  <si>
    <t>SALGADO DE SÃO FELIX</t>
  </si>
  <si>
    <t>13132 - SALGADO DE SÃO FELIX</t>
  </si>
  <si>
    <t>E.M.E.I.E.F. FRANCISCA MARCELINA SALES</t>
  </si>
  <si>
    <t>095 - E.M.E.I.E.F. FRANCISCA MARCELINA SALES</t>
  </si>
  <si>
    <t>SALGADO DE SAO FELIX - 13132.01 - Sítio Rodeador, Zona Rural s/n</t>
  </si>
  <si>
    <t>210 - SALGADO DE SAO FELIX - 13132.01 - Sítio Rodeador, Zona Rural s/n</t>
  </si>
  <si>
    <t>SANTA CRUZ</t>
  </si>
  <si>
    <t>13133 - SANTA CRUZ</t>
  </si>
  <si>
    <t>SANTA CRUZ - 13133.01 - Conjunto Maurício Gomes, s/n</t>
  </si>
  <si>
    <t>211 - SANTA CRUZ - 13133.01 - Conjunto Maurício Gomes, s/n</t>
  </si>
  <si>
    <t>549 - CENTRO DE REFERENCIA DE ASSISTENCIA SOCIAL</t>
  </si>
  <si>
    <t>SANTA HELENA</t>
  </si>
  <si>
    <t>13134 - SANTA HELENA</t>
  </si>
  <si>
    <t>SÍTIO MALHADA BONITA</t>
  </si>
  <si>
    <t>142 - SÍTIO MALHADA BONITA</t>
  </si>
  <si>
    <t>SANTA HELENA - 13134.01 - AVENIDA VALENTIM GONCALVES DA SILVA, S/N, Distrito de Varzea da Ema</t>
  </si>
  <si>
    <t>212 - SANTA HELENA - 13134.01 - AVENIDA VALENTIM GONCALVES DA SILVA, S/N, Distrito de Varzea da Ema</t>
  </si>
  <si>
    <t>SANTA HELENA - 13134.02 - Rua Joana Ferreira de Sousa, S/N, Centro, Santa Helena</t>
  </si>
  <si>
    <t>213 - SANTA HELENA - 13134.02 - Rua Joana Ferreira de Sousa, S/N, Centro, Santa Helena</t>
  </si>
  <si>
    <t>EMEFNNM PADRE JOSE DE ANCHIETA</t>
  </si>
  <si>
    <t>550 - EMEFNNM PADRE JOSE DE ANCHIETA</t>
  </si>
  <si>
    <t>SANTA LUZIA</t>
  </si>
  <si>
    <t>13135 - SANTA LUZIA</t>
  </si>
  <si>
    <t>ECIT PE. JERONIMO LAUWEN</t>
  </si>
  <si>
    <t>096 - ECIT PE. JERONIMO LAUWEN</t>
  </si>
  <si>
    <t>ESCOLA MUNICIPAL TRINDADE VERNA</t>
  </si>
  <si>
    <t>097 - ESCOLA MUNICIPAL TRINDADE VERNA</t>
  </si>
  <si>
    <t>ASSOCIAÇÃO COMUNITÁRIA DOS PRODUTORES RURAIS DE SACO DOS GOITIS (ASCPROSG).</t>
  </si>
  <si>
    <t>143 - ASSOCIAÇÃO COMUNITÁRIA DOS PRODUTORES RURAIS DE SACO DOS GOITIS (ASCPROSG).</t>
  </si>
  <si>
    <t>SANTA LUZIA - 13135.01 - Rua Quiezinho Fernandes S/N - Bairro Nossa Senhora de Fátima</t>
  </si>
  <si>
    <t>214 - SANTA LUZIA - 13135.01 - Rua Quiezinho Fernandes S/N - Bairro Nossa Senhora de Fátima</t>
  </si>
  <si>
    <t>ECIT PADRE JERÔNIMO LAUWEN</t>
  </si>
  <si>
    <t>280 - ECIT PADRE JERÔNIMO LAUWEN</t>
  </si>
  <si>
    <t>ESCOLA ANA BRITO DE FIGUEIREDO</t>
  </si>
  <si>
    <t>377 - ESCOLA ANA BRITO DE FIGUEIREDO</t>
  </si>
  <si>
    <t>ASSOCIAÇÃO COMUNITÁRIA DOS PRODUTORES RURAIS DE SACO DOS GOITIS</t>
  </si>
  <si>
    <t>378 - ASSOCIAÇÃO COMUNITÁRIA DOS PRODUTORES RURAIS DE SACO DOS GOITIS</t>
  </si>
  <si>
    <t>ESCOLA MUNICIPAL PEDRO ANISIO</t>
  </si>
  <si>
    <t>551 - ESCOLA MUNICIPAL PEDRO ANISIO</t>
  </si>
  <si>
    <t>SANTA RITA</t>
  </si>
  <si>
    <t>13138 - SANTA RITA</t>
  </si>
  <si>
    <t>ECIT ENEAS DE CARVALHO</t>
  </si>
  <si>
    <t>098 - ECIT ENEAS DE CARVALHO</t>
  </si>
  <si>
    <t>ECIT PROF. LUIS DE AZEVEDO SOARES</t>
  </si>
  <si>
    <t>262 - ECIT PROF. LUIS DE AZEVEDO SOARES</t>
  </si>
  <si>
    <t>PENITENCIARIA PADRAO DE SANTA RITA</t>
  </si>
  <si>
    <t>410 - PENITENCIARIA PADRAO DE SANTA RITA</t>
  </si>
  <si>
    <t>ESCOLA TECNICA DE SANTA RITA</t>
  </si>
  <si>
    <t>552 - ESCOLA TECNICA DE SANTA RITA</t>
  </si>
  <si>
    <t>SANTANA DE MANGAUEIRA</t>
  </si>
  <si>
    <t>13136 - SANTANA DE MANGAUEIRA</t>
  </si>
  <si>
    <t>EEEFM PRESIDENTE KENNEDY</t>
  </si>
  <si>
    <t>346 - EEEFM PRESIDENTE KENNEDY</t>
  </si>
  <si>
    <t>SANTANA DOS GARROTES</t>
  </si>
  <si>
    <t>13137 - SANTANA DOS GARROTES</t>
  </si>
  <si>
    <t>EEEFM DR. FELIZARDO LEITE</t>
  </si>
  <si>
    <t>099 - EEEFM DR. FELIZARDO LEITE</t>
  </si>
  <si>
    <t>SANTANA DOS GARROTES - 13137.01 - Rua Manoel Batista</t>
  </si>
  <si>
    <t>215 - SANTANA DOS GARROTES - 13137.01 - Rua Manoel Batista</t>
  </si>
  <si>
    <t>SECRETARIA MUNICIPAL DE ASSISTENCIA SOCIAL</t>
  </si>
  <si>
    <t>572 - SECRETARIA MUNICIPAL DE ASSISTENCIA SOCIAL</t>
  </si>
  <si>
    <t>SAO BENTINHO</t>
  </si>
  <si>
    <t>13212 - SÃO BENTINHO</t>
  </si>
  <si>
    <t>SAO BENTINHO - 13212.01 - Rua Projetada, s/n Bairro</t>
  </si>
  <si>
    <t>216 - SAO BENTINHO - 13212.01 - Rua Projetada, s/n Bairro</t>
  </si>
  <si>
    <t>CENTRO DE CONVIVENCIA E FORTALECIMENTO DE VINCULOS</t>
  </si>
  <si>
    <t>553 - CENTRO DE CONVIVENCIA E FORTALECIMENTO DE VINCULOS</t>
  </si>
  <si>
    <t>CENTRO DE REFERENCIA DE ASSISTENCIA SOCIAL CRAS</t>
  </si>
  <si>
    <t>569 - CENTRO DE REFERENCIA DE ASSISTENCIA SOCIAL CRAS</t>
  </si>
  <si>
    <t>SÃO BENTO</t>
  </si>
  <si>
    <t>13140 - SÃO BENTO</t>
  </si>
  <si>
    <t>ECIT SÃO BENTO</t>
  </si>
  <si>
    <t>100 - ECIT SÃO BENTO</t>
  </si>
  <si>
    <t>SAO BENTO - 13140.01 - Rua Bernardino Soares, Número: 752, centro de São Bento.</t>
  </si>
  <si>
    <t>217 - SAO BENTO - 13140.01 - Rua Bernardino Soares, Número: 752, centro de São Bento.</t>
  </si>
  <si>
    <t>EEEFM JOAO SILVEIRA GUIMARAES</t>
  </si>
  <si>
    <t>400 - EEEFM JOAO SILVEIRA GUIMARAES</t>
  </si>
  <si>
    <t>SÃO DOMINGOS</t>
  </si>
  <si>
    <t>13214 - SÃO DOMINGOS</t>
  </si>
  <si>
    <t>ECIT CÍCERO SEVERO LOPES</t>
  </si>
  <si>
    <t>269 - ECIT CÍCERO SEVERO LOPES</t>
  </si>
  <si>
    <t>SÃO DOMINGOS DO CARIRI</t>
  </si>
  <si>
    <t>13213 - SÃO DOMINGOS DO CARIRI</t>
  </si>
  <si>
    <t>SAO DOMINGOS DO CARIRI - 13213.01 - Venida Augusto Fernandes de Oliveira, S/N, Centro.</t>
  </si>
  <si>
    <t>218 - SAO DOMINGOS DO CARIRI - 13213.01 - Venida Augusto Fernandes de Oliveira, S/N, Centro.</t>
  </si>
  <si>
    <t>SÃO FRANCISCO</t>
  </si>
  <si>
    <t>13215 - SÃO FRANCISCO</t>
  </si>
  <si>
    <t>SAO FRANCISCO - 13215.01 - E.M.E.F. FRANCISCO SALES GADELHA DE OLIVEIRA</t>
  </si>
  <si>
    <t>219 - SAO FRANCISCO - 13215.01 - E.M.E.F. FRANCISCO SALES GADELHA DE OLIVEIRA</t>
  </si>
  <si>
    <t>SAO JOAO DO CARIRI</t>
  </si>
  <si>
    <t>13141 - SÃO JOÃO DO CARIRI</t>
  </si>
  <si>
    <t>EEEFM JORNALISTA JOSÉ LEAL RAMOS</t>
  </si>
  <si>
    <t>101 - EEEFM JORNALISTA JOSÉ LEAL RAMOS</t>
  </si>
  <si>
    <t>SAO JOAO DO CARIRI - 13141.01 - RUA 15 DE NOVEMBRO. CENTRO</t>
  </si>
  <si>
    <t>220 - SAO JOAO DO CARIRI - 13141.01 - RUA 15 DE NOVEMBRO. CENTRO</t>
  </si>
  <si>
    <t>ESCOLA MUNICIPAL DE ENSINO FUNDAMENTAL NOSSA SENHORA DOS MILAGRES</t>
  </si>
  <si>
    <t>383 - ESCOLA MUNICIPAL DE ENSINO FUNDAMENTAL NOSSA SENHORA DOS MILAGRES</t>
  </si>
  <si>
    <t>ECIT JORNALISTA JOSE LEAL RAMOS</t>
  </si>
  <si>
    <t>554 - ECIT JORNALISTA JOSE LEAL RAMOS</t>
  </si>
  <si>
    <t>ESCOLA NOSSA SENHORA DOS MILAGRES</t>
  </si>
  <si>
    <t>555 - ESCOLA NOSSA SENHORA DOS MILAGRES</t>
  </si>
  <si>
    <t>SÃO JOÃO DO RIO DO PEIXE</t>
  </si>
  <si>
    <t>13007 - SÃO JOÃO DO RIO DO PEIXE</t>
  </si>
  <si>
    <t>EMF BREJO DAS FREIRAS</t>
  </si>
  <si>
    <t>102 - EMF BREJO DAS FREIRAS</t>
  </si>
  <si>
    <t>EEEIF FREI ANTONIO JOSÉ</t>
  </si>
  <si>
    <t>144 - EEEIF FREI ANTONIO JOSÉ</t>
  </si>
  <si>
    <t>EEEIF AMÉLIA SOARES DE MORAIS</t>
  </si>
  <si>
    <t>145 - EEEIF AMÉLIA SOARES DE MORAIS</t>
  </si>
  <si>
    <t>ECIT CORONEL JACOB GUILHERME FRANTZ</t>
  </si>
  <si>
    <t>286 - ECIT CORONEL JACOB GUILHERME FRANTZ</t>
  </si>
  <si>
    <t>SÃO JOSÉ DA LAGOA TAPADA</t>
  </si>
  <si>
    <t>13143 - SÃO JOSÉ DA LAGOA TAPADA</t>
  </si>
  <si>
    <t>SAO JOSE DA LAGOA TAPADA - 13143.01 - Escola Maria Marques Formiga</t>
  </si>
  <si>
    <t>221 - SAO JOSE DA LAGOA TAPADA - 13143.01 - Escola Maria Marques Formiga</t>
  </si>
  <si>
    <t>SAO JOSE DE CAIANA</t>
  </si>
  <si>
    <t>13144 - SÃO JOSÉ DE CAIANA</t>
  </si>
  <si>
    <t>CRECHE MUNICIPAL</t>
  </si>
  <si>
    <t>482 - CRECHE MUNICIPAL</t>
  </si>
  <si>
    <t>483 - CRECHE MUNICIPAL</t>
  </si>
  <si>
    <t>SAO JOSE DE PIRANHAS</t>
  </si>
  <si>
    <t>13146 - SÃO JOSÉ DE PIRANHAS</t>
  </si>
  <si>
    <t>ECIT PREFEITO JOAQUIM LACERDA LEITE</t>
  </si>
  <si>
    <t>321 - ECIT PREFEITO JOAQUIM LACERDA LEITE</t>
  </si>
  <si>
    <t>ESCOLA CIDADA INTEGRAL TECNICA PREFEITO JOAQUIM LACERDA LEITE</t>
  </si>
  <si>
    <t>556 - ESCOLA CIDADA INTEGRAL TECNICA PREFEITO JOAQUIM LACERDA LEITE</t>
  </si>
  <si>
    <t>SÃO JOSÉ DO BREJO DO CRUZ</t>
  </si>
  <si>
    <t>13218 - SÃO JOSÉ DO BREJO DO CRUZ</t>
  </si>
  <si>
    <t>SAO JOSE DO BREJO DO CRUZ - 13218.01 - av Fundador Saraiva Leão, 174 Centro São Jose do Brejo do Cruz</t>
  </si>
  <si>
    <t>222 - SAO JOSE DO BREJO DO CRUZ - 13218.01 - av Fundador Saraiva Leão, 174 Centro São Jose do Brejo do Cruz</t>
  </si>
  <si>
    <t>SÃO JOSÉ DOS CORDEIROS</t>
  </si>
  <si>
    <t>13149 - SÃO JOSÉ DOS CORDEIROS</t>
  </si>
  <si>
    <t>EEEFM BARTOLOMEU MARACAJÁ</t>
  </si>
  <si>
    <t>103 - EEEFM BARTOLOMEU MARACAJÁ</t>
  </si>
  <si>
    <t>SAO JOSE DOS CORDEIROS - 13149.01 - r Antero Torreão, s\n Centro São José dos Cordeiros</t>
  </si>
  <si>
    <t>223 - SAO JOSE DOS CORDEIROS - 13149.01 - r Antero Torreão, s\n Centro São José dos Cordeiros</t>
  </si>
  <si>
    <t>SÃO JOSÉ DOS RAMOS</t>
  </si>
  <si>
    <t>13216 - SÃO JOSÉ DOS RAMOS</t>
  </si>
  <si>
    <t>ESCOLA E.F MARIA CAXIAS DE LIMA</t>
  </si>
  <si>
    <t>146 - ESCOLA E.F MARIA CAXIAS DE LIMA</t>
  </si>
  <si>
    <t>SAO JOSE DOS RAMOS - 13216.01 - Escola Jocelyn Veloso Borges Av pio gonçalves chaves, sn, centro, são josé dos ramos - PB.</t>
  </si>
  <si>
    <t>224 - SAO JOSE DOS RAMOS - 13216.01 - Escola Jocelyn Veloso Borges Av pio gonçalves chaves, sn, centro, são josé dos ramos - PB.</t>
  </si>
  <si>
    <t>SAO MAMEDE</t>
  </si>
  <si>
    <t>13150 - SÃO MAMEDE</t>
  </si>
  <si>
    <t>ESCOLA ESTADUAL SERÁFICO NÓBREGA</t>
  </si>
  <si>
    <t>104 - ESCOLA ESTADUAL SERÁFICO NÓBREGA</t>
  </si>
  <si>
    <t>SAO MAMEDE - 13150.01 - Rua João Elizeu de Medeiros S/N.</t>
  </si>
  <si>
    <t>225 - SAO MAMEDE - 13150.01 - Rua João Elizeu de Medeiros S/N.</t>
  </si>
  <si>
    <t>SECRETARIA DA EDUCACAO</t>
  </si>
  <si>
    <t>557 - SECRETARIA DA EDUCACAO</t>
  </si>
  <si>
    <t>SÃO MIGUEL DE TAIPU</t>
  </si>
  <si>
    <t>13151 - SÃO MIGUEL DE TAIPU</t>
  </si>
  <si>
    <t>EEE MARIA LINS</t>
  </si>
  <si>
    <t>105 - EEE MARIA LINS</t>
  </si>
  <si>
    <t>SÃO SEBASTIÃO DA LOGOA DE ROÇA</t>
  </si>
  <si>
    <t>13152 - SÃO SEBASTIÃO DA LOGOA DE ROÇA</t>
  </si>
  <si>
    <t>EMEIEF MONSENHOR JOSÉ BORGES DE CARVALHO</t>
  </si>
  <si>
    <t>106 - EMEIEF MONSENHOR JOSÉ BORGES DE CARVALHO</t>
  </si>
  <si>
    <t>SAO SEBASTIAO DE LAGOA DE ROCA - 13152.01 - r José Rodrigues coura, s\n São Sebastião de Lagoa de Roça</t>
  </si>
  <si>
    <t>226 - SAO SEBASTIAO DE LAGOA DE ROCA - 13152.01 - r José Rodrigues coura, s\n São Sebastião de Lagoa de Roça</t>
  </si>
  <si>
    <t>SAO SEBASTIAO DO UMBUZEIRO</t>
  </si>
  <si>
    <t>13153 - SÃO SEBASTIÃO DO UMBUZEIRO</t>
  </si>
  <si>
    <t>ESCOLA PEDRO PEDROSA AMADOR</t>
  </si>
  <si>
    <t>484 - ESCOLA PEDRO PEDROSA AMADOR</t>
  </si>
  <si>
    <t>SAO VICENTE DO SERIDO</t>
  </si>
  <si>
    <t>13155 - SÃO VICENTE DO SERIDÓ</t>
  </si>
  <si>
    <t>576 - SINDICATO DOS TRABALHADORES RURAIS</t>
  </si>
  <si>
    <t>SAPÉ</t>
  </si>
  <si>
    <t>13154 - SAPÉ</t>
  </si>
  <si>
    <t>ECIT EMOAP</t>
  </si>
  <si>
    <t>107 - ECIT EMOAP</t>
  </si>
  <si>
    <t>MEMORIAL LIGA CAMPONESA</t>
  </si>
  <si>
    <t>147 - MEMORIAL LIGA CAMPONESA</t>
  </si>
  <si>
    <t>SEDE ASSENTAMENTO SANTA HELENA</t>
  </si>
  <si>
    <t>148 - SEDE ASSENTAMENTO SANTA HELENA</t>
  </si>
  <si>
    <t>ECIT MONSENHOR ODILON ALVES PEDROSA</t>
  </si>
  <si>
    <t>285 - ECIT MONSENHOR ODILON ALVES PEDROSA</t>
  </si>
  <si>
    <t>SERRA BRANCA</t>
  </si>
  <si>
    <t>13156 - SERRA BRANCA</t>
  </si>
  <si>
    <t>ECIT SERRA BRANCA</t>
  </si>
  <si>
    <t>108 - ECIT SERRA BRANCA</t>
  </si>
  <si>
    <t>SERRA BRANCA - 13156.01 - r Raul da Costa Leão, s\n Centro</t>
  </si>
  <si>
    <t>227 - SERRA BRANCA - 13156.01 - r Raul da Costa Leão, s\n Centro</t>
  </si>
  <si>
    <t>ESCOLA MUNICIPAL DE ENSINO FUNDAMENTAL CONEGO JOÃO MARQUES PEREIRA</t>
  </si>
  <si>
    <t>379 - ESCOLA MUNICIPAL DE ENSINO FUNDAMENTAL CONEGO JOÃO MARQUES PEREIRA</t>
  </si>
  <si>
    <t>EMEIEF CONEGO JOAO MARQUES PEREIRA</t>
  </si>
  <si>
    <t>444 - EMEIEF CONEGO JOAO MARQUES PEREIRA</t>
  </si>
  <si>
    <t>E.M.E.I.E.F. CONEGO JOAO MARQUES PEREIRA</t>
  </si>
  <si>
    <t>558 - E.M.E.I.E.F. CONEGO JOAO MARQUES PEREIRA</t>
  </si>
  <si>
    <t>SERRA REDONDA</t>
  </si>
  <si>
    <t>13159 - SERRA REDONDA</t>
  </si>
  <si>
    <t>GE SENADOR RUY CARNEIRO</t>
  </si>
  <si>
    <t>450 - GE SENADOR RUY CARNEIRO</t>
  </si>
  <si>
    <t>SERRARIA</t>
  </si>
  <si>
    <t>13160 - SERRARIA</t>
  </si>
  <si>
    <t>SERRARIA - 13160.01 - av Duarte lima, 188 centro Serraria</t>
  </si>
  <si>
    <t>228 - SERRARIA - 13160.01 - av Duarte lima, 188 centro Serraria</t>
  </si>
  <si>
    <t>SERRARIA - 13160.02 - Sitio cuite do araçá</t>
  </si>
  <si>
    <t>229 - SERRARIA - 13160.02 - Sitio cuite do araçá</t>
  </si>
  <si>
    <t>SERTÃOZINHO</t>
  </si>
  <si>
    <t>13219 - SERTÃOZINHO</t>
  </si>
  <si>
    <t>EEEFM JOAO DE FREITAS MOUZINHO</t>
  </si>
  <si>
    <t>347 - EEEFM JOAO DE FREITAS MOUZINHO</t>
  </si>
  <si>
    <t>SOBRADO</t>
  </si>
  <si>
    <t>13220 - SOBRADO</t>
  </si>
  <si>
    <t>SOBRADO - 13220.01 - Escola Municipal Joaquim Braz Pereira, centro</t>
  </si>
  <si>
    <t>230 - SOBRADO - 13220.01 - Escola Municipal Joaquim Braz Pereira, centro</t>
  </si>
  <si>
    <t>SOBRADO - 13220.02 - Sitio Caruçu na BR 230</t>
  </si>
  <si>
    <t>231 - SOBRADO - 13220.02 - Sitio Caruçu na BR 230</t>
  </si>
  <si>
    <t>SOLANEA</t>
  </si>
  <si>
    <t>13161 - SOLÂNEA</t>
  </si>
  <si>
    <t>ECIT ALFREDO PESSOA DE LIMA</t>
  </si>
  <si>
    <t>267 - ECIT ALFREDO PESSOA DE LIMA</t>
  </si>
  <si>
    <t>E.M.E.F ERNESTINA PINTO</t>
  </si>
  <si>
    <t>380 - E.M.E.F ERNESTINA PINTO</t>
  </si>
  <si>
    <t>ESCOLA MUNICIPAL DE ENSINO FUNDAMENTAL ERNESTINA PINTO</t>
  </si>
  <si>
    <t>559 - ESCOLA MUNICIPAL DE ENSINO FUNDAMENTAL ERNESTINA PINTO</t>
  </si>
  <si>
    <t>SOLEDADE</t>
  </si>
  <si>
    <t>13162 - SOLEDADE</t>
  </si>
  <si>
    <t>ECIT DR. TRAJANO NÓBREGA</t>
  </si>
  <si>
    <t>266 - ECIT DR. TRAJANO NÓBREGA</t>
  </si>
  <si>
    <t>SOSSÊGO</t>
  </si>
  <si>
    <t>13221 - SOSSÊGO</t>
  </si>
  <si>
    <t>EEEFM JOSÉ VITORINO DE MEDEIROS</t>
  </si>
  <si>
    <t>109 - EEEFM JOSÉ VITORINO DE MEDEIROS</t>
  </si>
  <si>
    <t>SOUSA</t>
  </si>
  <si>
    <t>13163 - SOUSA</t>
  </si>
  <si>
    <t>ECIT SOUSA</t>
  </si>
  <si>
    <t>005 - ECIT SOUSA</t>
  </si>
  <si>
    <t>110 - ECIT SOUSA</t>
  </si>
  <si>
    <t>COLÔNIA DE PESCADORES - SÃO GONÇALO</t>
  </si>
  <si>
    <t>111 - COLÔNIA DE PESCADORES - SÃO GONÇALO</t>
  </si>
  <si>
    <t>ENE JOSE DE PAIVA GADELHA</t>
  </si>
  <si>
    <t>254 - ENE JOSE DE PAIVA GADELHA</t>
  </si>
  <si>
    <t>ECIT CHIQUINHO CARTAXO</t>
  </si>
  <si>
    <t>323 - ECIT CHIQUINHO CARTAXO</t>
  </si>
  <si>
    <t>EMEF CICERO INACIO DE OLIVEIRA</t>
  </si>
  <si>
    <t>440 - EMEF CICERO INACIO DE OLIVEIRA</t>
  </si>
  <si>
    <t>SUME</t>
  </si>
  <si>
    <t>13164 - SUMÉ</t>
  </si>
  <si>
    <t>EMEIF GONÇALA RODRIGUES DE FREITAS</t>
  </si>
  <si>
    <t>008 - EMEIF GONÇALA RODRIGUES DE FREITAS</t>
  </si>
  <si>
    <t>ECIT JOSÉ GONÇALVES DE QUEIROZ</t>
  </si>
  <si>
    <t>112 - ECIT JOSÉ GONÇALVES DE QUEIROZ</t>
  </si>
  <si>
    <t>SUME - 13164.01 - r vicente preto, 289 alto alegre, sume</t>
  </si>
  <si>
    <t>232 - SUME - 13164.01 - r vicente preto, 289 alto alegre, sume</t>
  </si>
  <si>
    <t>UNIDADE ESCOLAR MARIA LEITE RAFAEL</t>
  </si>
  <si>
    <t>560 - UNIDADE ESCOLAR MARIA LEITE RAFAEL</t>
  </si>
  <si>
    <t>TACIMA</t>
  </si>
  <si>
    <t>2516409 - TACIMA</t>
  </si>
  <si>
    <t>EEEFM DR TERCILIO TEIXEIRA DA CRUZ</t>
  </si>
  <si>
    <t>348 - EEEFM DR TERCILIO TEIXEIRA DA CRUZ</t>
  </si>
  <si>
    <t>EMEF TERLOPEDES CRUZ</t>
  </si>
  <si>
    <t>561 - EMEF TERLOPEDES CRUZ</t>
  </si>
  <si>
    <t>TAPEROÁ</t>
  </si>
  <si>
    <t>13166 - TAPEROÁ</t>
  </si>
  <si>
    <t>ECIT MELQUIADES VILAR</t>
  </si>
  <si>
    <t>113 - ECIT MELQUIADES VILAR</t>
  </si>
  <si>
    <t>TAPEROA - 13166.01 - r Cel Pedro de Farias s/n Centro</t>
  </si>
  <si>
    <t>233 - TAPEROA - 13166.01 - r Cel Pedro de Farias s/n Centro</t>
  </si>
  <si>
    <t>TAPEROA - 13166.02 - Rua Efigênio Firmo de Queiroz, SN, São José, Taperoá-PB</t>
  </si>
  <si>
    <t>234 - TAPEROA - 13166.02 - Rua Efigênio Firmo de Queiroz, SN, São José, Taperoá-PB</t>
  </si>
  <si>
    <t>TAVARES</t>
  </si>
  <si>
    <t>13167 - TAVARES</t>
  </si>
  <si>
    <t>EEEFM ADRIANO FEITOSA</t>
  </si>
  <si>
    <t>114 - EEEFM ADRIANO FEITOSA</t>
  </si>
  <si>
    <t>TEIXEIRA</t>
  </si>
  <si>
    <t>13168 - TEIXEIRA</t>
  </si>
  <si>
    <t>EEEFM SEBASTIÃO GUEDES DA SILVA</t>
  </si>
  <si>
    <t>115 - EEEFM SEBASTIÃO GUEDES DA SILVA</t>
  </si>
  <si>
    <t>ECIT SEBASTIÃO GUEDES DA SILVA</t>
  </si>
  <si>
    <t>319 - ECIT SEBASTIÃO GUEDES DA SILVA</t>
  </si>
  <si>
    <t>TENÓRIO</t>
  </si>
  <si>
    <t>13222 - TENÓRIO</t>
  </si>
  <si>
    <t>TENORIO - 13222.01 - Rua. Maria Constantina de Morais, 144. Centro. Tenório PB</t>
  </si>
  <si>
    <t>235 - TENORIO - 13222.01 - Rua. Maria Constantina de Morais, 144. Centro. Tenório PB</t>
  </si>
  <si>
    <t>13170 - UIRAÚNA</t>
  </si>
  <si>
    <t>ECIT DR. JOSÉ DUARTE FILHO</t>
  </si>
  <si>
    <t>320 - ECIT DR. JOSÉ DUARTE FILHO</t>
  </si>
  <si>
    <t>ECIT DOUTOR JOSE DUARTE FILHO</t>
  </si>
  <si>
    <t>456 - ECIT DOUTOR JOSE DUARTE FILHO</t>
  </si>
  <si>
    <t>562 - ECIT DR. JOSE DUARTE FILHO</t>
  </si>
  <si>
    <t>UMBUZEIRO</t>
  </si>
  <si>
    <t>13171 - UMBUZEIRO</t>
  </si>
  <si>
    <t>UMBUZEIRO - 13171.01 - Escola Coronel Antonio Pessoa, Praça Cel Antonio Pessoa</t>
  </si>
  <si>
    <t>236 - UMBUZEIRO - 13171.01 - Escola Coronel Antonio Pessoa, Praça Cel Antonio Pessoa</t>
  </si>
  <si>
    <t>ECIT PRESIDENTE JOÃO PESSOA</t>
  </si>
  <si>
    <t>274 - ECIT PRESIDENTE JOÃO PESSOA</t>
  </si>
  <si>
    <t>CENTRO DE INCLUSAO</t>
  </si>
  <si>
    <t>563 - CENTRO DE INCLUSAO</t>
  </si>
  <si>
    <t>ESCOLA CORONEL ANTONIO PESSOA</t>
  </si>
  <si>
    <t>564 - ESCOLA CORONEL ANTONIO PESSOA</t>
  </si>
  <si>
    <t>VÁRZEA</t>
  </si>
  <si>
    <t>13172 - VÁRZEA</t>
  </si>
  <si>
    <t>VARZEA - 13172.01 - r Manoel Dantas de Medeiros, 190 Centro Várzea</t>
  </si>
  <si>
    <t>237 - VARZEA - 13172.01 - r Manoel Dantas de Medeiros, 190 Centro Várzea</t>
  </si>
  <si>
    <t>VISTA SERRANA</t>
  </si>
  <si>
    <t>13056 - VISTA SERRANA</t>
  </si>
  <si>
    <t>VISTA SERRANA - 13056.01 - Sitio Mendes, Zona Rural</t>
  </si>
  <si>
    <t>238 - VISTA SERRANA - 13056.01 - Sitio Mendes, Zona Rural</t>
  </si>
  <si>
    <t>ESCOLA MUNICIPAL DO ENSINO FUNDAMENTAL JOSE GIL XAVIER DE FARIAS</t>
  </si>
  <si>
    <t>565 - ESCOLA MUNICIPAL DO ENSINO FUNDAMENTAL JOSE GIL XAVIER DE FARIAS</t>
  </si>
  <si>
    <t>ZABELE</t>
  </si>
  <si>
    <t>13224 - ZABELÊ</t>
  </si>
  <si>
    <t>EMEIF MARIA BEZERRA DA SILVA</t>
  </si>
  <si>
    <t>447 - EMEIF MARIA BEZERRA DA SILVA</t>
  </si>
  <si>
    <t>CENTRO DE CONVIVENCIA</t>
  </si>
  <si>
    <t>570 - CENTRO DE CONVIVENCIA</t>
  </si>
  <si>
    <t>EMEIF CICERO INACIO DE OLIVEIRA</t>
  </si>
  <si>
    <t>582 - EMEIF CICERO INACIO DE OLIVEIRA</t>
  </si>
  <si>
    <t>CÓDIGO DA TURMA</t>
  </si>
  <si>
    <t>TÍTULO DA TURMA</t>
  </si>
  <si>
    <t>LINK DO DIÁRIO</t>
  </si>
  <si>
    <t>NÚMERO DO CPF:</t>
  </si>
  <si>
    <t>Carimbo de data/hora</t>
  </si>
  <si>
    <t>Endereço de e-mail</t>
  </si>
  <si>
    <t>NOME COMPLETO:</t>
  </si>
  <si>
    <t xml:space="preserve">IDENTIFICAÇÃO DO ENVIO DO TERMO DESISTÊNCIA   </t>
  </si>
  <si>
    <t>NÚMERO DO EDITAL:</t>
  </si>
  <si>
    <t>ANO DO EDITAL:</t>
  </si>
  <si>
    <t>QUAL A SUA FUNÇÃO:</t>
  </si>
  <si>
    <t>INSERIR O TERMO DE DESISTÊNCIA PREENCHIDO CORRETAMENTE E ASSINADO</t>
  </si>
  <si>
    <t>TERMO VALIDADO</t>
  </si>
  <si>
    <t>DESISTIU</t>
  </si>
  <si>
    <t>EDITAL / ANO</t>
  </si>
  <si>
    <t>OBS:</t>
  </si>
  <si>
    <t>045.487.504-52</t>
  </si>
  <si>
    <t>emanuella09@gmail.com</t>
  </si>
  <si>
    <t>EMANOELA MOURA TOSCANO</t>
  </si>
  <si>
    <t>Faço Parte da Equipe Técnica Local ou  da Equipe da SEDE</t>
  </si>
  <si>
    <t>032</t>
  </si>
  <si>
    <t>https://drive.google.com/open?id=1A92JZDy4Ai9RQoGPCH-ToERJ-mK6xIXj</t>
  </si>
  <si>
    <t>032/2021</t>
  </si>
  <si>
    <t>025.690.564-99</t>
  </si>
  <si>
    <t>alcione.oliveira025690.pbtec@escola.pb.gov.br</t>
  </si>
  <si>
    <t>ALCIONE ALVES DE OLIVEIRA</t>
  </si>
  <si>
    <t>Sou o Bolsista Desistente</t>
  </si>
  <si>
    <t>036</t>
  </si>
  <si>
    <t>https://drive.google.com/open?id=13Apxdevd8ndbWztirslgjgBRLCfMonNa</t>
  </si>
  <si>
    <t>036/2019</t>
  </si>
  <si>
    <t>066.130.064-16</t>
  </si>
  <si>
    <t>eliel.silva.066.mediotec21@escola.pb.gov.br</t>
  </si>
  <si>
    <t>ELIEL MEDEIROS SILVA</t>
  </si>
  <si>
    <t>https://drive.google.com/open?id=1L5gS0t7PcZyOX2MR68NBl-t8uPTuskZp</t>
  </si>
  <si>
    <t>055.326.014-61</t>
  </si>
  <si>
    <t>thelmaflavianasantos@gmail.com</t>
  </si>
  <si>
    <t>Thelma Flaviana Rodrigues dos Santos</t>
  </si>
  <si>
    <t>040</t>
  </si>
  <si>
    <t>https://drive.google.com/open?id=1Dnoqb-YvEiR4aJkTiosupkv6JpOcswMz</t>
  </si>
  <si>
    <t>040/2019</t>
  </si>
  <si>
    <t>034.793.794-27</t>
  </si>
  <si>
    <t>karlarolim93@gmail.com</t>
  </si>
  <si>
    <t>Raimundo Silva Nogueira</t>
  </si>
  <si>
    <t>https://drive.google.com/open?id=19C_L3URaiGXKBfiQG8_u04Ug2zcpYc_Y</t>
  </si>
  <si>
    <t>056.838.654-09</t>
  </si>
  <si>
    <t>cicerajp.lacerda@gmail.com</t>
  </si>
  <si>
    <t>CICERA MARIA LACERDA DE OLIVEIRA</t>
  </si>
  <si>
    <t>https://drive.google.com/open?id=1C1gJnAvynJfjYfpN1xC8jrAoW-2m-6-l</t>
  </si>
  <si>
    <t>064.417.474-99</t>
  </si>
  <si>
    <t>iakulo@yahoo.com.br</t>
  </si>
  <si>
    <t>May Iakulo Targino da Silva</t>
  </si>
  <si>
    <t>https://drive.google.com/open?id=1US3wZVV439CYDGWgOwsa1bU-ObPKtaOS</t>
  </si>
  <si>
    <t>014.357.704-20</t>
  </si>
  <si>
    <t>debora.g.de.araujo@gmail.com</t>
  </si>
  <si>
    <t>Débora Gomes de Araújo Rodrigues</t>
  </si>
  <si>
    <t>004</t>
  </si>
  <si>
    <t>https://drive.google.com/open?id=1pVpfSY04sXubvzk8-q5gju7L_5HgYFYC</t>
  </si>
  <si>
    <t>004/2020</t>
  </si>
  <si>
    <t>090.140.487-00</t>
  </si>
  <si>
    <t>lenilsonandres1@yahoo.com.br</t>
  </si>
  <si>
    <t>LENILSON ANDRES MARTINS</t>
  </si>
  <si>
    <t>https://drive.google.com/open?id=1_QIIlu5F0Mz9N2fZ7we6sxeq6Nc2Aav5</t>
  </si>
  <si>
    <t>076.680.934-00</t>
  </si>
  <si>
    <t>tatyannakelvia@gmail.com</t>
  </si>
  <si>
    <t>Tatyanna Kelvia Gomes de Sousa</t>
  </si>
  <si>
    <t>https://drive.google.com/open?id=1h3Xk8SQ-mWvoX6yyOZEM69xtw83mOlJD</t>
  </si>
  <si>
    <t>087.942.084-76</t>
  </si>
  <si>
    <t>albaneide.souza087942.pbtec@escola.pb.gov.br</t>
  </si>
  <si>
    <t>ALBANEIDE DE MEDEIROS SOUZA</t>
  </si>
  <si>
    <t>https://drive.google.com/open?id=16rGJ0mdn2KT7qQQYdlRmrXUrTEswAAds</t>
  </si>
  <si>
    <t>055.477.124-18</t>
  </si>
  <si>
    <t>spinelly.dany@gmail.com</t>
  </si>
  <si>
    <t xml:space="preserve">Danyele Almeida de Lima </t>
  </si>
  <si>
    <t>https://drive.google.com/open?id=1AKS2t69cMk2gafSNb0BNmVXzmMT6M7f3</t>
  </si>
  <si>
    <t>893.043.304-91</t>
  </si>
  <si>
    <t>angelicavaldevino2@gmail.com</t>
  </si>
  <si>
    <t>MARIA ANGÉLICA VALDEVINO VICENTE</t>
  </si>
  <si>
    <t>https://drive.google.com/open?id=13t2XRVKri5OJ7ENS7R_E7NMN3K1XpuMq</t>
  </si>
  <si>
    <t>094.640.034-21</t>
  </si>
  <si>
    <t>jseilma@hotmail.com</t>
  </si>
  <si>
    <t>JOSEILMA DE SOUZA SILVA</t>
  </si>
  <si>
    <t>https://drive.google.com/open?id=1qJz-3y8WeWtShibNDbhBGJx02Z3X8hEP</t>
  </si>
  <si>
    <t>079.909.854-03</t>
  </si>
  <si>
    <t>luanamarques.sf@hotmail.com</t>
  </si>
  <si>
    <t>Luana Marques Souza Farias</t>
  </si>
  <si>
    <t>https://drive.google.com/open?id=1qXaPoJXqcbtgf0mxnvnuVjBNE9Yi0gXi</t>
  </si>
  <si>
    <t>100.184.774-10</t>
  </si>
  <si>
    <t>tst.amandakarolina@gmail.com</t>
  </si>
  <si>
    <t>Amanda Karolina Nascimento Vieira</t>
  </si>
  <si>
    <t>https://drive.google.com/open?id=1Cy9lSYjOt6PKMoY50lbkpSntO0PNqC2u</t>
  </si>
  <si>
    <t>094.324.124-31</t>
  </si>
  <si>
    <t>alvesjunior338@gmail.com</t>
  </si>
  <si>
    <t>Júnior Alves Feitoza</t>
  </si>
  <si>
    <t>https://drive.google.com/open?id=1BqctR5gAm7YEAugBL6DPxSY9iCi1md4J</t>
  </si>
  <si>
    <t>076.768.454-08</t>
  </si>
  <si>
    <t>fabialemos6@gmail.com</t>
  </si>
  <si>
    <t>Jocefabia Rayane de Sousa Lemos</t>
  </si>
  <si>
    <t>https://drive.google.com/open?id=1ru0jQyr3RSqdJX0dI0-pvbhx_3Xw-iDC</t>
  </si>
  <si>
    <t>704.923.294-78</t>
  </si>
  <si>
    <t>jakelinemtmt@hotmail.com</t>
  </si>
  <si>
    <t xml:space="preserve">Jaqueline Silva Nascimento </t>
  </si>
  <si>
    <t>Ana Beatriz Santos de Medeiros</t>
  </si>
  <si>
    <t>https://drive.google.com/open?id=1PpOU0zc72qfGfDa7_QrAwBR_2QRAWs-8</t>
  </si>
  <si>
    <t>544.141.642-49</t>
  </si>
  <si>
    <t>abilio.marcello@gmail.com</t>
  </si>
  <si>
    <t>Marcelo Abilio Marques Diniz</t>
  </si>
  <si>
    <t>https://drive.google.com/open?id=1dc8h3X5pN_1oaxbwXN9NFy39oEl4raXJ</t>
  </si>
  <si>
    <t>111.853.884-60</t>
  </si>
  <si>
    <t>analuclecialn@gmail.com</t>
  </si>
  <si>
    <t xml:space="preserve">Ana Luclecia Lima do Nascimento </t>
  </si>
  <si>
    <t>https://drive.google.com/open?id=1WtsN56ieW8Xeua7R-e90b0YDjYi7dxTt</t>
  </si>
  <si>
    <t>069.392.214-17</t>
  </si>
  <si>
    <t>albertojose36@gmail.com</t>
  </si>
  <si>
    <t xml:space="preserve">José Alberto Albino da Silva </t>
  </si>
  <si>
    <t>https://drive.google.com/open?id=15EKnypGiIhtn9tz0rQ4lRy1-vuH2LLFk</t>
  </si>
  <si>
    <t>060.831.554-01</t>
  </si>
  <si>
    <t>daniele.mozer060831.pbtec@professor.pb.gov.br</t>
  </si>
  <si>
    <t>Daniele de Almeida Matias Mozer</t>
  </si>
  <si>
    <t>https://drive.google.com/open?id=13jRScWfdeeEO86hL4VJU5LY2sFE3qCyC</t>
  </si>
  <si>
    <t>090.585.944-83</t>
  </si>
  <si>
    <t>gabriellapinhoadm@gmail.com</t>
  </si>
  <si>
    <t>Maria Gabriella Ferreira Pinho</t>
  </si>
  <si>
    <t>https://drive.google.com/open?id=1K1O2d_SKI-mU_mgMLZpWmIWJRWFpWAZW</t>
  </si>
  <si>
    <t>072.650.304-51</t>
  </si>
  <si>
    <t>jazielcarvalho@gmail.com</t>
  </si>
  <si>
    <t>Jaziel de Carvalho Oliveira</t>
  </si>
  <si>
    <t>https://drive.google.com/open?id=1ENwmukc5ykSMd6YSAjF2F1GTSfzUZjzr</t>
  </si>
  <si>
    <t>031.638.294-90</t>
  </si>
  <si>
    <t>cleciamedeiross@gmail.com</t>
  </si>
  <si>
    <t>Clécia Medeiros dos Santos</t>
  </si>
  <si>
    <t>https://drive.google.com/open?id=1pAclKsjKT78xymyW9G95h3NNx0tz2Mkv</t>
  </si>
  <si>
    <t>007.722.994-04</t>
  </si>
  <si>
    <t>andre.carvalho007722.pbtec@escola.pb.gov.br</t>
  </si>
  <si>
    <t>André Almeida Freire de Carvalho</t>
  </si>
  <si>
    <t>https://drive.google.com/open?id=18R8GU8YKo5afs51QxBbrtsjZUEJ7po-I</t>
  </si>
  <si>
    <t>067.108.304-03</t>
  </si>
  <si>
    <t>marciacarreiropereira@gmail.com</t>
  </si>
  <si>
    <t>MARCIA CARREIRO PEREIRA</t>
  </si>
  <si>
    <t>https://drive.google.com/open?id=1kx_8gEyoLpg7t_UbR3bxFHiyqZwIMUtl</t>
  </si>
  <si>
    <t>045.633.034-88</t>
  </si>
  <si>
    <t>gerlane.carvalho045633.pbtec@escola.pb.gov.br</t>
  </si>
  <si>
    <t>Gerlane Santos Freire de Carvalho</t>
  </si>
  <si>
    <t>https://drive.google.com/open?id=1VQYSCrp8PA_yk13-iWuBpQc1sADRYeTU</t>
  </si>
  <si>
    <t>076.222.494-08</t>
  </si>
  <si>
    <t>isidroneto2@gmail.com</t>
  </si>
  <si>
    <t>ISIDRO PATRÍCIO DE ALMEIDA NETO</t>
  </si>
  <si>
    <t>038</t>
  </si>
  <si>
    <t>https://drive.google.com/open?id=1PE6-QDl_fTDew0Z4uGNrVTLEyB1SV4wh</t>
  </si>
  <si>
    <t>038/2021</t>
  </si>
  <si>
    <t>101.307.274-07</t>
  </si>
  <si>
    <t>brunomaciel1416@gmail.com</t>
  </si>
  <si>
    <t>Bruno Maciel Santos de Oliveira</t>
  </si>
  <si>
    <t>https://drive.google.com/open?id=11kSj6XcxTiRG5pTy3kZA6FOcz_zoRJVr</t>
  </si>
  <si>
    <t>073.472.414-48</t>
  </si>
  <si>
    <t>flaviano-paulista@hotmail.com</t>
  </si>
  <si>
    <t>FLAVIANO MOURA PEREIRA</t>
  </si>
  <si>
    <t>https://drive.google.com/open?id=10QFK7v9Fu05utVU3NpDCKHAHbSkFDzqN</t>
  </si>
  <si>
    <t>082.784.524-31</t>
  </si>
  <si>
    <t>elias_filho90@hotmail.com</t>
  </si>
  <si>
    <t>Elias Alves Filho</t>
  </si>
  <si>
    <t>https://drive.google.com/open?id=1FntcKMeIKyuH4cDLg6w46n-kL8PH5VBW</t>
  </si>
  <si>
    <t>066.834.194-77</t>
  </si>
  <si>
    <t>alex.girlene@gmail.com</t>
  </si>
  <si>
    <t>Girleni Ferreira Badu</t>
  </si>
  <si>
    <t>https://drive.google.com/open?id=1kSPjq0ipONESczPf2jv1FJppfpsXglrV</t>
  </si>
  <si>
    <t>036/2021</t>
  </si>
  <si>
    <t>085.920.754-40</t>
  </si>
  <si>
    <t>geildolucio@gmail.com</t>
  </si>
  <si>
    <t xml:space="preserve">Geildo do Nascimento Lúcio </t>
  </si>
  <si>
    <t>https://drive.google.com/open?id=1kdpZWwQn9sU34dmaFDa4K25ScQkwkelE</t>
  </si>
  <si>
    <t>702.768.134-05</t>
  </si>
  <si>
    <t>mariacarolina302@hotmail.com</t>
  </si>
  <si>
    <t>Maria Carolina Salustino dos Santos</t>
  </si>
  <si>
    <t>https://drive.google.com/open?id=1sHq-4s7B4Q7v2P3EwvQJiQdDMduQT8PZ</t>
  </si>
  <si>
    <t>061.512.284-13</t>
  </si>
  <si>
    <t>kylviacosta@gmail.com</t>
  </si>
  <si>
    <t>KYLVIA LUCIANA PEREIRA COSTA</t>
  </si>
  <si>
    <t>https://drive.google.com/open?id=1Rc1wjPxIyTdjzP4PXBvZ0I9J_w4C8NCq</t>
  </si>
  <si>
    <t>026.366.924-60</t>
  </si>
  <si>
    <t>carlos.nascimento.026.mediotec21@escola.pb.gov.br</t>
  </si>
  <si>
    <t>carlos jose sabino nascimento</t>
  </si>
  <si>
    <t>014</t>
  </si>
  <si>
    <t>https://drive.google.com/open?id=1BrKLqaSpQKQux4qUVjOAmWKytjHt7GjN</t>
  </si>
  <si>
    <t>014/2021</t>
  </si>
  <si>
    <t>024.904.784-51</t>
  </si>
  <si>
    <t>glaucia.beserra0173@escola.pb.gov.br</t>
  </si>
  <si>
    <t>Gláucia Gomes Beserra</t>
  </si>
  <si>
    <t>https://drive.google.com/open?id=1HOvARoEHk7oZ3utXrb6BINppKs2enQ_-</t>
  </si>
  <si>
    <t>053.653.624-46</t>
  </si>
  <si>
    <t>deborasuelleml@gmail.com</t>
  </si>
  <si>
    <t>DEBORA SUELLE MARCELINO DE MIRANDA</t>
  </si>
  <si>
    <t>https://drive.google.com/open?id=1IT5rEU4eUOz1gjhKFPPcZmBAzVzWxNLT</t>
  </si>
  <si>
    <t>005.682.393-26</t>
  </si>
  <si>
    <t>davidnogueiradesouza.85@gmail.com</t>
  </si>
  <si>
    <t>DAVID NOGUEIRA DE SOUZA</t>
  </si>
  <si>
    <t>https://drive.google.com/open?id=1LrZK18v0UVALDGHD8MJ6u-RNENz5JEDo</t>
  </si>
  <si>
    <t>690.562.004-10</t>
  </si>
  <si>
    <t>nazacaja@hotmail.com</t>
  </si>
  <si>
    <t>Maria Nazaré Barbosa de Araújo</t>
  </si>
  <si>
    <t>https://drive.google.com/open?id=10aTkHG_6NmBHInPAQrK6BCeZ3MQMVeVs</t>
  </si>
  <si>
    <t>084.389.894-11</t>
  </si>
  <si>
    <t>vanh25.life@gmail.com</t>
  </si>
  <si>
    <t>Vanessa Pereira da Silva</t>
  </si>
  <si>
    <t>https://drive.google.com/open?id=1ExJZ26xBUy_FMhwoLCK5w2DmfSAcbUIc</t>
  </si>
  <si>
    <t>083.845.074-14</t>
  </si>
  <si>
    <t>camilagregorio31@gmail.com</t>
  </si>
  <si>
    <t>JOSEFA CAMILA GREGÓRIO DE BRITO</t>
  </si>
  <si>
    <t>https://drive.google.com/open?id=1aJU49CN-Z52HKL6xT1ZnOtur44h8G1Ks</t>
  </si>
  <si>
    <t>084.736.824-67</t>
  </si>
  <si>
    <t>jaciel.sucesso@gmail.com</t>
  </si>
  <si>
    <t>JACIEL DOS SANTOS FERREIRA</t>
  </si>
  <si>
    <t>https://drive.google.com/open?id=1j625NcbAbfTefsnfQkmOU4RAv2sdkbLK</t>
  </si>
  <si>
    <t>052.064.024-19</t>
  </si>
  <si>
    <t>s1monne@hotmail.com</t>
  </si>
  <si>
    <t>simone rachel guedes da silva santos</t>
  </si>
  <si>
    <t>041</t>
  </si>
  <si>
    <t>https://drive.google.com/open?id=1moa-RQLE3hLfcdOkQa3oCaFSbvFULCvd</t>
  </si>
  <si>
    <t>041/2019</t>
  </si>
  <si>
    <t>022.199.774-12</t>
  </si>
  <si>
    <t>sousaerikae@gmail.com</t>
  </si>
  <si>
    <t>Erika Epaminondas de Sousa</t>
  </si>
  <si>
    <t>https://drive.google.com/open?id=1eEc5UkXqEh1T9V3BD20JcPfWWXT9qzv7</t>
  </si>
  <si>
    <t>077.122.724-84</t>
  </si>
  <si>
    <t>luizgenilda51@gmail.com</t>
  </si>
  <si>
    <t xml:space="preserve">Genilda Luiz Gonzaga </t>
  </si>
  <si>
    <t>https://drive.google.com/open?id=14Kft31Psv2AVUIrtb9FFxEDxAJaHFDFV</t>
  </si>
  <si>
    <t>059.648.264-74</t>
  </si>
  <si>
    <t>danny.ll_morais@hotmail.com</t>
  </si>
  <si>
    <t>Danilo Morais de Oliveira</t>
  </si>
  <si>
    <t>https://drive.google.com/open?id=1uDiS2M8LmrX2cMNGVyF6iKbrb_jshJUZ</t>
  </si>
  <si>
    <t>105.058.644-10</t>
  </si>
  <si>
    <t>talitasoaressilva17@gmail.com</t>
  </si>
  <si>
    <t>TALITA COSTA SOARES SILVA</t>
  </si>
  <si>
    <t>https://drive.google.com/open?id=1LnpMMrun_aQniqwTMWa6edhkp0P8WMEN</t>
  </si>
  <si>
    <t>101.765.284-82</t>
  </si>
  <si>
    <t>raniellywilk01@gmail.com</t>
  </si>
  <si>
    <t xml:space="preserve">RANIELLY WILK SALVIANO PEREIRA </t>
  </si>
  <si>
    <t>https://drive.google.com/open?id=1s5dPmWm2YoT7AsnfVquSNPX3St9wGMpP</t>
  </si>
  <si>
    <t>101.547.854-90</t>
  </si>
  <si>
    <t>aline.sales071874.pbtec@escola.pb.gov.br</t>
  </si>
  <si>
    <t>LARISSA DA SILVA SHERMAN</t>
  </si>
  <si>
    <t>https://drive.google.com/open?id=1ygxeTqeUkZM6FaLR3ilIPvFOxai9I2zu</t>
  </si>
  <si>
    <t>BRUNO MACIEL SANTOS DE OLIVEIRA</t>
  </si>
  <si>
    <t>https://drive.google.com/open?id=1O-Kwc1fp03mVQB4I4M8c7iKylhqS8Q6b</t>
  </si>
  <si>
    <t>https://drive.google.com/open?id=1KFRvX7uk8zaElBW38G8wogjaKNiFF43J</t>
  </si>
  <si>
    <t>038.986.184-71</t>
  </si>
  <si>
    <t>deboramariamartins@hotmail.com</t>
  </si>
  <si>
    <t>Kaline Késia Firmino Pereira de Oliveira</t>
  </si>
  <si>
    <t>https://drive.google.com/open?id=1CaWeWunm42XWgxEffgSxfI6GoYkqpUG8</t>
  </si>
  <si>
    <t>095.425.224-10</t>
  </si>
  <si>
    <t>erielemadm@gmail.com</t>
  </si>
  <si>
    <t>Erielem Araújo do Nascimento</t>
  </si>
  <si>
    <t>https://drive.google.com/open?id=1liVnCizg7dXco9eiEw5dPNfCrif8FAcF</t>
  </si>
  <si>
    <t>084.161.074-67</t>
  </si>
  <si>
    <t>AUGUSTO FELIX PEREIRA NETO</t>
  </si>
  <si>
    <t>https://drive.google.com/open?id=1mY0aGloMpd0PQhntNqz-bJBGnpCCEjmG</t>
  </si>
  <si>
    <t>059.429.914-48</t>
  </si>
  <si>
    <t>moacisouza1985@gmail.com</t>
  </si>
  <si>
    <t>Moaci Arnaldo de Souza</t>
  </si>
  <si>
    <t>https://drive.google.com/open?id=1s-QxRI7-Kmo9DOtFPuvV0nL84DIidNVT</t>
  </si>
  <si>
    <t>071.230.954-30</t>
  </si>
  <si>
    <t>goulartqueiroz@gmail.com</t>
  </si>
  <si>
    <t>Henrique Goulart Queiroz Vilar</t>
  </si>
  <si>
    <t>https://drive.google.com/open?id=19SCCGHR1NnZbKAmqHupFPIhzFmp3d5sd</t>
  </si>
  <si>
    <t>022.984.864-84</t>
  </si>
  <si>
    <t>mcpereira13m@gmail.com</t>
  </si>
  <si>
    <t>MARIA CLAUDIA PEREIRA DA SILVA</t>
  </si>
  <si>
    <t>https://drive.google.com/open?id=1Lj_Fse8BMtDbeJ1WGBWbBaogvtiXYyXQ</t>
  </si>
  <si>
    <t>042.069.334-30</t>
  </si>
  <si>
    <t>paulinofabiola@bol.com.br</t>
  </si>
  <si>
    <t>Messias Alexandre Ramos da Silva</t>
  </si>
  <si>
    <t>Fabiola Paulino de Amorim Oliveira</t>
  </si>
  <si>
    <t>https://drive.google.com/open?id=1SxpIrZUOk40WWE_6rUXvRWcaidrQnYn1</t>
  </si>
  <si>
    <t>021.483.884-60</t>
  </si>
  <si>
    <t>geraldoapjunior@gmail.com</t>
  </si>
  <si>
    <t>Geraldo Alves Pereira Júnior</t>
  </si>
  <si>
    <t>https://drive.google.com/open?id=1DnvnzCbrm9_VQqPyP9ReJ6vcseZFxCs4</t>
  </si>
  <si>
    <t>073.791.224-36</t>
  </si>
  <si>
    <t>jacira.joj@gmail.com</t>
  </si>
  <si>
    <t>Jacira de Oliveira Jacinto</t>
  </si>
  <si>
    <t>https://drive.google.com/open?id=1-Udjokq9G8ZT4wvTkOKQYXPlHhtUnzTg</t>
  </si>
  <si>
    <t>101.237.454-89</t>
  </si>
  <si>
    <t>mhalves06@gmail.com</t>
  </si>
  <si>
    <t>Maria Helena Alves Leite</t>
  </si>
  <si>
    <t>https://drive.google.com/open?id=1dm1JvV_AAVKuinTxgn19Uzuco9WmxrOD</t>
  </si>
  <si>
    <t>016.693.404-65</t>
  </si>
  <si>
    <t>gleydsonsantos1992@gmail.com</t>
  </si>
  <si>
    <t xml:space="preserve">GLEYDSON SANTOS NASCIMENTO </t>
  </si>
  <si>
    <t>https://drive.google.com/open?id=1slNbGq72KchJxSPAE28fGVxmschsVPJ2</t>
  </si>
  <si>
    <t>093.782.164-04</t>
  </si>
  <si>
    <t>gabiramalhomelo@gmail.com</t>
  </si>
  <si>
    <t>Gabriela Ramalho Melo</t>
  </si>
  <si>
    <t>https://drive.google.com/open?id=11XdNywcZVx-zOu-uQ2IjPHLa2bm2lqlP</t>
  </si>
  <si>
    <t>076.769.384-14</t>
  </si>
  <si>
    <t>rafaelainocencio@gmail.com</t>
  </si>
  <si>
    <t>RAFAELA PATRICIA I DA SILVA</t>
  </si>
  <si>
    <t>046</t>
  </si>
  <si>
    <t>https://drive.google.com/open?id=1j6yDCHPbo0y6NyCY3UEcJr4AsqX3qZeB</t>
  </si>
  <si>
    <t>046/2019</t>
  </si>
  <si>
    <t>279.113.814-53</t>
  </si>
  <si>
    <t>yuri.mirtes1990@gmail.com</t>
  </si>
  <si>
    <t>YURI SOUSA DE OLIVEIRA</t>
  </si>
  <si>
    <t>021</t>
  </si>
  <si>
    <t>https://drive.google.com/open?id=1xsOwfWBrqqX8WrngNl7ITErgUMVPSq3d</t>
  </si>
  <si>
    <t>021/2021</t>
  </si>
  <si>
    <t>016.713.464-75</t>
  </si>
  <si>
    <t>rafadantasnf@gmail.com</t>
  </si>
  <si>
    <t>JOSÉ RAFAEL DA SILVA DANTAS</t>
  </si>
  <si>
    <t>https://drive.google.com/open?id=1SjOTNXE8Gl6KbNCnYEc9ePPutsKRFvAI</t>
  </si>
  <si>
    <t>048.287.283-76</t>
  </si>
  <si>
    <t>juccianathielle@gmail.com</t>
  </si>
  <si>
    <t>Júccia Nathielle do Nascimento Oliveira</t>
  </si>
  <si>
    <t>https://drive.google.com/open?id=1b2YqcSIPLEXKK8JGHmRGPfyeuN3HqHhU</t>
  </si>
  <si>
    <t>753.302.374-91</t>
  </si>
  <si>
    <t>ramilson.gadelha.pbtec@see.pb.gov.br</t>
  </si>
  <si>
    <t>Ramilson Francisco Gadelha</t>
  </si>
  <si>
    <t>https://drive.google.com/open?id=1AfD4Qupsrl6X29fpqdVmcc5cZFsPRLra</t>
  </si>
  <si>
    <t>https://drive.google.com/open?id=1sYZVhsLxGLB0tabNHBcKqw0fZAyv6OQw</t>
  </si>
  <si>
    <t>048.080.324-22</t>
  </si>
  <si>
    <t>almir.lopes048080.pbtec@professor.pb.gov.br</t>
  </si>
  <si>
    <t>ALMIR ROGÉRIO DA SILVA LOPES</t>
  </si>
  <si>
    <t>https://drive.google.com/open?id=1bXKp-jYLzMXtrVkbcmhTK5LIGLNjZ_PG</t>
  </si>
  <si>
    <t>016.234.074-51</t>
  </si>
  <si>
    <t>joselyafernandes@hotmail.com</t>
  </si>
  <si>
    <t>Joselia Fernandes do Nascimento</t>
  </si>
  <si>
    <t>011</t>
  </si>
  <si>
    <t>https://drive.google.com/open?id=1zbmMN_YFpBrkAbJI0lPowykjopMJkLg0</t>
  </si>
  <si>
    <t>011/2021</t>
  </si>
  <si>
    <t>054.007.703-80</t>
  </si>
  <si>
    <t>nazarenomeireles@gmail.com</t>
  </si>
  <si>
    <t>NAZARENO FILHO MEIRELES DA SILVA</t>
  </si>
  <si>
    <t>https://drive.google.com/open?id=1d5Jral0zIuHyhUG6l3mbBsOb1hf1aWdE</t>
  </si>
  <si>
    <t>https://drive.google.com/open?id=1ez-czrMDg4ipMTipLsZtP5sPr8xOjjZ9</t>
  </si>
  <si>
    <t>082.530.544-67</t>
  </si>
  <si>
    <t>jefffsantosa@gmail.com</t>
  </si>
  <si>
    <t>Jefferson Flora Santos de Araújo</t>
  </si>
  <si>
    <t>https://drive.google.com/open?id=1aGZF5moAEVMFvoH9hQmCguBye-04OIia</t>
  </si>
  <si>
    <t>029.562.604-64</t>
  </si>
  <si>
    <t>leomacia.simoes077713.pbtec@escola.pb.gov.br</t>
  </si>
  <si>
    <t>leomacia da rocha simoes</t>
  </si>
  <si>
    <t>JANE ERICA BARBOSA QUEIROZ</t>
  </si>
  <si>
    <t>https://drive.google.com/open?id=1DWUlnfxZhGqr7QZEs1ahaieh4D-ddURb</t>
  </si>
  <si>
    <t>118.862.867-44</t>
  </si>
  <si>
    <t>samara.cotta027810.pbtec@escola.pb.gov.br</t>
  </si>
  <si>
    <t xml:space="preserve">Samara Clemente de Alcântara Cotta </t>
  </si>
  <si>
    <t>EDIVANIA ALVES DOS SANTOS</t>
  </si>
  <si>
    <t>https://drive.google.com/open?id=1gpIUwIz47BE9JzDoqgZwEjH0-WJQIFFa</t>
  </si>
  <si>
    <t>053.670.254-39</t>
  </si>
  <si>
    <t>eliascuite@hotmail.com</t>
  </si>
  <si>
    <t>Elias Souto dos Santos</t>
  </si>
  <si>
    <t>045</t>
  </si>
  <si>
    <t>https://drive.google.com/open?id=145A8f-uifF_t_-62FyP73xTnDY7YlDaU</t>
  </si>
  <si>
    <t>045/2019</t>
  </si>
  <si>
    <t>054.169.514-27</t>
  </si>
  <si>
    <t>ROMARIOANDRADEUFPB@GMAIL.COM</t>
  </si>
  <si>
    <t>ROMARIO OLIVEIRA DE ANDRADE</t>
  </si>
  <si>
    <t>042</t>
  </si>
  <si>
    <t>https://drive.google.com/open?id=1HysymlTwkncukV8pdD3oDGOGpjUZo0nL</t>
  </si>
  <si>
    <t>042/2021</t>
  </si>
  <si>
    <t>094.695.814-90</t>
  </si>
  <si>
    <t>fonsecawjfn@gmail.com</t>
  </si>
  <si>
    <t>Wagner Jean Fonseca Nunes</t>
  </si>
  <si>
    <t>https://drive.google.com/open?id=17888SU8O3uab4nG9P9nJ470XOLmMS_uO</t>
  </si>
  <si>
    <t>063.755.634-88</t>
  </si>
  <si>
    <t>jasyene.pereira054307.pbtec@escola.pb.gov.br</t>
  </si>
  <si>
    <t>JASYENE PAULA LOPES SOARES PEREIRA</t>
  </si>
  <si>
    <t>ERIKA MICHELLE LEITE SOARES MEDEIROS</t>
  </si>
  <si>
    <t>https://drive.google.com/open?id=1G9WJ0Sx1i1NDW3bdwHfiVEHZc6G2b7d7</t>
  </si>
  <si>
    <t>059.484.854-71</t>
  </si>
  <si>
    <t>EMANUELLE LIDIANNE DE SOUZA LEITE SOARES</t>
  </si>
  <si>
    <t>https://drive.google.com/open?id=1Cm_7UiXRQOdGqDOiF67rJRDQKs2k1CfH</t>
  </si>
  <si>
    <t>https://drive.google.com/open?id=1iz-vE3twDbrKgyJZydhTfGrmJI6nsD_F</t>
  </si>
  <si>
    <t>185.472.528-94</t>
  </si>
  <si>
    <t>marcilenealvesmorais@hotmail.com</t>
  </si>
  <si>
    <t>Marcilene alves da silva</t>
  </si>
  <si>
    <t>Marcilene Alves da Silva</t>
  </si>
  <si>
    <t>https://drive.google.com/open?id=1VOfSwoI_kPem0h9CZbs95EzDSoEGiapJ</t>
  </si>
  <si>
    <t>027.887.684-60</t>
  </si>
  <si>
    <t>joednamaria78@gmail.com</t>
  </si>
  <si>
    <t>JOEDNA MARIA MELO DE OLIVEIRA</t>
  </si>
  <si>
    <t>https://drive.google.com/open?id=1avcg92Jlo8L7RdOQD5Amjcm99Mr-E2bp</t>
  </si>
  <si>
    <t>https://drive.google.com/open?id=1GLtSsVViJ8FhWC055va9tVOz_oqMYz7S</t>
  </si>
  <si>
    <t>https://drive.google.com/open?id=1blEsT3l5KIjwUNoPJ3jnZroZAOcQHDrF</t>
  </si>
  <si>
    <t>MARCILENE ALVES DA SILVA</t>
  </si>
  <si>
    <t>https://drive.google.com/open?id=1WLdFGoGLTtwlEjC025_IIaxZUmmbRwOi</t>
  </si>
  <si>
    <t>839.709.914-04</t>
  </si>
  <si>
    <t>adrianafreire@see.pb.gov.br</t>
  </si>
  <si>
    <t>ADRIANA FREIRE DE CARVALHO GONÇALVES</t>
  </si>
  <si>
    <t>https://drive.google.com/open?id=1nDpJgftR2DhjfI585xap4D0Y0GEYRt2T</t>
  </si>
  <si>
    <t>024.406.924-76</t>
  </si>
  <si>
    <t>francisco.rolim050727.pbtec@escola.pb.gov.br</t>
  </si>
  <si>
    <t>FRANCISCO JEFFERSON RODRIGUES ROLIM</t>
  </si>
  <si>
    <t>IVSON BORGES DE SOUSA</t>
  </si>
  <si>
    <t>https://drive.google.com/open?id=1rjH1bKwK6oDDPTxnqMmy4vxuzLyyOuWQ</t>
  </si>
  <si>
    <t>041.289.524-27</t>
  </si>
  <si>
    <t>marcelo.pereira03@gmail.com</t>
  </si>
  <si>
    <t>marcelo pereira de lima</t>
  </si>
  <si>
    <t>https://drive.google.com/open?id=1ffbA6GnoB12VJmEm1H0bQuuqd2s7W0Gu</t>
  </si>
  <si>
    <t>101.488.284-26</t>
  </si>
  <si>
    <t>santosarthuraraujo@gmail.com</t>
  </si>
  <si>
    <t>Arthur Araújo Santos</t>
  </si>
  <si>
    <t>https://drive.google.com/open?id=1UBhAbdl4UpnGMxyzaDkRQLW-gWVx25Tp</t>
  </si>
  <si>
    <t>069.641.384-12</t>
  </si>
  <si>
    <t>tercio.silva056133.pbtec@escolva.pb.gov.br</t>
  </si>
  <si>
    <t>TÉRCIO RAMON ALMEIDA SILVA</t>
  </si>
  <si>
    <t>JOSEFA DANIELMA DA SILVA GOMES SOUZA</t>
  </si>
  <si>
    <t>https://drive.google.com/open?id=1-gXZsRADV7ccdFnPTN7gy_extrVkU8SC</t>
  </si>
  <si>
    <t>tercio.silva056133.pbtec@escola.pb.gov.br</t>
  </si>
  <si>
    <t>https://drive.google.com/open?id=1akMav6U4Fj3mMQ415YBL9nRj-2bzhHWD</t>
  </si>
  <si>
    <t>081.494.804-98</t>
  </si>
  <si>
    <t>weverson.oliveira.0898.pbtec21@escola.pb.gov.br</t>
  </si>
  <si>
    <t>Weverson Meneses Oliveira</t>
  </si>
  <si>
    <t>https://drive.google.com/open?id=1rxdY6WYVPyt6BkxF1K7RIgZzbzTKnWma</t>
  </si>
  <si>
    <t>066.162.414-59</t>
  </si>
  <si>
    <t>emilia.batista066162.pbtec@professor.gov.br</t>
  </si>
  <si>
    <t>Emília da Costa Batista</t>
  </si>
  <si>
    <t>https://drive.google.com/open?id=1FuLzR3i3NbKQZgcij-Te4npuaGAXQUyc</t>
  </si>
  <si>
    <t>emilia.batista066162.pbtec@professor.pb.gov.br</t>
  </si>
  <si>
    <t>Emília  da Costa Batista</t>
  </si>
  <si>
    <t>https://drive.google.com/open?id=18qt4qkNAF20raIrqEvpsCRu0ohH17Aqz</t>
  </si>
  <si>
    <t>082.842.434-90</t>
  </si>
  <si>
    <t>gutembergformigaufcg@gmail.com</t>
  </si>
  <si>
    <t>GUTEMBERG FORMIGA SILVA</t>
  </si>
  <si>
    <t>https://drive.google.com/open?id=1rw9c4CoiULave8UW773InughA3HWqdxZ</t>
  </si>
  <si>
    <t>046/2021</t>
  </si>
  <si>
    <t>101.323.934-25</t>
  </si>
  <si>
    <t>jessikarocha192@gmail.com</t>
  </si>
  <si>
    <t>Jéssika Rayanne Batista Rocha</t>
  </si>
  <si>
    <t>https://drive.google.com/open?id=1-tIPD7wQtvu6RkhVRakeMqUWFJotwHvF</t>
  </si>
  <si>
    <t>flaviano-paulistas@hotmail.com</t>
  </si>
  <si>
    <t>https://drive.google.com/open?id=1h1y-EWuOBQGUjMCeAJJhta4PB_o5atHD</t>
  </si>
  <si>
    <t>021.714.324-54</t>
  </si>
  <si>
    <t>ritacassia2111@gmail.com</t>
  </si>
  <si>
    <t>RITA DE CÁSSIA VITORINO DA SILVA</t>
  </si>
  <si>
    <t>https://drive.google.com/open?id=10CgkADmbDIo80q1BLyityq-7F0WuN7b0</t>
  </si>
  <si>
    <t>086.051.554-00</t>
  </si>
  <si>
    <t>jocimario.pereira086051.pbtec@escola.pb.gov.br</t>
  </si>
  <si>
    <t>Jocimario Alves Pereira</t>
  </si>
  <si>
    <t>https://drive.google.com/open?id=1FahHMTKt8cBoUNs6ugr0An7f0z_ZyOnc</t>
  </si>
  <si>
    <t>053.429.684-02</t>
  </si>
  <si>
    <t>jocilda.mariano053429.pbtec@escola.pb.gov.br</t>
  </si>
  <si>
    <t>JOCILDA MANGUEIRA MARIANO</t>
  </si>
  <si>
    <t>https://drive.google.com/open?id=1n0ZEy5iTCh6UP6uSllxva3qEHYj7LWry</t>
  </si>
  <si>
    <t>045.724.274-45</t>
  </si>
  <si>
    <t>clebertina.sousa045724.pbtec@escola.pb.gov.br</t>
  </si>
  <si>
    <t>Clebertina Parente de Sousa</t>
  </si>
  <si>
    <t>https://drive.google.com/open?id=1Mk_a_0ATl0HgSM_IjjlbUVTRBuO3awFr</t>
  </si>
  <si>
    <t>072.852.604-28</t>
  </si>
  <si>
    <t>fe_santosnunesmelo@hotmail.com</t>
  </si>
  <si>
    <t>FERNANDA DOS SANTOS NUNES DE MELO</t>
  </si>
  <si>
    <t>https://drive.google.com/open?id=1QbH1sNbaWkQMwZVRx5PVzktUISGJRNmS</t>
  </si>
  <si>
    <t>094.642.434-90</t>
  </si>
  <si>
    <t>camposkelly86@gmail.com</t>
  </si>
  <si>
    <t xml:space="preserve">ANA JAQUELINE CAMPOS DE MORAES DA SILVA </t>
  </si>
  <si>
    <t>https://drive.google.com/open?id=1nwyP1jYPwBAZdNGxFAwAlcOtDgYbY-sM</t>
  </si>
  <si>
    <t>075.798.264-61</t>
  </si>
  <si>
    <t>wendersonkarlos25@gmail.com</t>
  </si>
  <si>
    <t>Wenderson Carlos da Silva Alves</t>
  </si>
  <si>
    <t>https://drive.google.com/open?id=1nVVuNQjNlBUc2EKQQmE5LadBn5HaIsow</t>
  </si>
  <si>
    <t>048.544.244-27</t>
  </si>
  <si>
    <t>assisivania_dantas@hotmail.com</t>
  </si>
  <si>
    <t>ASSISIVÂNIA DANTAS DE SOUSA</t>
  </si>
  <si>
    <t>jeffersonrolim@see.pb.gov.br</t>
  </si>
  <si>
    <t>https://drive.google.com/open?id=1GTgbH8X5iwXUnqYxJMwh0FB5IXOjIH-3</t>
  </si>
  <si>
    <t>075.816.754-75</t>
  </si>
  <si>
    <t>mayniereka@gmail.com</t>
  </si>
  <si>
    <t xml:space="preserve">Mayniere Kaline dos Santos Azevedo </t>
  </si>
  <si>
    <t>047</t>
  </si>
  <si>
    <t>https://drive.google.com/open?id=1zE0dRQedBZlWXJuORQPCHSZ-BauyikUq</t>
  </si>
  <si>
    <t>047/2021</t>
  </si>
  <si>
    <t>062.016.974-54</t>
  </si>
  <si>
    <t>lygiaroberta@hotmail.com</t>
  </si>
  <si>
    <t>Lígia Roberta Ferreira de Andrade</t>
  </si>
  <si>
    <t>https://drive.google.com/open?id=1fhX-u7QE9dDNHUPzxRpNWMeYyyUDu_oX</t>
  </si>
  <si>
    <t>917.429.354-00</t>
  </si>
  <si>
    <t>leo.pbjp@gmail.com</t>
  </si>
  <si>
    <t>LEOJOAN MOURA CAVALCANTE</t>
  </si>
  <si>
    <t>https://drive.google.com/open?id=1cof7wST1bL7qMJtmrk1YNLy10kzk58O9</t>
  </si>
  <si>
    <t>048.888.774-75</t>
  </si>
  <si>
    <t>gcarlosanselmo@gmail.com</t>
  </si>
  <si>
    <t xml:space="preserve">George Carlos dos Santos Anselmo </t>
  </si>
  <si>
    <t>https://drive.google.com/open?id=1uUnpDNDtvRCIpzlqKhCp-Gag8KOvGChc</t>
  </si>
  <si>
    <t>062.845.624-70</t>
  </si>
  <si>
    <t>sabrinaeconomia@gmail.com</t>
  </si>
  <si>
    <t xml:space="preserve">Sabrina Martins de Araújo </t>
  </si>
  <si>
    <t>https://drive.google.com/open?id=1XwiUitF8nHEAKYYMswpyPUCXGX9lyDjl</t>
  </si>
  <si>
    <t>080.904.034-41</t>
  </si>
  <si>
    <t>jorgethalara@gmail.com</t>
  </si>
  <si>
    <t xml:space="preserve">Thallita Pereira Ribeiro de Sousa </t>
  </si>
  <si>
    <t>https://drive.google.com/open?id=124LXa-ODTB2A9lpXQSjjilzELco8iz17</t>
  </si>
  <si>
    <t>058.720.334-00</t>
  </si>
  <si>
    <t>joel-guedes@hotmail.com</t>
  </si>
  <si>
    <t>Joel Guedes de Sousa</t>
  </si>
  <si>
    <t>https://drive.google.com/open?id=1ukGQqk9-QbQkPB9QMHyxPh2dPnfWuGAM</t>
  </si>
  <si>
    <t>014.032.044-03</t>
  </si>
  <si>
    <t>jose.moraes.g.n@gmail.com</t>
  </si>
  <si>
    <t>José Moraes Gurgel Neto</t>
  </si>
  <si>
    <t>https://drive.google.com/open?id=1lsS_gJS6r_-V_ONcPGh3LdgpRtkq0r8V</t>
  </si>
  <si>
    <t>067.166.564-21</t>
  </si>
  <si>
    <t>maira.aines067166.pbtec@professor.pb.gov.br</t>
  </si>
  <si>
    <t>MAÍRA RODRIGUES DE SOUSA AINES</t>
  </si>
  <si>
    <t>https://drive.google.com/open?id=1F91RzWuuEES2OUiUYO7sivGnWec8LNCh</t>
  </si>
  <si>
    <t>052.526.084-66</t>
  </si>
  <si>
    <t>dyegodavi@hotmail.com</t>
  </si>
  <si>
    <t>DYEGO FERREIRA DA SILVA</t>
  </si>
  <si>
    <t>https://drive.google.com/open?id=1dxC2HFCVvIgO8OFhLn4o1Hk2rhPwhBC2</t>
  </si>
  <si>
    <t>707.097.034-06</t>
  </si>
  <si>
    <t>fred.lucas24@gmail.com</t>
  </si>
  <si>
    <t>Frediano Lucas da Silva</t>
  </si>
  <si>
    <t>https://drive.google.com/open?id=1OOuI-PE01sftz9JztJ-49GmzGoVV2gaE</t>
  </si>
  <si>
    <t>101.699.684-56</t>
  </si>
  <si>
    <t>helenamarquescruz@gmail.com</t>
  </si>
  <si>
    <t>Helena Clarisse Marques Cruz Rodrigues</t>
  </si>
  <si>
    <t>https://drive.google.com/open?id=1wmzMX61dNrwCqWKujYtRZciKpEyXwuuq</t>
  </si>
  <si>
    <t>705.339.604-52</t>
  </si>
  <si>
    <t>jmuriel.adm@gmail.com</t>
  </si>
  <si>
    <t>JOSÉ MURIEL OLIVEIRA ALVES</t>
  </si>
  <si>
    <t>https://drive.google.com/open?id=1nk2DWR1IdtpOTwOvDvTC3UYsQKInywB6</t>
  </si>
  <si>
    <t>116.767.504-52</t>
  </si>
  <si>
    <t>carol_bezerril@hotmail.com</t>
  </si>
  <si>
    <t>Nadja Caroline Bezerril Guimarães</t>
  </si>
  <si>
    <t>https://drive.google.com/open?id=1lf93Kt5MgCPlBxoXqAbjnRlsabxj-J5I</t>
  </si>
  <si>
    <t>059.120.314-62</t>
  </si>
  <si>
    <t>fernando.araujo.0562.pbtec22@professor.pb.gov.br</t>
  </si>
  <si>
    <t>FERNANDO ROBSON ALMEIDA DE ARAUJO</t>
  </si>
  <si>
    <t>https://drive.google.com/open?id=1zUi5yG2zUvYByGUT-AGsXGq6V6FH6CTj</t>
  </si>
  <si>
    <t>082.331.824-94</t>
  </si>
  <si>
    <t>jkerller@gmail.com</t>
  </si>
  <si>
    <t>Jaily Kerller Batista de Andrade</t>
  </si>
  <si>
    <t>https://drive.google.com/open?id=1ygVg1D83cZ5LHe5kmrxGMBdVBQga6W9e</t>
  </si>
  <si>
    <t>086.554.084-50</t>
  </si>
  <si>
    <t>irisdayane04@gmail.com</t>
  </si>
  <si>
    <t>Iris Dayane Guedes Lira</t>
  </si>
  <si>
    <t>https://drive.google.com/open?id=1yZmiKZErnZyFFx-og_hEz-0odOiJwn7w</t>
  </si>
  <si>
    <t>josefa.brito083845.pbtec@professor.pb.gov.br</t>
  </si>
  <si>
    <t>019</t>
  </si>
  <si>
    <t>https://drive.google.com/open?id=16AmStB6jXnrHXBKfcXCMxP_Z-36yKtxx</t>
  </si>
  <si>
    <t>019/2021</t>
  </si>
  <si>
    <t>076.797.904-42</t>
  </si>
  <si>
    <t>danielle.lacerda.0744.pbtec21@escola.pb.gov.br</t>
  </si>
  <si>
    <t>Rayane Nunes Gomes</t>
  </si>
  <si>
    <t>https://drive.google.com/open?id=1a2PCx9jaATgLtKzWC6Oub0pn9dEA4lMg</t>
  </si>
  <si>
    <t>051.508.264-30</t>
  </si>
  <si>
    <t>samaracotta@gmail.com</t>
  </si>
  <si>
    <t>Samara Clemente de Alcântara Cotta</t>
  </si>
  <si>
    <t xml:space="preserve">Pollyana Soares Alves </t>
  </si>
  <si>
    <t>https://drive.google.com/open?id=1x3D-zpSwB7UbyqaQ0z97fPOFMUWUDos4</t>
  </si>
  <si>
    <t>707.014.364-84</t>
  </si>
  <si>
    <t>nathan.oliveira.7084.pbtec22@escola.pb.gov.br</t>
  </si>
  <si>
    <t>Nathan Santos de Oliveira</t>
  </si>
  <si>
    <t>https://drive.google.com/open?id=1OxDXg2cAHxqnyPG3PaP3PPZCS1GBPJgl</t>
  </si>
  <si>
    <t>079.727.914-81</t>
  </si>
  <si>
    <t>vinicius.vieira.0781.mediotec21@professor.pb.gov.br</t>
  </si>
  <si>
    <t>Vinicius Almeida Vieira</t>
  </si>
  <si>
    <t>https://drive.google.com/open?id=1GeqUjITUVJjcI5iixvA3LYNXRZva3Df7</t>
  </si>
  <si>
    <t>065.457.224-09</t>
  </si>
  <si>
    <t>nandaraphaela2013@gmail.com</t>
  </si>
  <si>
    <t>Fernanda Raphaela Alves Dantas</t>
  </si>
  <si>
    <t>001</t>
  </si>
  <si>
    <t>https://drive.google.com/open?id=1FkZhgt3DWfYo9UFmkZoMKmMdO2a3H0aP</t>
  </si>
  <si>
    <t/>
  </si>
  <si>
    <t>001/2022</t>
  </si>
  <si>
    <t>918.668.804-97</t>
  </si>
  <si>
    <t>mariasrocha95@gmail.com</t>
  </si>
  <si>
    <t>Maria do Socorro Rocha</t>
  </si>
  <si>
    <t>https://drive.google.com/open?id=1Yg7JFRv8iyzar7hQLVwvYdLN4IDXJPBs</t>
  </si>
  <si>
    <t>076.716.504-71</t>
  </si>
  <si>
    <t>monijanylg@gmail.com</t>
  </si>
  <si>
    <t>Monijany Lins de Góis</t>
  </si>
  <si>
    <t>039</t>
  </si>
  <si>
    <t>https://drive.google.com/open?id=1uFWzpAQFiZQDl-JK6u5YZVGp0poyCqmA</t>
  </si>
  <si>
    <t>039/2019</t>
  </si>
  <si>
    <t>040.006.304-23</t>
  </si>
  <si>
    <t>flavio.oliveira.0423.pbtec21@professor.pb.gov.br</t>
  </si>
  <si>
    <t>Flavio Pereira de Oliveira</t>
  </si>
  <si>
    <t>https://drive.google.com/open?id=1mrqi4nxjlEVHRcBL01i1JVLkT1TQIqPM</t>
  </si>
  <si>
    <t>063.563.944-04</t>
  </si>
  <si>
    <t>suely.brasiliano.0604.pbtec22@escola.pb.gov.br</t>
  </si>
  <si>
    <t>Suely Andrade Brasiliano</t>
  </si>
  <si>
    <t>https://drive.google.com/open?id=1jf5MAFYkxgQ0OnFsmGobwcR7QybwyaDe</t>
  </si>
  <si>
    <t>080.611.294-85</t>
  </si>
  <si>
    <t>djailma.sa.064.mediotec21@escola.pb.gov.br</t>
  </si>
  <si>
    <t xml:space="preserve">Djailma Oliveira Sá </t>
  </si>
  <si>
    <t>Rodrigo Holmes Dias de Lima</t>
  </si>
  <si>
    <t>https://drive.google.com/open?id=1qpPvcm_I1U3etbQrgx3aQVqCsaN-xEOA</t>
  </si>
  <si>
    <t>072.694.464-58</t>
  </si>
  <si>
    <t>Edivânia Maria de Melo</t>
  </si>
  <si>
    <t>https://drive.google.com/open?id=1I58mU-xftWIhwVHBSNPbmhEG1e7-E30u</t>
  </si>
  <si>
    <t>https://drive.google.com/open?id=18kzhFrWWvFJLJd1rmy7Ro3bgXYfMUJpl</t>
  </si>
  <si>
    <t>657.008.722-34</t>
  </si>
  <si>
    <t>francislley@gmail.com</t>
  </si>
  <si>
    <t xml:space="preserve">Francisley Carvalho Leite </t>
  </si>
  <si>
    <t>https://drive.google.com/open?id=1MfM8zgzT6k8SsnVifqQ0_5fop0fESRCR</t>
  </si>
  <si>
    <t>090.126.104-19</t>
  </si>
  <si>
    <t>janielekaline@hotmail.com</t>
  </si>
  <si>
    <t xml:space="preserve">Janielle Kaline do Rego </t>
  </si>
  <si>
    <t>043</t>
  </si>
  <si>
    <t>https://drive.google.com/open?id=1SzeBJbwDhtFPWqRuMHSv970-3Ac83MyD</t>
  </si>
  <si>
    <t>043/2021</t>
  </si>
  <si>
    <t>094.309.424-09</t>
  </si>
  <si>
    <t>fabiola.roberto.0909.mediotec21@professor.pb.gov.br</t>
  </si>
  <si>
    <t>FABIOLA RENATA ALVES ROBERTO</t>
  </si>
  <si>
    <t>024</t>
  </si>
  <si>
    <t>https://drive.google.com/open?id=1V9Lfj87mtIBBlWH3ktQiL-7VlpfwmEIT</t>
  </si>
  <si>
    <t>024/2021</t>
  </si>
  <si>
    <t>069.863.914-63</t>
  </si>
  <si>
    <t>andressa.silva.0663.pbtec21@professor.pb.gov.br</t>
  </si>
  <si>
    <t>Andressa Gonçalves de Santana</t>
  </si>
  <si>
    <t>https://drive.google.com/open?id=1vJimGZA08ypuuvJ9jlvXChn6xtUG3Iyi</t>
  </si>
  <si>
    <t>079.954.134-67</t>
  </si>
  <si>
    <t>wagner.ribeiro.0767.pbtec21@professor.pb.gov.br</t>
  </si>
  <si>
    <t>WAGNER LEITE RIBEIRO</t>
  </si>
  <si>
    <t>https://drive.google.com/open?id=1wK-MI6S-uo79nsQyjybXp-TMkeivXf6H</t>
  </si>
  <si>
    <t>654.213.881-15</t>
  </si>
  <si>
    <t>sandra.papadopulos@see.pb.gov.br</t>
  </si>
  <si>
    <t>Sandra Papadopulos</t>
  </si>
  <si>
    <t>https://drive.google.com/open?id=1LQZFkkkDk4mHXYbVd_cz2d5kc4nQ8woK</t>
  </si>
  <si>
    <t>082.800.554-01</t>
  </si>
  <si>
    <t>ricardosousapb@gmail.com</t>
  </si>
  <si>
    <t>Ricardo de Sousa Nascimento</t>
  </si>
  <si>
    <t>https://drive.google.com/open?id=1KXHDX52ZhmVNbfkB3a5PH3p-y0iTyWgI</t>
  </si>
  <si>
    <t>112.418.584-46</t>
  </si>
  <si>
    <t>moacyrxgdasilva@outlook.com</t>
  </si>
  <si>
    <t>Moacyr Xavier Gomes da Silva</t>
  </si>
  <si>
    <t>https://drive.google.com/open?id=1He0JG4LT5lmXeHkWOf1SIB0hNYMLtN2B</t>
  </si>
  <si>
    <t>https://drive.google.com/open?id=1VrvNqPw0gtQZjEJhyKy2x1smli35dDVq</t>
  </si>
  <si>
    <t>031.446.764-54</t>
  </si>
  <si>
    <t>jhbambam@hotmail.com</t>
  </si>
  <si>
    <t>JOÃO BATISTA MONTEIRO DE SOUSA</t>
  </si>
  <si>
    <t>https://drive.google.com/open?id=1opn1fX_Ovbf_PJeqpxScr7YiXJ0apBTh</t>
  </si>
  <si>
    <t>https://drive.google.com/open?id=1pb7keBYvkbOZhx7QFCkZwBx7THy965mo</t>
  </si>
  <si>
    <t>rodrigoholmes17@gmail.com</t>
  </si>
  <si>
    <t>https://drive.google.com/open?id=1bwJ9B7rJ0dbF7frJvcorgm5mKwbMj0wK</t>
  </si>
  <si>
    <t>069.939.224-10</t>
  </si>
  <si>
    <t>wjonys@yahoo.com.br</t>
  </si>
  <si>
    <t>Wuilians Jonys Tavares Gabi</t>
  </si>
  <si>
    <t>https://drive.google.com/open?id=1zn3p4c4C7OYuO9QsKYFtyYgBpiM85FZq</t>
  </si>
  <si>
    <t>063.003.764-78</t>
  </si>
  <si>
    <t>jose.soares.0678.pbtec22@escola.pb.gov.br</t>
  </si>
  <si>
    <t>JOSE HILDEMARCIO MENDES SOARES</t>
  </si>
  <si>
    <t>https://drive.google.com/open?id=10rKflQBO3EKIiwrBbAWkc9CPSDkVcPbf</t>
  </si>
  <si>
    <t>036.658.404-90</t>
  </si>
  <si>
    <t>renatoabreu.jp@hotmail.com</t>
  </si>
  <si>
    <t>José Renato da Silva Abreu</t>
  </si>
  <si>
    <t>https://drive.google.com/open?id=1uE3ijKcwsnu5h5DJZg6B2vGFwgLyrvlz</t>
  </si>
  <si>
    <t>078.754.464-73</t>
  </si>
  <si>
    <t>Fernanda Ferreira Santos</t>
  </si>
  <si>
    <t>https://drive.google.com/open?id=1lu23sr0g_XhuBKPyqgNFkvz0B9CACzuk</t>
  </si>
  <si>
    <t>031.634.114-28</t>
  </si>
  <si>
    <t>azevedo.paula78@gmail.com</t>
  </si>
  <si>
    <t>Ana Paula de Oliveira Azevedo</t>
  </si>
  <si>
    <t>https://drive.google.com/open?id=1Y1ani0GEmzrp_jGrylqmC5k5gGFZKsjH</t>
  </si>
  <si>
    <t>102.402.524-11</t>
  </si>
  <si>
    <t>edjaneide.freitas.1011.pbtec21@professor.pb.gov.br</t>
  </si>
  <si>
    <t xml:space="preserve">Edjaneide Silva Freitas </t>
  </si>
  <si>
    <t>https://drive.google.com/open?id=1v3aNJ56Qhkiu3kWU3dhtUd9EQmq0ZU6x</t>
  </si>
  <si>
    <t>012.960.594-80</t>
  </si>
  <si>
    <t>valtercio.albuquerque@see.pb.gov.br</t>
  </si>
  <si>
    <t>VALTÉRCIO ARAÚJO DE ALBUQUERQUE</t>
  </si>
  <si>
    <t>https://drive.google.com/open?id=1f36_N2bHBaFqjTLY-0gUBmvddFNc9Rl-</t>
  </si>
  <si>
    <t>645.251.204-87</t>
  </si>
  <si>
    <t>saulo.leite.6487.pbtec21@professor.pb.gov.br</t>
  </si>
  <si>
    <t>Saulo Ferreira Leite</t>
  </si>
  <si>
    <t>https://drive.google.com/open?id=1EIdVhAS7Xhy7l_WKcjFZ9-7vX0IARRdz</t>
  </si>
  <si>
    <t>071.643.854-24</t>
  </si>
  <si>
    <t>danielcgbatista@gmail.com</t>
  </si>
  <si>
    <t>Daniel Batista Meira Júnior</t>
  </si>
  <si>
    <t>005</t>
  </si>
  <si>
    <t>https://drive.google.com/open?id=1TjUqtOJ6d7w3vsd8Wl4zf2g2uFFEnub0</t>
  </si>
  <si>
    <t>005/2022</t>
  </si>
  <si>
    <t>913.981.184-00</t>
  </si>
  <si>
    <t>cacia.pronatec@gmail.com</t>
  </si>
  <si>
    <t>CACIA ANDREIA DA COSTA E SILVA DE ANDRADE</t>
  </si>
  <si>
    <t>https://drive.google.com/open?id=1UeneGpQjv7F6_Ch_7AfRLIaXtKvJt00p</t>
  </si>
  <si>
    <t>cacia.andrade@see.gov.br</t>
  </si>
  <si>
    <t>Cacia Andreia da Costa e Silva de Andrade</t>
  </si>
  <si>
    <t>https://drive.google.com/open?id=1BuoLFiSFjPEU-eAkpuokG0unVcAiSVoc</t>
  </si>
  <si>
    <t>cacia.andrade@see.pb.gov.br</t>
  </si>
  <si>
    <t>Cacia Andreia da  Costa e Silva de Andrade</t>
  </si>
  <si>
    <t>https://drive.google.com/open?id=1QjpsztT6fY_rCB2nQrPY09pvrahGsXaw</t>
  </si>
  <si>
    <t>076.646.514-41</t>
  </si>
  <si>
    <t>hayanne.neves076646.pbtec@escola.pb.gov.br</t>
  </si>
  <si>
    <t>Hayanne de Freitas Neves</t>
  </si>
  <si>
    <t>https://drive.google.com/open?id=1jGUd9EliASAO15i78v_0RghqjxEY5tcn</t>
  </si>
  <si>
    <t>jose.dantas.0175.pbtec22@escola.pb.gov.br</t>
  </si>
  <si>
    <t>https://drive.google.com/open?id=1_ZtG0o9x4r6_YtPKlVAMk5r7jCXZ2H_m</t>
  </si>
  <si>
    <t>076.559.894-94</t>
  </si>
  <si>
    <t>evilasiojuniorpb@gmail.com</t>
  </si>
  <si>
    <t>EVILASIO FERREIRA DE SOUSA JUNIOR</t>
  </si>
  <si>
    <t>https://drive.google.com/open?id=1MhfsyodUl1I1KjxKOvY8We1JUVgGDx6R</t>
  </si>
  <si>
    <t>kylvia.costa061512.pbtec@escola.pb.gov.br</t>
  </si>
  <si>
    <t>https://drive.google.com/open?id=120qbmc9fArMGJM6DepzyxcA9R1hEgXlE</t>
  </si>
  <si>
    <t>097.390.974-99</t>
  </si>
  <si>
    <t>jornalista.andersonsantana@gmail.com</t>
  </si>
  <si>
    <t xml:space="preserve">Anderson L S Siqueira </t>
  </si>
  <si>
    <t>https://drive.google.com/open?id=1vVdPcLAAagnNdtPZJG_X-Ob3-Ayhrynn</t>
  </si>
  <si>
    <t>059.005.164-40</t>
  </si>
  <si>
    <t>priscillajp@hotmail.com</t>
  </si>
  <si>
    <t>Priscila Fernandes Carvalho de Melo</t>
  </si>
  <si>
    <t>002</t>
  </si>
  <si>
    <t>https://drive.google.com/open?id=1Sj9SESxOGPG5xvIGi4ui6Ud4wVFO7gpS</t>
  </si>
  <si>
    <t>002/2022</t>
  </si>
  <si>
    <t>100.900.404-22</t>
  </si>
  <si>
    <t>monaliza.parnaiba.1022.pbtec21@escola.pb.gov.br</t>
  </si>
  <si>
    <t>Monaliza Araújo Parnaíba</t>
  </si>
  <si>
    <t>https://drive.google.com/open?id=1IA6_K74pgqmtW7dB6kQeV8zteJWAoXwi</t>
  </si>
  <si>
    <t>082.807.394-59</t>
  </si>
  <si>
    <t>jucyaragsilva@gmail.com</t>
  </si>
  <si>
    <t>Jucyara Gomes da Silva</t>
  </si>
  <si>
    <t>https://drive.google.com/open?id=1Ic1JUSnFoirPKROJZnF5acEOvhdGiJIV</t>
  </si>
  <si>
    <t>569.660.914-72</t>
  </si>
  <si>
    <t>magnoalexon@hotmail.com</t>
  </si>
  <si>
    <t>MAGNO ALEXON BEZERRA SEABRA</t>
  </si>
  <si>
    <t>https://drive.google.com/open?id=1J9YDdvI_FEi_zX14Wq-WFfisLPIScQgb</t>
  </si>
  <si>
    <t>065.575.004-57</t>
  </si>
  <si>
    <t>heloisa.pi@hotmail.com</t>
  </si>
  <si>
    <t>Heloísa Melo de Almeida</t>
  </si>
  <si>
    <t>https://drive.google.com/open?id=12nsdWGbZajTQcITSbxardtng0z2gtSbq</t>
  </si>
  <si>
    <t>https://drive.google.com/open?id=1ejF1SxNG01pk4fdVoyBytGYHWZYP4Uqy</t>
  </si>
  <si>
    <t>057.271.024-05</t>
  </si>
  <si>
    <t>palmeira.maxwel@gmail.com</t>
  </si>
  <si>
    <t>JOSÉ MAXWEL PALMEIRA MIRANDA BATISTA</t>
  </si>
  <si>
    <t>https://drive.google.com/open?id=1uXNWmViDPfW6ZXPS99df4GFcxUo1WAas</t>
  </si>
  <si>
    <t>062.585.754-20</t>
  </si>
  <si>
    <t>itectst3@gmail.com</t>
  </si>
  <si>
    <t>Renato Virgolino Lopes</t>
  </si>
  <si>
    <t>https://drive.google.com/open?id=1bEsgW1l_FxTDC4GXpWv_WfnTRekaNfW4</t>
  </si>
  <si>
    <t>012.970.464-47</t>
  </si>
  <si>
    <t>servulu@gmail.com</t>
  </si>
  <si>
    <t>Sérvulu Mário de Paiva Lacerda</t>
  </si>
  <si>
    <t>007</t>
  </si>
  <si>
    <t>https://drive.google.com/open?id=12lFmCvl3r5RaDBPv90FBu-F6UoimDsv1</t>
  </si>
  <si>
    <t>007/2022</t>
  </si>
  <si>
    <t>043.614.884-60</t>
  </si>
  <si>
    <t>eversonmaa@gmail.com</t>
  </si>
  <si>
    <t>Everson Vagner Lucena Santos</t>
  </si>
  <si>
    <t>https://drive.google.com/open?id=1bKxjDJTmxpxVJAKr_vMr38Uxcy4PoPgg</t>
  </si>
  <si>
    <t>080.957.164-13</t>
  </si>
  <si>
    <t>monalisa.olimpio@gmail.com</t>
  </si>
  <si>
    <t>Monalisa dos Santos Olimpio</t>
  </si>
  <si>
    <t>https://drive.google.com/open?id=1ZZ2FxJaxONSU4EH5s2RCZn18awBZVwOO</t>
  </si>
  <si>
    <t>094.611.364-55</t>
  </si>
  <si>
    <t>geymeesson.silva.0955.pbtec21@professor.pb.gov.br</t>
  </si>
  <si>
    <t xml:space="preserve">Geymeesson Brito da Silva </t>
  </si>
  <si>
    <t>https://drive.google.com/open?id=1G3accvFdS5VFdNGLxuzBHSFUVKdpPl2H</t>
  </si>
  <si>
    <t>105.566.654-06</t>
  </si>
  <si>
    <t>anellinsm@hotmail.com</t>
  </si>
  <si>
    <t>Daiane Lins Mendes</t>
  </si>
  <si>
    <t>https://drive.google.com/open?id=173aXupYTBKHKwfpAFVpYQkjaiLiclcuu</t>
  </si>
  <si>
    <t>080.658.254-51</t>
  </si>
  <si>
    <t>vitoriarege.n@gmail.com</t>
  </si>
  <si>
    <t>Vitoria Rege da Nóbrega Lima</t>
  </si>
  <si>
    <t>https://drive.google.com/open?id=1hCiJLWsQrmyUiX83MfplRREJdH0aCqWC</t>
  </si>
  <si>
    <t>072.476.044-09</t>
  </si>
  <si>
    <t>igorsoar7@gmail.com</t>
  </si>
  <si>
    <t>Igor Soares Araújo</t>
  </si>
  <si>
    <t>https://drive.google.com/open?id=1U-Kd_PbAEIO9JsFzJgD9kltDZmnfNb9v</t>
  </si>
  <si>
    <t>071.057.634-00</t>
  </si>
  <si>
    <t>diegosantos@escola.pb.gov.br</t>
  </si>
  <si>
    <t xml:space="preserve">DIEGO INÁCIO DE FREITAS SANTOS </t>
  </si>
  <si>
    <t>https://drive.google.com/open?id=1V54xR_lwUVFP5OYjsXzqAa4oHB1NxlUm</t>
  </si>
  <si>
    <t>084.917.494-54</t>
  </si>
  <si>
    <t>v.netoguimaraes@gmail.com</t>
  </si>
  <si>
    <t>José Vicente Guimarães Neto</t>
  </si>
  <si>
    <t>https://drive.google.com/open?id=1gEKzuuDfWxVPo6iVdvXnJIrOCdCYCbkK</t>
  </si>
  <si>
    <t>014/2022</t>
  </si>
  <si>
    <t>099.934.334-38</t>
  </si>
  <si>
    <t>pc.celson@gmail.com</t>
  </si>
  <si>
    <t>Paulo Celson dos Santos</t>
  </si>
  <si>
    <t>https://drive.google.com/open?id=1qyLHtMADYEe538Cs3Rt2YD1r47HL0H2B</t>
  </si>
  <si>
    <t>https://drive.google.com/open?id=1bDxvKYkURcQWaOm22wyE3c4trUeYZbRJ</t>
  </si>
  <si>
    <t>069.432.574-04</t>
  </si>
  <si>
    <t>karynsousa@gmail.com</t>
  </si>
  <si>
    <t>KARINE HELOISE FELIX DE SOUSA</t>
  </si>
  <si>
    <t>012</t>
  </si>
  <si>
    <t>https://drive.google.com/open?id=10cJl5uhdX3kHIDQrS3Y2pO57xgFp3RyN</t>
  </si>
  <si>
    <t>012/2022</t>
  </si>
  <si>
    <t>065.585.514-97</t>
  </si>
  <si>
    <t>alice.silva.0697.pbtec22@professor.pb.gov.br</t>
  </si>
  <si>
    <t>Alice Gerlane Cardoso da Silva</t>
  </si>
  <si>
    <t>https://drive.google.com/open?id=1HxuSnQxXckZbnRZ0cNfzgpiuZAZG6899</t>
  </si>
  <si>
    <t>040.583.491-82</t>
  </si>
  <si>
    <t>arthursouza381@gmail.com</t>
  </si>
  <si>
    <t>PAULO ARTHUR FERREIRA DE SOUZA BARBOSA</t>
  </si>
  <si>
    <t>https://drive.google.com/open?id=1dz7a3-70OtmmoOumLaiFTTWK-CANO8gp</t>
  </si>
  <si>
    <t>057.938.514-02</t>
  </si>
  <si>
    <t>wesyllis.salvador1@professor.pb.gov.br</t>
  </si>
  <si>
    <t>Wesyllis das Mercês Salvador</t>
  </si>
  <si>
    <t>015</t>
  </si>
  <si>
    <t>https://drive.google.com/open?id=11kDtYWmh15yZm840nXzNnX6RqD7QBikA</t>
  </si>
  <si>
    <t>015/2022</t>
  </si>
  <si>
    <t>760.161.884-68</t>
  </si>
  <si>
    <t>tatianapinange@gmail.com</t>
  </si>
  <si>
    <t>TATIANA MARIA PESSOA PINANGÉ</t>
  </si>
  <si>
    <t>https://drive.google.com/open?id=1yl0SfPR0cMGIcwW5HRbEP2stWQU5P-pI</t>
  </si>
  <si>
    <t>011/2022</t>
  </si>
  <si>
    <t>050.965.714-16</t>
  </si>
  <si>
    <t>teles.tux@gmail.com</t>
  </si>
  <si>
    <t>Teles de Sales Bezerra</t>
  </si>
  <si>
    <t>https://drive.google.com/open?id=1d-ouZEFdieUPGA1_uZtCtbeC106bT4Ym</t>
  </si>
  <si>
    <t>727.349.494-15</t>
  </si>
  <si>
    <t>claudiofisiosantos@gmail.com</t>
  </si>
  <si>
    <t>Claudio da Cruz Santos</t>
  </si>
  <si>
    <t>https://drive.google.com/open?id=1_1yEV1qMYGSsA4g4DXy11zFwRchXcL_y</t>
  </si>
  <si>
    <t>058.883.914-09</t>
  </si>
  <si>
    <t>ana.oliveira.0509.pbtec22@escola.pb.gov.br</t>
  </si>
  <si>
    <t>ANA RAABE PINHEIRO DE OLIVEIRA</t>
  </si>
  <si>
    <t>https://drive.google.com/open?id=1WZuHI4sr7Jhk4o9b1P5SiTjbL02vqBP2</t>
  </si>
  <si>
    <t>350.221.108-65</t>
  </si>
  <si>
    <t>franciel.nunes@gmail.com</t>
  </si>
  <si>
    <t>FRANCIEL DOS SANTOS NUNES</t>
  </si>
  <si>
    <t>https://drive.google.com/open?id=1WZOfmKXG4hkgXP_Bk4HMQUZsHuWbTwyz</t>
  </si>
  <si>
    <t>873.852.794-49</t>
  </si>
  <si>
    <t>silvinhabernardo@yahoo.com.br</t>
  </si>
  <si>
    <t>SILVIA BERNARDO DA SILVA</t>
  </si>
  <si>
    <t>https://drive.google.com/open?id=1ABF4-Z9xiTN6gmQd4JiW-g_XLaZ6Aw0G</t>
  </si>
  <si>
    <t>não</t>
  </si>
  <si>
    <t>https://drive.google.com/open?id=1pVTAjch3oKyJ5DywkHerC1D-Lr5fI36h</t>
  </si>
  <si>
    <t>008.949.844-54</t>
  </si>
  <si>
    <t>alexa.nandinha@hotmail.com</t>
  </si>
  <si>
    <t xml:space="preserve">Fernanda Alexa Tavares Nogueira Simao </t>
  </si>
  <si>
    <t>https://drive.google.com/open?id=1ndEGBFBX3k9bu4FabVgl-06yXUfjaOFl</t>
  </si>
  <si>
    <t>https://drive.google.com/open?id=1CUB4XlgRBjtgZGqEaNdShVGruAQxnGSO</t>
  </si>
  <si>
    <t>061.163.273-03</t>
  </si>
  <si>
    <t>monike.sousa.0603.pbtec22@professor.pb.gov.br</t>
  </si>
  <si>
    <t>Monike de Sousa</t>
  </si>
  <si>
    <t>010</t>
  </si>
  <si>
    <t>https://drive.google.com/open?id=1Ab50S2uMNSZKkCPSHItwPwPvmL6EgLdN</t>
  </si>
  <si>
    <t>010/2022</t>
  </si>
  <si>
    <t>https://drive.google.com/open?id=1Tad-KKkh-jWVh3nT7gFlbQEh9LH7mZAx</t>
  </si>
  <si>
    <t>020</t>
  </si>
  <si>
    <t>https://drive.google.com/open?id=1lULfI2HozPcKYcxPCDpMiJ_Er1jss8Tv</t>
  </si>
  <si>
    <t>020/2022</t>
  </si>
  <si>
    <t>https://drive.google.com/open?id=1ffRwlfE4Il0dEzLLK8ndOfJloqz824Ku</t>
  </si>
  <si>
    <t>004/2022</t>
  </si>
  <si>
    <t>025</t>
  </si>
  <si>
    <t>https://drive.google.com/open?id=1NA_1TkRvkkm181kIC7dODh8OdTJv1VGO</t>
  </si>
  <si>
    <t>025/2022</t>
  </si>
  <si>
    <t>107.614.694-51</t>
  </si>
  <si>
    <t>eduardo.alves1@professor.pb.gov.br</t>
  </si>
  <si>
    <t>EDUARDO FERNANDES DA SILVA ALVES</t>
  </si>
  <si>
    <t>022</t>
  </si>
  <si>
    <t>https://drive.google.com/open?id=16yY6kRf1X9FqcXWCYbVRvyQrZ5d5c0OF</t>
  </si>
  <si>
    <t>022/2022</t>
  </si>
  <si>
    <t>034.007.064-18</t>
  </si>
  <si>
    <t>ligia.menezes02@gmail.com</t>
  </si>
  <si>
    <t>LIGIA DE ARAUJO MENEZES NAVARRO</t>
  </si>
  <si>
    <t>https://drive.google.com/open?id=1NcK9QadbIj4lc8o7z5_EWXu-AeVOSx8a</t>
  </si>
  <si>
    <t>102.374.944-00</t>
  </si>
  <si>
    <t>eliany.silva.1000.pbtec22@escola.pb.gov.br</t>
  </si>
  <si>
    <t>ELIANY MARIA DE MEDEIROS SILVA</t>
  </si>
  <si>
    <t>https://drive.google.com/open?id=1ndUnzd_yvchcQf0W2qLq3UPWQX4dkgMR</t>
  </si>
  <si>
    <t>104.382.414-60</t>
  </si>
  <si>
    <t>allan_willian_2011@hotmail.com</t>
  </si>
  <si>
    <t>Allan Willian Luduvico de Aquino</t>
  </si>
  <si>
    <t>https://drive.google.com/open?id=1wVtBXN5NkfDl9vr_rnr-4EXRHenAQa55</t>
  </si>
  <si>
    <t>108.853.774-00</t>
  </si>
  <si>
    <t>naiandrade45@gmail.om</t>
  </si>
  <si>
    <t>Naiane Andrade de Abreu</t>
  </si>
  <si>
    <t>https://drive.google.com/open?id=12OT3AvaZdCjYmlSRJRyn6-OyGH9mtfNw</t>
  </si>
  <si>
    <t>048.045.731-00</t>
  </si>
  <si>
    <t>nathalia.sts@outlook.com</t>
  </si>
  <si>
    <t>NATHALIA SILVA DOS SANTOS</t>
  </si>
  <si>
    <t>https://drive.google.com/open?id=1UBpMaLjmfZiT73J9NaIKagcce7ClAoPo</t>
  </si>
  <si>
    <t>090.489.944-62</t>
  </si>
  <si>
    <t>nataaliape@gmail.com</t>
  </si>
  <si>
    <t>Natália Machado da Silva</t>
  </si>
  <si>
    <t>https://drive.google.com/open?id=17mg3-qCUAF-Aoh8Lfp3pBIQXgvkikNPt</t>
  </si>
  <si>
    <t>089.937.794-73</t>
  </si>
  <si>
    <t>tassyla.silvas@gmail.com</t>
  </si>
  <si>
    <t xml:space="preserve">Tássyla Ferreira da Silva </t>
  </si>
  <si>
    <t>https://drive.google.com/open?id=1ZMbP62eyDEnBvbpH8n4jJxIvHsL-Vp8k</t>
  </si>
  <si>
    <t>092.963.474-83</t>
  </si>
  <si>
    <t>allyson.espanhol15@gmail.com</t>
  </si>
  <si>
    <t>ALLYSON RAONNE SOARES DO NASCIMENTO</t>
  </si>
  <si>
    <t>023</t>
  </si>
  <si>
    <t>https://drive.google.com/open?id=1_bYffoc8maRiqS7cbRqNzP10MJFgYehM</t>
  </si>
  <si>
    <t>023/2022</t>
  </si>
  <si>
    <t>075.301.864-00</t>
  </si>
  <si>
    <t>jailsamarques@gmail.com</t>
  </si>
  <si>
    <t>Jailsa Marques Barbosa</t>
  </si>
  <si>
    <t>https://drive.google.com/open?id=1tzt-V5daHSJaKnClapEVAHZgzehz8cM8</t>
  </si>
  <si>
    <t>074.545.174-80</t>
  </si>
  <si>
    <t>eloisse_karlla@hotmail.com</t>
  </si>
  <si>
    <t>KARLA ELOISSE ALENCAR DE OLIVEIRA</t>
  </si>
  <si>
    <t>https://drive.google.com/open?id=1c3B8clHuBl5H7ThkfR0SdT4iuEmtVSMU</t>
  </si>
  <si>
    <t>jailsamarques6@gmail.com</t>
  </si>
  <si>
    <t>JAILSA MARQUES BARBOSA</t>
  </si>
  <si>
    <t>https://drive.google.com/open?id=1DhAFYm8QOXijhdozRmQ1ZFrZGEJUAKup</t>
  </si>
  <si>
    <t>yuri.oliveira@see.pb.gov.br</t>
  </si>
  <si>
    <t>Yuri Sousa de Oliveira</t>
  </si>
  <si>
    <t>https://drive.google.com/open?id=1in8jJl1i_Cfmeadg3Qn_mu8wQ8mRCZlX</t>
  </si>
  <si>
    <t>jocimario.pereira.0800.pbtec22@escola.pb.gov.br</t>
  </si>
  <si>
    <t>https://drive.google.com/open?id=1ZsyB7dfrlJlOoGr7NQfV2-2fuYvxSVcW</t>
  </si>
  <si>
    <t>089.207.854-57</t>
  </si>
  <si>
    <t>wallyssonk@gmail.com</t>
  </si>
  <si>
    <t>Wallysson Klebson de Medeiros Silva</t>
  </si>
  <si>
    <t>https://drive.google.com/open?id=1t5oaYyK8EYAEpUWSNa8EZStFt6joRE9J</t>
  </si>
  <si>
    <t>044.209.574-09</t>
  </si>
  <si>
    <t>alfeu.buriti@gmail.com</t>
  </si>
  <si>
    <t>ALFEU BURITI PEREIRA JUNIOR</t>
  </si>
  <si>
    <t>https://drive.google.com/open?id=10E066CHlPSMW3iDB85Wa5XWvmF2b8Gu-</t>
  </si>
  <si>
    <t>077.831.034-56</t>
  </si>
  <si>
    <t>gerlanejoseildalira@gmail.com</t>
  </si>
  <si>
    <t xml:space="preserve">GERLANE JOSEILDA LIRA GOMES </t>
  </si>
  <si>
    <t>https://drive.google.com/open?id=1-r_klnm6DTmdB0IvEixKoQkxXqIpxd3Q</t>
  </si>
  <si>
    <t>032/2022</t>
  </si>
  <si>
    <t>054.795.284-83</t>
  </si>
  <si>
    <t>raynapy@hotmail.com</t>
  </si>
  <si>
    <t>RAYANNE NAPY NEVES</t>
  </si>
  <si>
    <t>https://drive.google.com/open?id=1CMYTFEwz4PlPZhYANOuwZNVFS72nhQ-Z</t>
  </si>
  <si>
    <t>052.102.044-13</t>
  </si>
  <si>
    <t>karlaanjos21@hotmail.com</t>
  </si>
  <si>
    <t>CRISTINA KARLA SOUZA DOS ANJOS TEIXEIRA</t>
  </si>
  <si>
    <t>https://drive.google.com/open?id=1vSn3qPU5ptOA5oraMF-37exfcdsW2NXY</t>
  </si>
  <si>
    <t>079.139.944-36</t>
  </si>
  <si>
    <t>andrade.prm@gmail.com</t>
  </si>
  <si>
    <t>Pablo Ramom Matias de Andrade</t>
  </si>
  <si>
    <t>https://drive.google.com/open?id=1aE_lbj49x8_9EBWN12eAKYGWciPFVGxU</t>
  </si>
  <si>
    <t>098.914.234-50</t>
  </si>
  <si>
    <t>daviabrantes83@gmail.com</t>
  </si>
  <si>
    <t>Davi André da Silva Abrantes</t>
  </si>
  <si>
    <t>https://drive.google.com/open?id=1P0GwvHiISvYcbLzWexJ7tGInN4BxW3rW</t>
  </si>
  <si>
    <t>007.417.564-55</t>
  </si>
  <si>
    <t>waldereeoliveirs@gmail.com</t>
  </si>
  <si>
    <t>WALDEREE WAGNER PEREIRA DE OLIVEIRA</t>
  </si>
  <si>
    <t>https://drive.google.com/open?id=1sVCPD9QRosY3f-WF_b-F8rXq1JVkenjn</t>
  </si>
  <si>
    <t>094.810.124-50</t>
  </si>
  <si>
    <t>joanhcarlos@gmail.com</t>
  </si>
  <si>
    <t>Joan Carlos Santos de Assis</t>
  </si>
  <si>
    <t>https://drive.google.com/open?id=1FJAjhgJj0IC3n7W-W9jlDTsxX-I8VpKg</t>
  </si>
  <si>
    <t>031.991.094-62</t>
  </si>
  <si>
    <t>paulo.carvalho@professor.pb.gov.br</t>
  </si>
  <si>
    <t>PAULO ADRIANO DA SILVA CARVALHO</t>
  </si>
  <si>
    <t>https://drive.google.com/open?id=1iCIawPwaGLH1T4dZS9LQ0CgQCSBVJ589</t>
  </si>
  <si>
    <t>019/2022</t>
  </si>
  <si>
    <t>074.001.154-56</t>
  </si>
  <si>
    <t>pwpatrickwendell@gmail.com</t>
  </si>
  <si>
    <t>Patrick Wendell Freire Cidelino</t>
  </si>
  <si>
    <t>https://drive.google.com/open?id=1xzMzz84gWmCTvjOQXzxM_tTXp2OnDJaa</t>
  </si>
  <si>
    <t>larissasherman94@gmail.com</t>
  </si>
  <si>
    <t xml:space="preserve">Larissa da Silva Sherman </t>
  </si>
  <si>
    <t>https://drive.google.com/open?id=1098le2Merz9S6Q3TpR9n_ail1VOVL_2g</t>
  </si>
  <si>
    <t>021/2022</t>
  </si>
  <si>
    <t>981.085.814-00</t>
  </si>
  <si>
    <t>carlaa_almeida@hotmail.com</t>
  </si>
  <si>
    <t>Carla Maria de Almeida</t>
  </si>
  <si>
    <t>CHARLEY DE SOUZA SILVA</t>
  </si>
  <si>
    <t>https://drive.google.com/open?id=1Lj_vG_BtTHsLH08SDGZeSa_Nyj2Tt9F4</t>
  </si>
  <si>
    <t>033.254.134-72</t>
  </si>
  <si>
    <t>denilsongomes523@gmail.com</t>
  </si>
  <si>
    <t xml:space="preserve">Edenison Gomes de Oliveira </t>
  </si>
  <si>
    <t>https://drive.google.com/open?id=1JVix5KRynkth828K70-il9tOYr6kVymw</t>
  </si>
  <si>
    <t>076.906.484-10</t>
  </si>
  <si>
    <t>mayaragomespl@hotmail.com</t>
  </si>
  <si>
    <t>Mayara Eunice de Macedo Gomes</t>
  </si>
  <si>
    <t>https://drive.google.com/open?id=1-9aKNI_KRHtjIlWRkTV-14N6X8GIqTCa</t>
  </si>
  <si>
    <t>103.309.054-90</t>
  </si>
  <si>
    <t>mateusericles22@gmail.com</t>
  </si>
  <si>
    <t>MATEUS ERICLES BARBOSA EVARISTO</t>
  </si>
  <si>
    <t>https://drive.google.com/open?id=1qZwtDFOnchqyIbDBGyzmA3onUpI7RPvZ</t>
  </si>
  <si>
    <t>067.288.414-31</t>
  </si>
  <si>
    <t>drarthur.queiroga12@gmail.com</t>
  </si>
  <si>
    <t>Artur Xavier Mesquita de Queiroga</t>
  </si>
  <si>
    <t>https://drive.google.com/open?id=1d1arqYcG8cuGrbvQVaUqt2OFbpCEhdkY</t>
  </si>
  <si>
    <t>806.565.104-63</t>
  </si>
  <si>
    <t>luiz.cunha.8063.pbtec22@escola.pb.gov.br</t>
  </si>
  <si>
    <t>LUIZ LUCAS DIAS MEIRELLES DA CUNHA</t>
  </si>
  <si>
    <t>https://drive.google.com/open?id=1B_nDTLSQ2Ovf64kEMioFRnix2gTJlP4R</t>
  </si>
  <si>
    <t>701.256.564-08</t>
  </si>
  <si>
    <t>joffilybrito@gmail.com</t>
  </si>
  <si>
    <t>Ermesson Joffily Gomes de Brito</t>
  </si>
  <si>
    <t>https://drive.google.com/open?id=1uH4Y3w2wAqEj7w-GDJKR9JbjnyGmYBuN</t>
  </si>
  <si>
    <t>FRANCISLEY CARVALHO LEITE</t>
  </si>
  <si>
    <t>https://drive.google.com/open?id=1GMfsaRWBv83AbY98V2hFJzR9mYBJI74y</t>
  </si>
  <si>
    <t>047.545.533-90</t>
  </si>
  <si>
    <t>igorserejo.va@gmail.com</t>
  </si>
  <si>
    <t>Igor Serejo Vale Arcos</t>
  </si>
  <si>
    <t>https://drive.google.com/open?id=1jGwSYEM39UKVikUobH81t-c7iUWHxT8G</t>
  </si>
  <si>
    <t>074.642.944-40</t>
  </si>
  <si>
    <t>carla.almeida@see.pb.gov.br</t>
  </si>
  <si>
    <t>carla maria de almeida</t>
  </si>
  <si>
    <t>MARIA APARECIDA DE SOUSA ALIPIO</t>
  </si>
  <si>
    <t>https://drive.google.com/open?id=1doyaIDuedjt3ibOPOaTCPxojZg0QcE1Y</t>
  </si>
  <si>
    <t>065.639.044-16</t>
  </si>
  <si>
    <t>brunareginacg@gmail.com</t>
  </si>
  <si>
    <t>Bruna Regina dos Santos Silva</t>
  </si>
  <si>
    <t>https://drive.google.com/open?id=1yrR5rulyPYeQ-Fpb3UoOKymlKIq3ueac</t>
  </si>
  <si>
    <t>082.048.156-46</t>
  </si>
  <si>
    <t>florenceveriato@yahoo.com.br</t>
  </si>
  <si>
    <t xml:space="preserve">Florence Taciana Veriato Coura </t>
  </si>
  <si>
    <t>https://drive.google.com/open?id=19YOaMDrHd9Ih6X0DyJQuzmazhXs0GMUA</t>
  </si>
  <si>
    <t>061.334.154-60</t>
  </si>
  <si>
    <t>izabellydutr@gmail.com</t>
  </si>
  <si>
    <t>Izabelly Dutra Fernandes</t>
  </si>
  <si>
    <t>https://drive.google.com/open?id=17lYpFwVuBLgfyNwYXRlDOXnnJBmY9MP5</t>
  </si>
  <si>
    <t>076.107.834-71</t>
  </si>
  <si>
    <t>aridenia.peixoto@hotmail.com</t>
  </si>
  <si>
    <t>aridenia peixoto chaves</t>
  </si>
  <si>
    <t>035</t>
  </si>
  <si>
    <t>https://drive.google.com/open?id=1e8OrybOY8ddQBYoi5lPF6uKfqmbApzRu</t>
  </si>
  <si>
    <t>035/2022</t>
  </si>
  <si>
    <t>298.533.034-34</t>
  </si>
  <si>
    <t>bffonseca@hotmail.com</t>
  </si>
  <si>
    <t>Bento Ferreira da Fonseca</t>
  </si>
  <si>
    <t>https://drive.google.com/open?id=1mQZ2b-v4LzObTJP4lEbaG3kAxuWGd23i</t>
  </si>
  <si>
    <t>086.538.154-22</t>
  </si>
  <si>
    <t>mirellyagroufpb@hotmail.com</t>
  </si>
  <si>
    <t>Mirelly Miguel Porcino</t>
  </si>
  <si>
    <t>https://drive.google.com/open?id=1aukuccxjQMygLA99V1WGfZ9mzwzl-4mY</t>
  </si>
  <si>
    <t>064.717.054-09</t>
  </si>
  <si>
    <t>lysgabriela@gmail.com</t>
  </si>
  <si>
    <t>Lys Gabriela Alves Correia lima</t>
  </si>
  <si>
    <t>https://drive.google.com/open?id=1htb_89l8hIXi0Inyie5n5D6Xmv194IJ4</t>
  </si>
  <si>
    <t>073.335.154-94</t>
  </si>
  <si>
    <t>pczootecnista.1@gmail.com</t>
  </si>
  <si>
    <t>Priscylla Carvalho Vasconcelos</t>
  </si>
  <si>
    <t>https://drive.google.com/open?id=1WNkabOe02_RuwpH_CfmoDwouXfHUuueA</t>
  </si>
  <si>
    <t>adm.sandrapapadopulos@gmail.com</t>
  </si>
  <si>
    <t>SANDRA PAPADOPULOS</t>
  </si>
  <si>
    <t>https://drive.google.com/open?id=1BGwlXgvn8WQEyD3zqgNcfklRdB3zXZyi</t>
  </si>
  <si>
    <t>https://drive.google.com/open?id=1FEdKiSuFIP3rmljpPUUHLO7oNldqSXmU</t>
  </si>
  <si>
    <t>031.546.324-41</t>
  </si>
  <si>
    <t>paullacris.silva@gmail.com</t>
  </si>
  <si>
    <t xml:space="preserve">Paula Cristiane da Silva </t>
  </si>
  <si>
    <t>https://drive.google.com/open?id=1EAwa3b8ZWxPr-wjBGJDZ7dsTA4bPHZgQ</t>
  </si>
  <si>
    <t>938.087.474-04</t>
  </si>
  <si>
    <t>thony.silva.064.mediotec21@escola.pb.gov.br</t>
  </si>
  <si>
    <t>thony robson de oliveira silva</t>
  </si>
  <si>
    <t>CESAR ELY SANTOS DE MELO</t>
  </si>
  <si>
    <t>https://drive.google.com/open?id=1XoTcZad4Oy5I9CniXzWcyZLNVQN5lIou</t>
  </si>
  <si>
    <t>009.145.354-20</t>
  </si>
  <si>
    <t>kathyusciasouza@gmail.com</t>
  </si>
  <si>
    <t xml:space="preserve">Kathyúscia Beserra de Souza </t>
  </si>
  <si>
    <t>https://drive.google.com/open?id=1V1hvkcbIrGDkMcEn9xUseOtH9K7X-CYS</t>
  </si>
  <si>
    <t>061.885.684-63</t>
  </si>
  <si>
    <t>flaviozoo@hotmail.com</t>
  </si>
  <si>
    <t>Flávio Gomes de Oliveira</t>
  </si>
  <si>
    <t>https://drive.google.com/open?id=1L3NC11JUmxiU7o4PBvSp5xle4XqIPT25</t>
  </si>
  <si>
    <t>057.109.464-35</t>
  </si>
  <si>
    <t>celimaranhao77@gmail.com</t>
  </si>
  <si>
    <t xml:space="preserve">Celina da silva Maranhão </t>
  </si>
  <si>
    <t>https://drive.google.com/open?id=1BVYJYehgE46IDoAJ205u0Vl3lLvr3TIj</t>
  </si>
  <si>
    <t>119.477.784-80</t>
  </si>
  <si>
    <t>paulo.pereira.1180.pbtec22@escola.pb.gov.br</t>
  </si>
  <si>
    <t>Paulo Ricardo Ferreira Pereira</t>
  </si>
  <si>
    <t>https://drive.google.com/open?id=13q8Ec6c_BZu6zjUWSsYqpTBQQ5giHb5o</t>
  </si>
  <si>
    <t>126.718.044-74</t>
  </si>
  <si>
    <t>eduardo.alves@see.pb.gov.br</t>
  </si>
  <si>
    <t>Eduardo Rodrigues Alves</t>
  </si>
  <si>
    <t>https://drive.google.com/open?id=1RLv6M9gnn99_YFuGM16x0waGXHJMPJju</t>
  </si>
  <si>
    <t>032.266.024-62</t>
  </si>
  <si>
    <t>carlaratorres@gmail.com</t>
  </si>
  <si>
    <t>CARLA ROSSANA DE ARAUJO TORRES NOGUEIRA</t>
  </si>
  <si>
    <t>https://drive.google.com/open?id=1bZAjqhvkViLBmMhLAWSU0sncXzWKniMa</t>
  </si>
  <si>
    <t>NÃO</t>
  </si>
  <si>
    <t>https://drive.google.com/open?id=1M9X6kORQlXZGYFNfAn7euM3OPVnOs4jm</t>
  </si>
  <si>
    <t>893.666.464-68</t>
  </si>
  <si>
    <t>basiliodasilva18@gmail.com</t>
  </si>
  <si>
    <t>Alessandra  Basilio da  Silva</t>
  </si>
  <si>
    <t>https://drive.google.com/open?id=11gvCSPBpJquEd_P16Q3Q_Zij1dMgPtmQ</t>
  </si>
  <si>
    <t>917.923.124-15</t>
  </si>
  <si>
    <t>iara.garcia@see.pb.gov.br</t>
  </si>
  <si>
    <t>IARA LUCY DE LEMOS GARCIA</t>
  </si>
  <si>
    <t>https://drive.google.com/open?id=1HukiQW15XlmE-xETmCgbwJdKr1Vy--oN</t>
  </si>
  <si>
    <t>097.188.254-10</t>
  </si>
  <si>
    <t>antonione.pontes@gmail.com</t>
  </si>
  <si>
    <t>ANTONIONE PONTES ABRANTES</t>
  </si>
  <si>
    <t>https://drive.google.com/open?id=1KWaHCbIqoYW331RGbsOi_n-6DIjpCyxQ</t>
  </si>
  <si>
    <t>114.917.464-16</t>
  </si>
  <si>
    <t>renata.martins.1116.pbtec22@professor.pb.gov.br</t>
  </si>
  <si>
    <t>Renata de Lima Martins</t>
  </si>
  <si>
    <t>https://drive.google.com/open?id=1YDPuFb1HgV5S58QNB1_S-dUVfz6IL465</t>
  </si>
  <si>
    <t>702.695.774-08</t>
  </si>
  <si>
    <t>professorzefilho@gmail.com</t>
  </si>
  <si>
    <t>José de Arimatea Santos Filho</t>
  </si>
  <si>
    <t>https://drive.google.com/open?id=1_MRDIr0q46GiC7QQzqkI5-iJwp66Tl_a</t>
  </si>
  <si>
    <t>008.497.294-75</t>
  </si>
  <si>
    <t>ramalhonetoagro@gmail.com</t>
  </si>
  <si>
    <t>JOSE DE SOUSA RAMALHO NETO</t>
  </si>
  <si>
    <t>https://drive.google.com/open?id=1LO2VhliBh96YuXY0my1rSgf5YR54foqN</t>
  </si>
  <si>
    <t>065.252.144-40</t>
  </si>
  <si>
    <t>emanoel.martins.0640.pbtec22@escola.pb.gov.br</t>
  </si>
  <si>
    <t>EMANOEL LIMA MARTINS</t>
  </si>
  <si>
    <t>https://drive.google.com/open?id=1xvLaUhgO5s-QqSOvaPW4sNkpcj3WKcjx</t>
  </si>
  <si>
    <t>048.935.424-60</t>
  </si>
  <si>
    <t>batistasume01@gmail.com</t>
  </si>
  <si>
    <t>Carlos Alexandre Batista da Silva</t>
  </si>
  <si>
    <t>https://drive.google.com/open?id=1dpSEnQPV9NkyM9xkJlvP90dI8hvlnjtd</t>
  </si>
  <si>
    <t>708.211.464-83</t>
  </si>
  <si>
    <t>rubisvan13@gmail.com</t>
  </si>
  <si>
    <t xml:space="preserve">Rubisvan Paulo Batista Dias </t>
  </si>
  <si>
    <t>https://drive.google.com/open?id=1eI5hjO317xEzTVOGnmG4I-ON4t4fdh7a</t>
  </si>
  <si>
    <t>559.441.674-91</t>
  </si>
  <si>
    <t>jailsomvirgolino@gmail.com</t>
  </si>
  <si>
    <t>JAILSOM VIRGOLINO GONÇALVES</t>
  </si>
  <si>
    <t>https://drive.google.com/open?id=15srbGp4hh1Bw1LE3yzxeBTZBWVbIGvBz</t>
  </si>
  <si>
    <t>025.071.864-29</t>
  </si>
  <si>
    <t>maruska.souza.0069.pbtec22@escola.pb.gov.br</t>
  </si>
  <si>
    <t>Maruska Maria Meneses de Souza</t>
  </si>
  <si>
    <t>Maria Andrea Silva do Nascimento</t>
  </si>
  <si>
    <t>COORD LOCAL</t>
  </si>
  <si>
    <t>https://drive.google.com/open?id=1Edor-OvR-ipRLevLLmU43725Xy6hXZwl</t>
  </si>
  <si>
    <t>055.212.824-40</t>
  </si>
  <si>
    <t>paula.leite.0540.pbtec22@professor.pb.gov.br</t>
  </si>
  <si>
    <t>PAULA DOS SANTOS LEITE</t>
  </si>
  <si>
    <t>https://drive.google.com/open?id=1r6F577ygLnS3g7Y1py3m6Do8ABqlG6bK</t>
  </si>
  <si>
    <t>666.954.223-20</t>
  </si>
  <si>
    <t>abel_agro@yahoo.com.br</t>
  </si>
  <si>
    <t>Francisco Abel Lemos Alves</t>
  </si>
  <si>
    <t>https://drive.google.com/open?id=1WKnrurXS0sq88LYNNcgmf4g6REu5lndY</t>
  </si>
  <si>
    <t>027.798.834-99</t>
  </si>
  <si>
    <t>cidasilva@professor.pb.gov.br</t>
  </si>
  <si>
    <t>MARIA APARECIDA DA SILVA</t>
  </si>
  <si>
    <t>https://drive.google.com/open?id=1GQZ5ltOoB-0bcCrggSycYH_CxxNqsEkf</t>
  </si>
  <si>
    <t>075.625.584-85</t>
  </si>
  <si>
    <t>emilianaog@gmail.com</t>
  </si>
  <si>
    <t>emiliana de oliveira generino</t>
  </si>
  <si>
    <t>https://drive.google.com/open?id=1kst5NPa0NUtbObFb0rF6gs62YAOO1sv_</t>
  </si>
  <si>
    <t>119.546.994-25</t>
  </si>
  <si>
    <t>elizaalexandre22@gmail.com</t>
  </si>
  <si>
    <t>Eliza Alexandre dos Santos</t>
  </si>
  <si>
    <t>https://drive.google.com/open?id=1VdAvUDVD1-Mw_z-LuyIZXt8dT83zVWk1</t>
  </si>
  <si>
    <t xml:space="preserve">Jailsa Marques Barbosa </t>
  </si>
  <si>
    <t>https://drive.google.com/open?id=1NJRrEcvnRWEE6MysGx6Lo4QLadw5uX7A</t>
  </si>
  <si>
    <t>213.123.848-75</t>
  </si>
  <si>
    <t>tonaturais@gmail.com</t>
  </si>
  <si>
    <t>WELLINGTON MARCHI PAES</t>
  </si>
  <si>
    <t>https://drive.google.com/open?id=1IHEpVwumMtbQ1AJMw-Ctoqffuj-YEiSv</t>
  </si>
  <si>
    <t>096.392.494-08</t>
  </si>
  <si>
    <t>barrosviviane89@gmail.com</t>
  </si>
  <si>
    <t>VIVIANE PRISCILA BARROS DE MEDEIROS</t>
  </si>
  <si>
    <t>https://drive.google.com/open?id=1z4WiHAy6JkV6wLECuS4AxCSItY5Z8N01</t>
  </si>
  <si>
    <t>043.668.944-83</t>
  </si>
  <si>
    <t>francinildasousa6@gmail.com</t>
  </si>
  <si>
    <t>FRANCINILDA ALVES DE SOUSA</t>
  </si>
  <si>
    <t>https://drive.google.com/open?id=1knHCLZUqseB3QuJ3aTMzPhpUYsm8LJYr</t>
  </si>
  <si>
    <t>059.294.894-32</t>
  </si>
  <si>
    <t>tiago.pessoavw@gmail.com</t>
  </si>
  <si>
    <t xml:space="preserve">Tiago de Carvalho Pessoa </t>
  </si>
  <si>
    <t>https://drive.google.com/open?id=1z-n8b8wuoHRY-pdgelX905O82p2PMQCb</t>
  </si>
  <si>
    <t>https://drive.google.com/open?id=1gXmJ4_H-UDlFATCSyBgmBxzh8j7uqXFd</t>
  </si>
  <si>
    <t>104.600.234-11</t>
  </si>
  <si>
    <t>josi.silvabio@hotmail.com</t>
  </si>
  <si>
    <t>Josemária Silva de França</t>
  </si>
  <si>
    <t>https://drive.google.com/open?id=1ZeJITYaR-xTCtiyUpBMj5g2D_Y3yKJj-</t>
  </si>
  <si>
    <t>110.951.854-46</t>
  </si>
  <si>
    <t>jose.santos.1146.pbtec22@escola.pb.gov.br</t>
  </si>
  <si>
    <t>José Lucas Castro dos Santos</t>
  </si>
  <si>
    <t>009</t>
  </si>
  <si>
    <t>https://drive.google.com/open?id=1G-mztcP21x1KGrGo4A60k-Aqa3baNb3H</t>
  </si>
  <si>
    <t>009/2022</t>
  </si>
  <si>
    <t>106.977.464-29</t>
  </si>
  <si>
    <t>alef.santos.1029.pbtec22@escola.pb.gov.br</t>
  </si>
  <si>
    <t xml:space="preserve">Álef Mendes dos Santos </t>
  </si>
  <si>
    <t>https://drive.google.com/open?id=1t5Qym7O6zKV5vNfWgt4XrRIR_-POZd8J</t>
  </si>
  <si>
    <t>054.740.304-60</t>
  </si>
  <si>
    <t>maria.estrela.0560.pbtec22@escola.pb.gov.br</t>
  </si>
  <si>
    <t>Maria Alexandra Estrela</t>
  </si>
  <si>
    <t>https://drive.google.com/open?id=1t7n0v3q7ztbEFDI8fQSlvs5sPMuLtSE_</t>
  </si>
  <si>
    <t>033.403.295-40</t>
  </si>
  <si>
    <t>ewerton.torres.0340.pbtec22@professor.pb.gov.br</t>
  </si>
  <si>
    <t>Ewerton José de Medeiros Torres</t>
  </si>
  <si>
    <t>https://drive.google.com/open?id=1b6Vcpm-Bjea0SeKNwxgaZPK0ht4koNB4</t>
  </si>
  <si>
    <t xml:space="preserve">Maria Alexandra Estrela </t>
  </si>
  <si>
    <t>https://drive.google.com/open?id=1IB6A86E4usHNgv-_LKVJI4ZYvXzjkCN9</t>
  </si>
  <si>
    <t>111.655.204-35</t>
  </si>
  <si>
    <t>brunacsadm@gmail.com</t>
  </si>
  <si>
    <t>Bruna Cordeiro de Sousa</t>
  </si>
  <si>
    <t>https://drive.google.com/open?id=1INpOE37qXq5tYq8foDkVUF5HGvkgvhD9</t>
  </si>
  <si>
    <t>029.101.054-74</t>
  </si>
  <si>
    <t>edilenesantosster@gmail.com</t>
  </si>
  <si>
    <t>Edilene Dias Santos</t>
  </si>
  <si>
    <t>https://drive.google.com/open?id=1g8RkPEDDOFf7SCT77SDeCl8pjcWxO_-A</t>
  </si>
  <si>
    <t>010.402.294-92</t>
  </si>
  <si>
    <t>anameliamelo@gmail.com</t>
  </si>
  <si>
    <t>Anamélia Cavalcanti Carvalho de Melo</t>
  </si>
  <si>
    <t>https://drive.google.com/open?id=1DLShbF6RpepctAVB1wlt4Kx3VXchEsLr</t>
  </si>
  <si>
    <t>261.777.734-00</t>
  </si>
  <si>
    <t>Gaspar de Lemos Alcântara</t>
  </si>
  <si>
    <t>https://drive.google.com/open?id=10-zy0sZmtQk2PmvepDNfl0O9lFaH2vhX</t>
  </si>
  <si>
    <t>https://drive.google.com/open?id=1HXBKUwGJmfOMv2pv5VQ-mvqHYRnOb2ET</t>
  </si>
  <si>
    <t>051.976.684-90</t>
  </si>
  <si>
    <t>contato@juliananobrega.adv.br</t>
  </si>
  <si>
    <t>Juliana Targino Nóbrega</t>
  </si>
  <si>
    <t>034</t>
  </si>
  <si>
    <t>https://drive.google.com/open?id=1laOUQW6IE5nqa5X57zqOVEJiDHMBuLty</t>
  </si>
  <si>
    <t>034/2022</t>
  </si>
  <si>
    <t>anderson.siqueira.0999.pbtec22@escola.pb.gov.br</t>
  </si>
  <si>
    <t xml:space="preserve">Anderson Luan Santana Siqueira </t>
  </si>
  <si>
    <t>https://drive.google.com/open?id=1aVB-x0XUNhhRiCTxEXWuPBoDr1377e_B</t>
  </si>
  <si>
    <t>038.779.463-80</t>
  </si>
  <si>
    <t>rafaelsoares245@gmail.com</t>
  </si>
  <si>
    <t>Rafael Rodrigues Soares</t>
  </si>
  <si>
    <t>https://drive.google.com/open?id=1OzXbiyXVtf5hWcqCYLdO2QdLKyck-wP7</t>
  </si>
  <si>
    <t>090.385.124-57</t>
  </si>
  <si>
    <t>jgaspar.pb@gmail.com</t>
  </si>
  <si>
    <t>JEFFESON GASPAR DO NASCIMENTO</t>
  </si>
  <si>
    <t>https://drive.google.com/open?id=1Att9feephMZs2ehv-kFEicPcq4dEN5KW</t>
  </si>
  <si>
    <t>117.408.594-05</t>
  </si>
  <si>
    <t>mariagiselybiologia@gmail.com</t>
  </si>
  <si>
    <t>MARIA GISELY BARBOSA DE OLIVEIRA</t>
  </si>
  <si>
    <t>https://drive.google.com/open?id=1DlLO-xvYknlwmnHoeE0P4tazTgEnz5QI</t>
  </si>
  <si>
    <t>052.447.744-25</t>
  </si>
  <si>
    <t>ricsony_79@yahoo.com.br</t>
  </si>
  <si>
    <t>Ricardo Carneiro Montes</t>
  </si>
  <si>
    <t>https://drive.google.com/open?id=1-sEvljFi_6q3etZMv_1ZUNr9bRedhG_W</t>
  </si>
  <si>
    <t>064.109.324-13</t>
  </si>
  <si>
    <t>anickcosta2018@gmail.com</t>
  </si>
  <si>
    <t xml:space="preserve">Anick Caroline da Costa Viana </t>
  </si>
  <si>
    <t>https://drive.google.com/open?id=1gJpDF7FwHRNHkCEV_BFme4n1GGaCKg4j</t>
  </si>
  <si>
    <t>099.359.584-77</t>
  </si>
  <si>
    <t>fernanda.farias.0977.pbtec22@escola.pb.gov</t>
  </si>
  <si>
    <t xml:space="preserve">Fernanda Crystina Fernandes de Farias </t>
  </si>
  <si>
    <t>006</t>
  </si>
  <si>
    <t>https://drive.google.com/open?id=1JuNLNIzRjbvnLcUNiR5A5X0bCvAYb-jU</t>
  </si>
  <si>
    <t>018.355.404-30</t>
  </si>
  <si>
    <t>felipecesar701@gmail.com</t>
  </si>
  <si>
    <t>Felipe César da Silva Brito</t>
  </si>
  <si>
    <t>https://drive.google.com/open?id=1rJYdyt2prJaO7MGtFpHRUXQ3cTT4Qhnp</t>
  </si>
  <si>
    <t>096.846.764-41</t>
  </si>
  <si>
    <t>tarcyziojose@gmail.com</t>
  </si>
  <si>
    <t>Tarcyzio José dos Santos Nascimento</t>
  </si>
  <si>
    <t>SUPERVISOR DE ESTÁGIO</t>
  </si>
  <si>
    <t>https://drive.google.com/open?id=14WBWEh18_wifWWIPBRip0AQ_rObKpfpT</t>
  </si>
  <si>
    <t>111.615.264-98</t>
  </si>
  <si>
    <t>roberta.domingos@professor.pb.gov.br</t>
  </si>
  <si>
    <t>ROBERTA LETÍCIA DE CASTRO DOMINGOS</t>
  </si>
  <si>
    <t>COORDENADOR ESPECIAL</t>
  </si>
  <si>
    <t>https://drive.google.com/open?id=11IcqVxfUj6MruZURDs3q4-xIumEdOhjw</t>
  </si>
  <si>
    <t>094.900.857-58</t>
  </si>
  <si>
    <t>thiago.vieira@professor.pb.gov.br</t>
  </si>
  <si>
    <t>Thiago da Fonseca Vieira</t>
  </si>
  <si>
    <t>https://drive.google.com/open?id=1SRzV5-lxBqC8-hJ17ew-xW1EBevut2w2</t>
  </si>
  <si>
    <t>068.759.244-55</t>
  </si>
  <si>
    <t>ADMVILAR@GMAIL.COM</t>
  </si>
  <si>
    <t>JULIO CESAR BEZERRA VILAR DA SILVA</t>
  </si>
  <si>
    <t>https://drive.google.com/open?id=1AbCjXU05ybxTx9O8RPXffh9SqkdGWbYP</t>
  </si>
  <si>
    <t>056.756.094-58</t>
  </si>
  <si>
    <t>alex.sousa3@professor.pb.gov.br</t>
  </si>
  <si>
    <t>Alex Monteiro Sousa</t>
  </si>
  <si>
    <t>https://drive.google.com/open?id=1h57RX-PAmVQDZp0wyfjceDfY2cqpVXcn</t>
  </si>
  <si>
    <t>101.599.774-01</t>
  </si>
  <si>
    <t>rhayssasilveira@see.pb.gov.br</t>
  </si>
  <si>
    <t>Rhayssa Maria Silveira de Almeida</t>
  </si>
  <si>
    <t>https://drive.google.com/open?id=1m75OnsYpOZ8UOkOsIKhP3zCa-niLtTHA</t>
  </si>
  <si>
    <t>062.360.464-76</t>
  </si>
  <si>
    <t>remo.dantas@professor.pb.gov.br</t>
  </si>
  <si>
    <t>Remo Peixoto Dantas</t>
  </si>
  <si>
    <t>https://drive.google.com/open?id=1ErNXE3puhObO4XGivIPl4ryuN6K_zS3t</t>
  </si>
  <si>
    <t>046.802.764-52</t>
  </si>
  <si>
    <t>kildarejunior@gmail.com</t>
  </si>
  <si>
    <t>Kildare de Góes Rodrigues Júnior</t>
  </si>
  <si>
    <t>https://drive.google.com/open?id=1-XtZMTpzAc-ka4m_3FI2gAKrUtH371lb</t>
  </si>
  <si>
    <t>079.194.884-60</t>
  </si>
  <si>
    <t>jessica.machado.079.mediotec21@escola.pb.gov.br</t>
  </si>
  <si>
    <t>Jessica Gomes Machado</t>
  </si>
  <si>
    <t>https://drive.google.com/open?id=1x81Qr2ImXRMfYpLrF3aZMw1unNi_s4bb</t>
  </si>
  <si>
    <t>Jéssica Gomes Machado</t>
  </si>
  <si>
    <t>https://drive.google.com/open?id=14jjs13qOK7b6ezWXOcedCAj2gCbQ-deL</t>
  </si>
  <si>
    <t>SOLICITAÇÃO DUPLICADA</t>
  </si>
  <si>
    <t>092.975.604-58</t>
  </si>
  <si>
    <t>jefc21@gmail.com</t>
  </si>
  <si>
    <t>JOSÉ ERIC FRANCISCO DA COSTA</t>
  </si>
  <si>
    <t>https://drive.google.com/open?id=1Qt8zzCutEHxal39F_j136zqbj7uYJb4h</t>
  </si>
  <si>
    <t>038/2022</t>
  </si>
  <si>
    <t>009.386.554-69</t>
  </si>
  <si>
    <t>https://drive.google.com/open?id=1Sbwx_W5slThSnYdRHU1OzdGoB3_tCQTW</t>
  </si>
  <si>
    <t>036.677.104-37</t>
  </si>
  <si>
    <t>manoel.junior.036.mediotec21@escola.pb.gov.br</t>
  </si>
  <si>
    <t>MANOEL DE ARAUJO LIMA JUNIOR</t>
  </si>
  <si>
    <t>https://drive.google.com/open?id=1GSASLNq7M3uUQbo-WWmTTj3e4T3ohspk</t>
  </si>
  <si>
    <t>518.688.814-15</t>
  </si>
  <si>
    <t>joseneide.apolinario@gmail.com</t>
  </si>
  <si>
    <t>MARIA JOSENEIDE APOLINARIO</t>
  </si>
  <si>
    <t>https://drive.google.com/open?id=14YUk1s-COQowrih6jAmmW3pxMzdeT7Lw</t>
  </si>
  <si>
    <t>068.682.644-29</t>
  </si>
  <si>
    <t>valeria.silva.0629.pbtec22@escola.pb.gov.br</t>
  </si>
  <si>
    <t>VALERIA PATRICIA ARAUJO SILVA</t>
  </si>
  <si>
    <t>https://drive.google.com/open?id=1gvye0KaRgl_JV9HYzQdYFv98_PZoFrn7</t>
  </si>
  <si>
    <t>046.097.684-29</t>
  </si>
  <si>
    <t>maira.santos@see.pb.gov.br</t>
  </si>
  <si>
    <t>Maíra Cordeiro dos Santos</t>
  </si>
  <si>
    <t>https://drive.google.com/open?id=1JZP9OpV2QXVIGWDcxoJTvnpZnd_mdMvM</t>
  </si>
  <si>
    <t>076.482.134-27</t>
  </si>
  <si>
    <t>https://drive.google.com/open?id=1YoLaAInWWzbZBttnnTUuHI_FXY9Oxyus</t>
  </si>
  <si>
    <t>https://drive.google.com/open?id=13c583oINi61uG_OrmShiDjf2QgCM6gQZ</t>
  </si>
  <si>
    <t>082.254.334-67</t>
  </si>
  <si>
    <t>thayna.ead@gmail.com</t>
  </si>
  <si>
    <t>THAYNA KATHARYNE PEREIRA ALVES</t>
  </si>
  <si>
    <t>055</t>
  </si>
  <si>
    <t>https://drive.google.com/open?id=1Q4OVEBMqv6NkYk6oocUDfzOla72F0SCJ</t>
  </si>
  <si>
    <t>055/2022</t>
  </si>
  <si>
    <t>108.181.824-74</t>
  </si>
  <si>
    <t>abrantesdebora9@gmail.com</t>
  </si>
  <si>
    <t xml:space="preserve">Débora Karyne da Silva Abrantes </t>
  </si>
  <si>
    <t>https://drive.google.com/open?id=1IcfqWVSuUCBb1-uRHgH4ek2eJu-wIvoh</t>
  </si>
  <si>
    <t>MAYARA EUNICE DE MACEDO GOMES</t>
  </si>
  <si>
    <t>https://drive.google.com/open?id=17XduwUwSqJq-58Ui9IWmXuuC37yMY3es</t>
  </si>
  <si>
    <t>025.805.474-36</t>
  </si>
  <si>
    <t>eliabe.afonso@gmail.com</t>
  </si>
  <si>
    <t>Eliabe Afonso de Sousa</t>
  </si>
  <si>
    <t>054</t>
  </si>
  <si>
    <t>https://drive.google.com/open?id=1n49NT59gujfYZCOX3bbHlAYo7UPN1ppk</t>
  </si>
  <si>
    <t>054/2022</t>
  </si>
  <si>
    <t>789.022.154-15</t>
  </si>
  <si>
    <t>alandey.severo@academico.ufpb.br</t>
  </si>
  <si>
    <t>ALANDEY SEVERO LEITE DA SILVA</t>
  </si>
  <si>
    <t>https://drive.google.com/open?id=1iR9XaaOEr7Xo3MONye8ARpR6fGUx7pC3</t>
  </si>
  <si>
    <t>edilenecg_dias@hotmail.com</t>
  </si>
  <si>
    <t>https://drive.google.com/open?id=163HxwTCN0rRY0xHoJj7bmEFtCjIKTLMC</t>
  </si>
  <si>
    <t>337.140.418-85</t>
  </si>
  <si>
    <t>febfernando@gmail.com</t>
  </si>
  <si>
    <t>FERNANDO ALVES BARBOSA LIMA</t>
  </si>
  <si>
    <t>https://drive.google.com/open?id=1yMoTaCRwP6dff-DNDNCHyeenDzKtHIWO</t>
  </si>
  <si>
    <t>085.826.324-60</t>
  </si>
  <si>
    <t>prof.pedroivo.sn@gmail.com</t>
  </si>
  <si>
    <t>Pedro Ivo Silva da Nóbrega</t>
  </si>
  <si>
    <t>https://drive.google.com/open?id=1ZrW0dWkohzFbPifGyqtsMB-CNfj6Hj2e</t>
  </si>
  <si>
    <t>100.004.464-59</t>
  </si>
  <si>
    <t>kellyson.abc@gmail.com</t>
  </si>
  <si>
    <t>KELLYSON VINICIOS RODRIGUES DE OLIVEIRA PACIFICO</t>
  </si>
  <si>
    <t>https://drive.google.com/open?id=1lNbUo1pGTfCmczeFSdloecsxxM_R1pXt</t>
  </si>
  <si>
    <t>050.667.454-16</t>
  </si>
  <si>
    <t>WSF2@CIN.UFPE.BR</t>
  </si>
  <si>
    <t>WILLIBY DA SILVA FERREIRA</t>
  </si>
  <si>
    <t>https://drive.google.com/open?id=1k7ywnOK1uurhRdKg5VV_fyjl_fAc5wxj</t>
  </si>
  <si>
    <t>063.866.484-55</t>
  </si>
  <si>
    <t>glauberlucioti@gmail.com</t>
  </si>
  <si>
    <t xml:space="preserve">Glauber Lucio de Araujo Guedes </t>
  </si>
  <si>
    <t>https://drive.google.com/open?id=1O6R2xZS2-DriUza1gXXGWoN2ih_y_Knn</t>
  </si>
  <si>
    <t>126.731.314-50</t>
  </si>
  <si>
    <t>murilo.silva.1250.pbtec22@professor.pb.gov.br</t>
  </si>
  <si>
    <t>MURILO GABRIEL DA COSTA SILVA</t>
  </si>
  <si>
    <t>https://drive.google.com/open?id=1wd6D5nCb7WFjeMzXH3W3w0EkD9RveCWY</t>
  </si>
  <si>
    <t>016.880.664-97</t>
  </si>
  <si>
    <t>fernandosilvere@gmail.com</t>
  </si>
  <si>
    <t>Fernando de Medeiros Silva</t>
  </si>
  <si>
    <t>https://drive.google.com/open?id=1xm8hXqEd74OakpFICwMrCKx15tken4Sj</t>
  </si>
  <si>
    <t>050.091.354-42</t>
  </si>
  <si>
    <t>elis.sdeluna@gmail.com</t>
  </si>
  <si>
    <t>Elisangela Silva de Luna</t>
  </si>
  <si>
    <t>https://drive.google.com/open?id=1QYmvUf0A6oOE3__nkLsy5u0EG2WVlNnD</t>
  </si>
  <si>
    <t>EQUIPE SEDE</t>
  </si>
  <si>
    <t>024.592.314-40</t>
  </si>
  <si>
    <t>professor@joaoademar.com</t>
  </si>
  <si>
    <t>João Ademar de Andrade Lima</t>
  </si>
  <si>
    <t>https://drive.google.com/open?id=1Dj2hYsG9Zli2oeE8KvyHZi5WvqenhlOs</t>
  </si>
  <si>
    <t>024.592.314-41</t>
  </si>
  <si>
    <t>vitoriasolenea@hotmail.com</t>
  </si>
  <si>
    <t>MARIA DA VITORIA SILVA ALVES</t>
  </si>
  <si>
    <t>063.378.784-18</t>
  </si>
  <si>
    <t>https://drive.google.com/open?id=1ZojF5Qdi2-UFZZBgWtH9Xj6cRIo8GpJj</t>
  </si>
  <si>
    <t>024.592.314-42</t>
  </si>
  <si>
    <t>maria.alves.0618.pbtec22@escola.pb.gov.br</t>
  </si>
  <si>
    <t xml:space="preserve">MARIA DA VITORIA SILVA ALVES </t>
  </si>
  <si>
    <t>https://drive.google.com/open?id=1EBpoV-DpwEfW_GBSK5RuZPBPmnTfzsd7</t>
  </si>
  <si>
    <t>030.076.904-04</t>
  </si>
  <si>
    <t>ricardoamaral1@yahoo.com.br</t>
  </si>
  <si>
    <t>Ricardo Alexandre Amaral Muniz</t>
  </si>
  <si>
    <t>https://drive.google.com/open?id=1uT5BxGiQcD18PeM54jTd-UPy6OYWKsXo</t>
  </si>
  <si>
    <t>024.855.633-90</t>
  </si>
  <si>
    <t>pedro.pulquerio.0290.pbtec22@escola.pb.gov.br</t>
  </si>
  <si>
    <t>PEDRO HENRIQUE MENEZES PULQUERIO</t>
  </si>
  <si>
    <t>https://drive.google.com/open?id=1t5Doqjj9hY9mnRemYZ48JxoflCoaqUKd</t>
  </si>
  <si>
    <t>079.618.527-19</t>
  </si>
  <si>
    <t>rodrigogduarte@gmail.com</t>
  </si>
  <si>
    <t>Rodrigo Garcia Duarte</t>
  </si>
  <si>
    <t>https://drive.google.com/open?id=1cQ0YP83uOYXKy_4G5x93eBXAGofH0TiD</t>
  </si>
  <si>
    <t>054.559.043-45</t>
  </si>
  <si>
    <t>admclaudineyborges@gmail.com</t>
  </si>
  <si>
    <t>JOSE CLAUDINEY OLIVEIRA BORGES</t>
  </si>
  <si>
    <t>https://drive.google.com/open?id=1uNGKZcIqeTOxttsFbCKdHRVLHswY8xLG</t>
  </si>
  <si>
    <t>058.218.294-88</t>
  </si>
  <si>
    <t>levyda28@gmail.com</t>
  </si>
  <si>
    <t>Ana Claudia Ferreira dos Santos</t>
  </si>
  <si>
    <t>https://drive.google.com/open?id=1wGnbXWEukFMGrJZtvqY1us9LMUJSeBUC</t>
  </si>
  <si>
    <t>110.359.134-70</t>
  </si>
  <si>
    <t>jadenice.santana@gmail.com</t>
  </si>
  <si>
    <t>MARIA JADENICE DE SANTANA SILVA</t>
  </si>
  <si>
    <t>https://drive.google.com/open?id=14Wl2-Ojd0pJr8PP-Fw_H2dqhX-qkNZu3</t>
  </si>
  <si>
    <t>112.619.024-16</t>
  </si>
  <si>
    <t>laudenormelo@hotmail.com</t>
  </si>
  <si>
    <t>Laudenor Morais Correia de melo Assunção</t>
  </si>
  <si>
    <t>https://drive.google.com/open?id=1xIGt0crFBOGuXqUEIppgs279xNrC35pJ</t>
  </si>
  <si>
    <t>112.619.024-17</t>
  </si>
  <si>
    <t>jda.santos1@gmail.com</t>
  </si>
  <si>
    <t>JOSÉ DE AZEVEDO SANTOS</t>
  </si>
  <si>
    <t>049.767.154-93</t>
  </si>
  <si>
    <t>https://drive.google.com/open?id=1nzJIIip6FIqbnlUcw_A5hRTLbaAeAQSk</t>
  </si>
  <si>
    <t>008.725.744-07</t>
  </si>
  <si>
    <t>david.farias.0007.pbtec22@professor.pb.gov.br</t>
  </si>
  <si>
    <t>DAVID HERBERT RUFINO FARIAS</t>
  </si>
  <si>
    <t>https://drive.google.com/open?id=1_GnddBIc2IDcBmcuboJ-vJcSL55psLPJ</t>
  </si>
  <si>
    <t>062.027.894-33</t>
  </si>
  <si>
    <t>raissa.brito@see.pb.gov.br</t>
  </si>
  <si>
    <t>Raissa Carneiro de Brito</t>
  </si>
  <si>
    <t>https://drive.google.com/open?id=1ZGQe5fw7f0xgi_zo0XXAuJuhKhD3jlvQ</t>
  </si>
  <si>
    <t>084.583.474-66</t>
  </si>
  <si>
    <t>tassio.design@gmail.com</t>
  </si>
  <si>
    <t>Tássio José da Silva Costa</t>
  </si>
  <si>
    <t>https://drive.google.com/open?id=1IBjYjEZvPmXYRiWyX5sV49t14LL-1z6G</t>
  </si>
  <si>
    <t>039/2022</t>
  </si>
  <si>
    <t>110.679.214-94</t>
  </si>
  <si>
    <t>joyce.borges.1194.pbtec22@escola.pb.gov.br</t>
  </si>
  <si>
    <t>Joyce Cordeiro Borges</t>
  </si>
  <si>
    <t>https://drive.google.com/open?id=1BimY-3ryWtmmZDLkjmFK7cw8v2IPEcxB</t>
  </si>
  <si>
    <t>https://drive.google.com/open?id=1jBS-hamJA2l-WL2PrQFfNBYiVSh_rIDQ</t>
  </si>
  <si>
    <t>046.825.114-67</t>
  </si>
  <si>
    <t>vanderlan.gomes.0467.pbtec22@professor.pb.gov.br</t>
  </si>
  <si>
    <t>VANDERLAN BENTO DOS SANTOS GOMES</t>
  </si>
  <si>
    <t>https://drive.google.com/open?id=1zvmSw7mn4fEB2_w1E3OoQPx2ZjjOGE5T</t>
  </si>
  <si>
    <t>025.860.854-42</t>
  </si>
  <si>
    <t>levi.junior025860.pbtec@professor.pb.gov.br</t>
  </si>
  <si>
    <t>LEVI LAURENTINO DOS SANTOS JUNIOR</t>
  </si>
  <si>
    <t>https://drive.google.com/open?id=1X7h2eMddN2OqK9n3JazM5NlKYvL8nBOA</t>
  </si>
  <si>
    <t>062.502.834-12</t>
  </si>
  <si>
    <t>rayanemedeiros09@gmail.com</t>
  </si>
  <si>
    <t>Rayane Kaline Silva de Medeiros</t>
  </si>
  <si>
    <t>https://drive.google.com/open?id=15hvSw6k88kX1nFX3eWHw7hJAlawn-H2v</t>
  </si>
  <si>
    <t>JUCYARA GOMES DA SILVA</t>
  </si>
  <si>
    <t>https://drive.google.com/open?id=1QkLDSM-WlKVVGzMr1ZOsOOpgrWgetLxw</t>
  </si>
  <si>
    <t>https://drive.google.com/open?id=16It74hgnuSGvpqHOwsN8zbnWp_0wtEMN</t>
  </si>
  <si>
    <t>038/2023</t>
  </si>
  <si>
    <t>072.420.194-78</t>
  </si>
  <si>
    <t>jose.souza.0778.pbtec22@professor.pb.gov.br</t>
  </si>
  <si>
    <t>José Anderson Rodrigues de Souza</t>
  </si>
  <si>
    <t>https://drive.google.com/open?id=1pJx2jopW2igYaw8ygsH7S7PkBJ_sN3C1</t>
  </si>
  <si>
    <t>larissa.sherman@see.pb.gov.br</t>
  </si>
  <si>
    <t xml:space="preserve">LARISSA DA SILVA SHERMAN </t>
  </si>
  <si>
    <t>https://drive.google.com/open?id=1KiNsboZ4Exiwk1nn1BS7cekeB_qNID8O</t>
  </si>
  <si>
    <t>108.961.097-70</t>
  </si>
  <si>
    <t>jaianepadilha5@gmail.com</t>
  </si>
  <si>
    <t>Jaiane Padilha Oliveira</t>
  </si>
  <si>
    <t>https://drive.google.com/open?id=1NpYljeExIUdgAvEpFBHAFL4I7NSaMtc0</t>
  </si>
  <si>
    <t>054.418.474-25</t>
  </si>
  <si>
    <t>laelsonfelipesilva@gmail.com</t>
  </si>
  <si>
    <t xml:space="preserve">Laelson Felipe da Silva </t>
  </si>
  <si>
    <t>https://drive.google.com/open?id=1IT8eGMv2kts8QIoipd3YJSVxI8u-whWo</t>
  </si>
  <si>
    <t>064.536.804-08</t>
  </si>
  <si>
    <t>ewerton2verissimo@gmail.com</t>
  </si>
  <si>
    <t>Éwerton Veríssimo da Silva</t>
  </si>
  <si>
    <t>https://drive.google.com/open?id=13nQoUwqdpjZQ_yG2hqupIJXXu4DK0Nkm</t>
  </si>
  <si>
    <t>https://drive.google.com/open?id=18lBcT38uDeda6W8Ln7Jl5w-1YGMZ7imU</t>
  </si>
  <si>
    <t>095.712.634-43</t>
  </si>
  <si>
    <t>leandro.bezerra.0943.pbtec22@professor.pb.gov.br</t>
  </si>
  <si>
    <t>Leandro Tavares Bezerra</t>
  </si>
  <si>
    <t>https://drive.google.com/open?id=103r62CNs0PJM1yTazxPkj1ewACc0qxKh</t>
  </si>
  <si>
    <t>111.244.784-93</t>
  </si>
  <si>
    <t>lyndalimabs@gmail.com</t>
  </si>
  <si>
    <t>Lynda Lee Batista dos Santos Lima</t>
  </si>
  <si>
    <t>https://drive.google.com/open?id=1f3SXc-UG-DaqR1Ru8ReI_O6H-1hfbly3</t>
  </si>
  <si>
    <t>107.427.684-14</t>
  </si>
  <si>
    <t>patriky.brito.1014.pbtec22@professor.pb.gov.br</t>
  </si>
  <si>
    <t xml:space="preserve">Patriky Lucena de Brito </t>
  </si>
  <si>
    <t>https://drive.google.com/open?id=1V2Tml4AKaDMm-vm2a477kRQViTAROsvT</t>
  </si>
  <si>
    <t>042.590.064-95</t>
  </si>
  <si>
    <t>luciana.lunguinho@professor.pb.gov.br</t>
  </si>
  <si>
    <t>Luciana Lima Lunguinho Santos</t>
  </si>
  <si>
    <t>https://drive.google.com/open?id=1L-RN2k7U467MLByGI-OmxethEbnw0yJF</t>
  </si>
  <si>
    <t>102.966.734-98</t>
  </si>
  <si>
    <t>beaatrizf94@gmail.com</t>
  </si>
  <si>
    <t xml:space="preserve">BEATRIZ DA SIVA FERREIRA </t>
  </si>
  <si>
    <t xml:space="preserve">BEATRIZ DA SILVA FERREIRA </t>
  </si>
  <si>
    <t>https://drive.google.com/open?id=14hmZgPdHOLCScED7FdpIuLUnwUPjxUDs</t>
  </si>
  <si>
    <t>087.967.304-47</t>
  </si>
  <si>
    <t>prof.erikalira@gmail.com</t>
  </si>
  <si>
    <t xml:space="preserve">Erika Lira Rosado </t>
  </si>
  <si>
    <t>https://drive.google.com/open?id=1fCYSKNEmSME_LkwSDTOY_DXwQw6TO9Yz</t>
  </si>
  <si>
    <t>015/2023</t>
  </si>
  <si>
    <t>094.540.994-00</t>
  </si>
  <si>
    <t>erbertosousa@gmail.com</t>
  </si>
  <si>
    <t>FRANCISCO ERBERTO DE SOUSA</t>
  </si>
  <si>
    <t>https://drive.google.com/open?id=14uxkVolucCGU8QtunYLcUHSSuIEKcGjH</t>
  </si>
  <si>
    <t>082.491.124-58</t>
  </si>
  <si>
    <t>aristotelesgs@gmail.com</t>
  </si>
  <si>
    <t>Aristóteles Gomes Silva</t>
  </si>
  <si>
    <t>https://drive.google.com/open?id=15mufMKMk_xqgJBE360GOidHNlHflw9gI</t>
  </si>
  <si>
    <t>044.403.344-07</t>
  </si>
  <si>
    <t>juliana.araujo.0407.pbtec22@escola.pb.gov.br</t>
  </si>
  <si>
    <t>Juliana Veríssimo de Araújo</t>
  </si>
  <si>
    <t>https://drive.google.com/open?id=1SztTarNFmmswMEwxtMlfPxYtOO6mK48u</t>
  </si>
  <si>
    <t>011/2023</t>
  </si>
  <si>
    <t>049.511.053-14</t>
  </si>
  <si>
    <t>guimaraes.gleyser@gmail.com</t>
  </si>
  <si>
    <t xml:space="preserve">Gleyser Bonfim Guimarães </t>
  </si>
  <si>
    <t>https://drive.google.com/open?id=1x6iVp8sb70UQ5ID9-x5q0Jv1k3wR3cYm</t>
  </si>
  <si>
    <t>072.832.854-23</t>
  </si>
  <si>
    <t>dayanecristinelacerda@gmail.com</t>
  </si>
  <si>
    <t>Dayane Cristine de Oliveira Lacerda</t>
  </si>
  <si>
    <t>https://drive.google.com/open?id=1wiq-vxyJ8WVOfRcXD_ljyoZEfLfRRLNK</t>
  </si>
  <si>
    <t>011//2022</t>
  </si>
  <si>
    <t>032.294.984-02</t>
  </si>
  <si>
    <t>mariamarcia2727@gmail.com</t>
  </si>
  <si>
    <t>MARIA MARCIA CRISTINA DE CARVALHO SILVA</t>
  </si>
  <si>
    <t>https://drive.google.com/open?id=1RF0_io4F2fMAgg8G3UrLjACvPZV4sFpM</t>
  </si>
  <si>
    <t>050/2022</t>
  </si>
  <si>
    <t>026.948.534-12</t>
  </si>
  <si>
    <t>evelinydias@gmail.com</t>
  </si>
  <si>
    <t>Eveliny Dias de Medeiros</t>
  </si>
  <si>
    <t>https://drive.google.com/open?id=1PyvZK8fkAplEFuF7YUnoPbjky1Bd9rik</t>
  </si>
  <si>
    <t>026.391.884-02</t>
  </si>
  <si>
    <t>gccornelio@gmail.com</t>
  </si>
  <si>
    <t>Glória Cristina Cornélio do Nascimento</t>
  </si>
  <si>
    <t>https://drive.google.com/open?id=1q-yc8CyBrl2kaH_MI6L1_IbCI6nFU4k7</t>
  </si>
  <si>
    <t>019/2023</t>
  </si>
  <si>
    <t>045.272.854-16</t>
  </si>
  <si>
    <t>janinesncunha@gmail.com</t>
  </si>
  <si>
    <t>Janine Silva Nascimento Cunha</t>
  </si>
  <si>
    <t>https://drive.google.com/open?id=11KxxbwPokpN_938sL7sk_M9sWi8FzVMP</t>
  </si>
  <si>
    <t>063.289.884-43</t>
  </si>
  <si>
    <t>maestra.priscila.almeida@gmail.com</t>
  </si>
  <si>
    <t>Priscila Batista Araújo de Almeida</t>
  </si>
  <si>
    <t>https://drive.google.com/open?id=1re_TJgVxhZXKC8Sgw9rjdAAzkWwnH7pY</t>
  </si>
  <si>
    <t>063.289.884-44</t>
  </si>
  <si>
    <t>frank.fonseca.1008.pbtec22@professor.pb.gov.br</t>
  </si>
  <si>
    <t xml:space="preserve">FRANK WASHINGTON DE LIMA FONSECA </t>
  </si>
  <si>
    <t>101.003.314-08</t>
  </si>
  <si>
    <t>https://drive.google.com/open?id=19Y951ydyaCPITgUc5wzv76Ygu0kAf730</t>
  </si>
  <si>
    <t>017.851.484-51</t>
  </si>
  <si>
    <t>robelucena@gmail.com</t>
  </si>
  <si>
    <t>RÔMULO BENÍCIO LUCENA FILHO</t>
  </si>
  <si>
    <t>https://drive.google.com/open?id=1sSOR23r09t-kxyjvbVhhcs7v9yIOs-1y</t>
  </si>
  <si>
    <t>060.833.124-42</t>
  </si>
  <si>
    <t>pauloanastacio.cg@gmail.com</t>
  </si>
  <si>
    <t>Paulo Anastacio Lira Filho</t>
  </si>
  <si>
    <t>https://drive.google.com/open?id=1TQirBeIGwOema-kZyyGtCTU7qF2U6Fj9</t>
  </si>
  <si>
    <t>091.375.374-23</t>
  </si>
  <si>
    <t>lucasdifaria@gmail.com</t>
  </si>
  <si>
    <t>Lucas Felipe Farias Lima Félix de Figueiredo</t>
  </si>
  <si>
    <t>https://drive.google.com/open?id=1eip6mSLRe7qvOqc42Pm18rjTYAdpNwr6</t>
  </si>
  <si>
    <t>023/2023</t>
  </si>
  <si>
    <t>EQUIPE</t>
  </si>
  <si>
    <t>106.324.884-17</t>
  </si>
  <si>
    <t>jose.soares.1017.pbtec22@professor.pb.gov.br</t>
  </si>
  <si>
    <t>JOSÉ EDJUNIOR MEDEIROS SOARES</t>
  </si>
  <si>
    <t>https://drive.google.com/open?id=1Pf2-4inKQbHDos9fGXwHQ84g7KO4fKEX</t>
  </si>
  <si>
    <t>tamiresvasconcelosbio@gmail.com</t>
  </si>
  <si>
    <t>maria tamires vasconcelos oliveira</t>
  </si>
  <si>
    <t>068.056.303-20</t>
  </si>
  <si>
    <t>https://drive.google.com/open?id=1mPlCD8Z1e7XloVu33pnvAdeJqKLOXg5-</t>
  </si>
  <si>
    <t>https://drive.google.com/open?id=104bawKm8CFNNpd-cb1FaTtye34cVXWJD</t>
  </si>
  <si>
    <t>069.479.614-08</t>
  </si>
  <si>
    <t>KATIANARF@GMAIL.COM</t>
  </si>
  <si>
    <t>KATIANA RODRIGUES FERREIRA</t>
  </si>
  <si>
    <t>https://drive.google.com/open?id=1L8cNZU-PdBxdJIW3evMWxVcA_TvKqq2P</t>
  </si>
  <si>
    <t>072.446.974-57</t>
  </si>
  <si>
    <t>thiagao.matematica@gmail.com</t>
  </si>
  <si>
    <t>Thiago José Machado</t>
  </si>
  <si>
    <t>https://drive.google.com/open?id=1fkaMWV3Er2a3kZFHvRT8-g_Lgy2NRRf9</t>
  </si>
  <si>
    <t>JOSE RAFAEL DA SILVA DANTAS</t>
  </si>
  <si>
    <t>https://drive.google.com/open?id=1q2bdikxjqAWRQ-B8tbEcEJxBYmwfRmWG</t>
  </si>
  <si>
    <t>081.056.274-00</t>
  </si>
  <si>
    <t>alianna.silva.0800.pbtec22@escola.pb.gov.br</t>
  </si>
  <si>
    <t>ALIANNA BATISTA DA SILVA</t>
  </si>
  <si>
    <t>https://drive.google.com/open?id=19pvumNed6u1hc3aPdSr3GXkxLWo_6XNr</t>
  </si>
  <si>
    <t>047.100.629-78</t>
  </si>
  <si>
    <t>dallison.pereira.0478.pbtec22@escola.pb.gov.br</t>
  </si>
  <si>
    <t>Dallison de Sousa Pereira</t>
  </si>
  <si>
    <t>https://drive.google.com/open?id=1CkRsviWxnMV3JqOkGkUfEmDdDQP7eXCM</t>
  </si>
  <si>
    <t>057.938.564-71</t>
  </si>
  <si>
    <t>kleyton.canuto.0571.pbtec22@professor.pb.gov.br</t>
  </si>
  <si>
    <t>Kleyton Jorge Canuto</t>
  </si>
  <si>
    <t>https://drive.google.com/open?id=1WAskMCby3XUwcyA2R-tArPUqPM9747sb</t>
  </si>
  <si>
    <t>mayaraeunicepl@gmail.com</t>
  </si>
  <si>
    <t>https://drive.google.com/open?id=1sMgLs5oE2lp9VOOjRL2QDBB1TiM9sPx9</t>
  </si>
  <si>
    <t>064.654.674-02</t>
  </si>
  <si>
    <t>edilonmendes@yahoo.com.br</t>
  </si>
  <si>
    <t>EDILON MENDES NUNES</t>
  </si>
  <si>
    <t>https://drive.google.com/open?id=1y3K-iV5AUeg76l0YsTzwPc9a0WyuBgbV</t>
  </si>
  <si>
    <t>100.572.804-60</t>
  </si>
  <si>
    <t>dayane.sobreira.1060.pbtec22@escola.pb.gov.br</t>
  </si>
  <si>
    <t>DAYANE NASCIMENTO SOBREIRA</t>
  </si>
  <si>
    <t>https://drive.google.com/open?id=1bK4zNP8GieVaSvOuLRqNS3ILn-7WoDrx</t>
  </si>
  <si>
    <t>055/2023</t>
  </si>
  <si>
    <t>061.820.083-50</t>
  </si>
  <si>
    <t>josuelfeitosa@gmail.com</t>
  </si>
  <si>
    <t>Josuel Feitosa Rodrigues</t>
  </si>
  <si>
    <t>https://drive.google.com/open?id=1OQilZI6hBuIHX-NNSb2x5bL5B9oYa5rq</t>
  </si>
  <si>
    <t>054/2023</t>
  </si>
  <si>
    <t>073.819.824-20</t>
  </si>
  <si>
    <t>nal_agrarias@hotmail.com</t>
  </si>
  <si>
    <t>Nalberlania Alves Chagas Paulino</t>
  </si>
  <si>
    <t>https://drive.google.com/open?id=1vcQQflrn7eqV4x8bZBH9wm9zI-rkGU5n</t>
  </si>
  <si>
    <t>024/2023</t>
  </si>
  <si>
    <t>123.077.954-05</t>
  </si>
  <si>
    <t>llvicente27@gmail.com</t>
  </si>
  <si>
    <t>Joana Larissa Vicente da Silva</t>
  </si>
  <si>
    <t>https://drive.google.com/open?id=1kMiUdo1gfOrcYqwiNt2LLBe7HNU8-pL-</t>
  </si>
  <si>
    <t>919.699.644-72</t>
  </si>
  <si>
    <t>ernestohnm@gmail.com</t>
  </si>
  <si>
    <t>Ernesto Henrique da Nóbrega Medeiros</t>
  </si>
  <si>
    <t>018</t>
  </si>
  <si>
    <t>https://drive.google.com/open?id=1-0viJ2mQjFUSSvW8WR-MDaA0dLtx86qq</t>
  </si>
  <si>
    <t>018/2023</t>
  </si>
  <si>
    <t>097.099.474-51</t>
  </si>
  <si>
    <t>darlan_lima@outlook.com</t>
  </si>
  <si>
    <t xml:space="preserve">Darlan de Lima Almeida </t>
  </si>
  <si>
    <t>https://drive.google.com/open?id=1hKczv6YYrQfGS_4P3mVOUCKeilibtfdl</t>
  </si>
  <si>
    <t>022/2023</t>
  </si>
  <si>
    <t>PRÓXIMO CANDIDATO JÁ CONVOCADO</t>
  </si>
  <si>
    <t>111.570.424-90</t>
  </si>
  <si>
    <t>ilima882@gmail.com</t>
  </si>
  <si>
    <t>ISMAEL DE LIMA GONÇALVES</t>
  </si>
  <si>
    <t>https://drive.google.com/open?id=12K1X02A2c4udpD6jwVJwA0Zgs2jIsKPb</t>
  </si>
  <si>
    <t xml:space="preserve">Rhayssa Maria Silveira de Almeida </t>
  </si>
  <si>
    <t>https://drive.google.com/open?id=1rATcc8LuoBWhCAZGjxttz_C9IIewbJJR</t>
  </si>
  <si>
    <t>715.199.314-50</t>
  </si>
  <si>
    <t>laurentinojamilly634@gmail.com</t>
  </si>
  <si>
    <t xml:space="preserve">Jamilly Laurentino Araújo da Silva </t>
  </si>
  <si>
    <t>https://drive.google.com/open?id=1kvXR-BJR6aEqtywYaXH0gbxCUu2D74HM</t>
  </si>
  <si>
    <t>NÃO IDENTIFICAMOS NO EDITAL QUE MENCIONOU</t>
  </si>
  <si>
    <t>043.723.124-07</t>
  </si>
  <si>
    <t>rafael.almeida.0407.pbtec23@professor.pb.gov.br</t>
  </si>
  <si>
    <t>Rafael Andrade Lins de Almeida</t>
  </si>
  <si>
    <t>https://drive.google.com/open?id=1ZfI9UU9-GVMUaYLqINAUQUIQRder7Ssk</t>
  </si>
  <si>
    <t>022.441.434-81</t>
  </si>
  <si>
    <t>vicente.santos.0281.pbtec23@professor.pb.gov.br</t>
  </si>
  <si>
    <t xml:space="preserve">Vicente Oliveira dos Santos </t>
  </si>
  <si>
    <t>https://drive.google.com/open?id=1dda1-vASh_O4reTjeF7DhmuA5oqIKVk2</t>
  </si>
  <si>
    <t>jucyara.silva@see.pb.gov.br</t>
  </si>
  <si>
    <t>https://drive.google.com/open?id=1HcSGPdtds5A79CybtiMmn-JdO8FQ2o_p</t>
  </si>
  <si>
    <t>135.323.544-03</t>
  </si>
  <si>
    <t>meloauane900@gmail.com</t>
  </si>
  <si>
    <t xml:space="preserve">Francisca Auane Vieira de Melo </t>
  </si>
  <si>
    <t>https://drive.google.com/open?id=1Gcv9WF37rAAmFDoblFjBejdp5sLqw756</t>
  </si>
  <si>
    <t>114.971.484-05</t>
  </si>
  <si>
    <t>evandro.abreu@professor.pb.gov.br</t>
  </si>
  <si>
    <t>EVANDRO COSMO TOMAZ DE ABREU</t>
  </si>
  <si>
    <t>031</t>
  </si>
  <si>
    <t>https://drive.google.com/open?id=1eYJ-UOiP5XAtnEgkjeGDOU24xCpHh4iu</t>
  </si>
  <si>
    <t>031/2023</t>
  </si>
  <si>
    <t>094.903.414-28</t>
  </si>
  <si>
    <t>charlesbernardo1989@gmail.com</t>
  </si>
  <si>
    <t>Micharley Guilherme Bernardo de França</t>
  </si>
  <si>
    <t>https://drive.google.com/open?id=1B767x4O_MWjxL_oq313zG9bSQovuau4O</t>
  </si>
  <si>
    <t>024.642.471-03</t>
  </si>
  <si>
    <t>alvarocosta_adm@hotmail.com</t>
  </si>
  <si>
    <t>Alvaro Costa Jardim Neto</t>
  </si>
  <si>
    <t>https://drive.google.com/open?id=1stfnS1AiiN4sn15opEKVIfl-vZ2wzYsN</t>
  </si>
  <si>
    <t>093.712.404-40</t>
  </si>
  <si>
    <t>tiago.almeida.0940.pbtec23@professor.pb.gov.br</t>
  </si>
  <si>
    <t>Thiago dos Santos Almeida</t>
  </si>
  <si>
    <t>https://drive.google.com/open?id=18aMYP8MDvOxr3bSVsMLsKf33EmOVe4lx</t>
  </si>
  <si>
    <t>Jailsa marques barbosa</t>
  </si>
  <si>
    <t>https://drive.google.com/open?id=1gRw3mk9qDhdHahGJyi9hWcIrIFDyb_WM</t>
  </si>
  <si>
    <t>011.339.804-22</t>
  </si>
  <si>
    <t>ticiana.cunha.0122.pbtec23@escola.pb.gov.br</t>
  </si>
  <si>
    <t>Ticiana Querino Guedes Cunha</t>
  </si>
  <si>
    <t>https://drive.google.com/open?id=1CJJbtyIXB1w6-wCKSVgQSa1_uBeaR6xQ</t>
  </si>
  <si>
    <t>044.931.474-07</t>
  </si>
  <si>
    <t>edna.vieira.0407.pbtec23@professor.pb.gov.br</t>
  </si>
  <si>
    <t>Édna Maria de Melo Vieira</t>
  </si>
  <si>
    <t>https://drive.google.com/open?id=1ZE7cTcNJNNUpDkhAtuKRlCLq-cFdmZIf</t>
  </si>
  <si>
    <t>083.601.144-98</t>
  </si>
  <si>
    <t>jmatheuslcosta@gmail.com</t>
  </si>
  <si>
    <t>João matheus Lima costa</t>
  </si>
  <si>
    <t>https://drive.google.com/open?id=1qiukokbL1gIs6qvqDX7cmVH6tBmwQsvd</t>
  </si>
  <si>
    <t>106.652.284-73</t>
  </si>
  <si>
    <t>angelasilvaprof@gmail.com</t>
  </si>
  <si>
    <t>Ângela da Silva Santos</t>
  </si>
  <si>
    <t>https://drive.google.com/open?id=15jYr7HSWHGQIVYMwOcOIMsQzFzAx52us</t>
  </si>
  <si>
    <t>052.312.894-00</t>
  </si>
  <si>
    <t>edufranco325@gmail.com</t>
  </si>
  <si>
    <t>Franco Eduardo Oliveira da Silva</t>
  </si>
  <si>
    <t>https://drive.google.com/open?id=1pOLcjbOSmTPajClddUQ7noh_37EP4ZyZ</t>
  </si>
  <si>
    <t>ANDERSONSEB.UFPB@GMAIL.COM</t>
  </si>
  <si>
    <t>ANDERSON DUARTE DA SILVA</t>
  </si>
  <si>
    <t>060.681.394-25</t>
  </si>
  <si>
    <t>https://drive.google.com/open?id=14FXEWQAROeKW8kNzfqLNU1gB2Isjogwd</t>
  </si>
  <si>
    <t>700.406.384-48</t>
  </si>
  <si>
    <t>nuticionista.natalialimah23@gmail.com</t>
  </si>
  <si>
    <t xml:space="preserve">Natália Rodrigues Lima </t>
  </si>
  <si>
    <t>https://drive.google.com/open?id=1Werq5bZn5yyj0WqFFWocUyO35Yr2x0LE</t>
  </si>
  <si>
    <t>100.929.284-63</t>
  </si>
  <si>
    <t>flavio_jose1@hotmail.com</t>
  </si>
  <si>
    <t xml:space="preserve">Flávio Jose da Silva </t>
  </si>
  <si>
    <t>https://drive.google.com/open?id=1oPwuJh37pjhSYCe7KER6JlDp8F5NvEXm</t>
  </si>
  <si>
    <t>049.653.344-42</t>
  </si>
  <si>
    <t>daniele.vr@gmail.com</t>
  </si>
  <si>
    <t>Daniele Vasconcelos Ribeiro da Silva</t>
  </si>
  <si>
    <t>https://drive.google.com/open?id=16TA9G_EIl0eFujTFyXvHHP6GVxPNnmE_</t>
  </si>
  <si>
    <t>071.997.444-55</t>
  </si>
  <si>
    <t>antonio.lacerda.0755.pbtec21@escola.pb.gov.br</t>
  </si>
  <si>
    <t>ANTONIO WILSON JUNIOR RAMALHO LACERDA</t>
  </si>
  <si>
    <t>https://drive.google.com/open?id=1IhSqZ6pA8dUsXZ6ekdODAPj4CiYqZ86I</t>
  </si>
  <si>
    <t>050.353.134-09</t>
  </si>
  <si>
    <t>jpp.adm2016@gmail.com</t>
  </si>
  <si>
    <t>JOÃO PAULO PEREIRA DA SILVA</t>
  </si>
  <si>
    <t>028</t>
  </si>
  <si>
    <t>https://drive.google.com/open?id=17MTpZLPmlgJsB_15FTDGLxJ-BChP-WZj</t>
  </si>
  <si>
    <t>028/2023</t>
  </si>
  <si>
    <t>099.994.704-40</t>
  </si>
  <si>
    <t>rayris.silva.0940.pbtec22@professor.pb.gov.br</t>
  </si>
  <si>
    <t>Rayris de sousa silva</t>
  </si>
  <si>
    <t>https://drive.google.com/open?id=1Mx4o-PlIw0m6wtuWdDCJ5LaYzH3K0qVD</t>
  </si>
  <si>
    <t>106.117.734-30</t>
  </si>
  <si>
    <t>njoaoeconomia@gmail.com</t>
  </si>
  <si>
    <t>João Paulo Fernandes de LIma</t>
  </si>
  <si>
    <t>https://drive.google.com/open?id=1vNIDqJSgDDWCDG1za6JZXHNUV1liBI1N</t>
  </si>
  <si>
    <t>109.490.424-47</t>
  </si>
  <si>
    <t>kalinynay2013@gmail.com</t>
  </si>
  <si>
    <t>KALINY NAYARA SOUZA DUARTE REGO</t>
  </si>
  <si>
    <t>https://drive.google.com/open?id=158hyB0stgnfDCwNG6Z-KDuhHBt6OCnQ8</t>
  </si>
  <si>
    <t>026.955.102-68</t>
  </si>
  <si>
    <t>helpsales@bol.com.br</t>
  </si>
  <si>
    <t>Maria do Perpétuo Socorro Mendonça de Sales</t>
  </si>
  <si>
    <t>https://drive.google.com/open?id=1-dEwA_GTy64s-VoNYQ85UK0u4P9I-NHp</t>
  </si>
  <si>
    <t>JOÃO PAULO FERNANDES DE LIMA</t>
  </si>
  <si>
    <t>https://drive.google.com/open?id=1W6Ujvv0R4DJD_6ohrI2Ir4O7ghbK5CDo</t>
  </si>
  <si>
    <t>061.495.394-40</t>
  </si>
  <si>
    <t>cristinadantas2@gmail.com</t>
  </si>
  <si>
    <t xml:space="preserve">Ana Cristina Pinheiro Dantas </t>
  </si>
  <si>
    <t>https://drive.google.com/open?id=1mjwpPzMIpiTilSgG2WodY4-TYCYs2Qka</t>
  </si>
  <si>
    <t>02237501408</t>
  </si>
  <si>
    <t>weber.maciel.0208.pbtec23@escola.pb.gov.br</t>
  </si>
  <si>
    <t>WEBER GEOVANNI MENDES MACIEL</t>
  </si>
  <si>
    <t>022.375.014-08</t>
  </si>
  <si>
    <t>029</t>
  </si>
  <si>
    <t>https://drive.google.com/open?id=1wJdadls5zW00yGB78VBjvpWWtecuiH1o</t>
  </si>
  <si>
    <t>029/2023</t>
  </si>
  <si>
    <t>101.705.904-70</t>
  </si>
  <si>
    <t>jjvsantos987@gmail.com</t>
  </si>
  <si>
    <t>João Victor Inácio dos Santos</t>
  </si>
  <si>
    <t>https://drive.google.com/open?id=1VgOovQqfTU2QF_m3VDEveDVtJl060no3</t>
  </si>
  <si>
    <t>031/2022</t>
  </si>
  <si>
    <t>anderson.siqueira.0999.pbtec23@professor.pb.gov.br</t>
  </si>
  <si>
    <t>Anderson Luan Santana Siqueira</t>
  </si>
  <si>
    <t>https://drive.google.com/open?id=15wo3QuzsX5DsUjegk2j2Gu2IzQi_hg05</t>
  </si>
  <si>
    <t>039.367.104-65</t>
  </si>
  <si>
    <t>edson.farias@professor.pb.gov.br</t>
  </si>
  <si>
    <t>EDSON DE ARAUJO FARIAS</t>
  </si>
  <si>
    <t>https://drive.google.com/open?id=1Mq7w95k0wogZ0mzO6Gde328Iubal1C6G</t>
  </si>
  <si>
    <t>lucas.figueiredo.0923.pbtec22@escola.pb.gov.br</t>
  </si>
  <si>
    <t>https://drive.google.com/open?id=1lYzGaCbFJ3DbMc9leRwi6KAuW7UvuNs_</t>
  </si>
  <si>
    <t>078.221.344-85</t>
  </si>
  <si>
    <t>tiago_cbrl@hotmail.com</t>
  </si>
  <si>
    <t>Tiago Cabral da Silva</t>
  </si>
  <si>
    <t>https://drive.google.com/open?id=1yqsL70CMzcZO_-mCrkJPiodBGmLzOgCL</t>
  </si>
  <si>
    <t>048.072.364-82</t>
  </si>
  <si>
    <t>nascimentosraquel@gmail.com</t>
  </si>
  <si>
    <t xml:space="preserve">Raquel do Nascimento Silva </t>
  </si>
  <si>
    <t>https://drive.google.com/open?id=1rvnQsoYQnG9GiKokOrJqqr0aX0RJAXjU</t>
  </si>
  <si>
    <t>709.107.214-67</t>
  </si>
  <si>
    <t>adamiao53@gmail.com</t>
  </si>
  <si>
    <t xml:space="preserve">Damiao Alves de Andrade </t>
  </si>
  <si>
    <t>https://drive.google.com/open?id=1gUyWCnUoo_XeSYgjDprbrnG4FS4jMWp8</t>
  </si>
  <si>
    <t>sr4ch3l@hotmail.com</t>
  </si>
  <si>
    <t>https://drive.google.com/open?id=1ksGYw9tAZB5iTuQY-dill6_zFJ_8HzSA</t>
  </si>
  <si>
    <t>DALLISON DE SOUSA PEREIRA</t>
  </si>
  <si>
    <t>016</t>
  </si>
  <si>
    <t>https://drive.google.com/open?id=1jD3LjojW15TJK-BDonQaE2sJaiA2HBnb</t>
  </si>
  <si>
    <t>016/2023</t>
  </si>
  <si>
    <t>032.023.704-48</t>
  </si>
  <si>
    <t>vera77silva13@gmail.com</t>
  </si>
  <si>
    <t>VERA LUCIA CRISTOVAO DA SILVA</t>
  </si>
  <si>
    <t>https://drive.google.com/open?id=1fKDCGcTnWH4EDnudhmvQp3e5ZfrU3pEw</t>
  </si>
  <si>
    <t>101.155.554-98</t>
  </si>
  <si>
    <t>YEDAKARILLA@HOTMAIL.COM</t>
  </si>
  <si>
    <t>yeda karilla dantas dos santos</t>
  </si>
  <si>
    <t>https://drive.google.com/open?id=1bbygC8pbpWBeFj4w-FuOKJ_vrCnAcDpU</t>
  </si>
  <si>
    <t>952.014.324-68</t>
  </si>
  <si>
    <t>edinhapaz19@gmail.com</t>
  </si>
  <si>
    <t>EDNA OLIVEIRA DA PAZ</t>
  </si>
  <si>
    <t>https://drive.google.com/open?id=1D1j6woe12yHb-KabXiQUrQCYz4BLxhRY</t>
  </si>
  <si>
    <t>964.906.914-34</t>
  </si>
  <si>
    <t>arilane26santos@gmail.com</t>
  </si>
  <si>
    <t>ARILANE NASCIMENTO DOS SANTOS</t>
  </si>
  <si>
    <t>https://drive.google.com/open?id=1SRJ3MiOluIElrd6yRSxn_SpJKOLyUjkp</t>
  </si>
  <si>
    <t>?</t>
  </si>
  <si>
    <t>044.793.143-18</t>
  </si>
  <si>
    <t>rafaelribcc@gmail.com</t>
  </si>
  <si>
    <t>Rafael Ribeiro Oliveira</t>
  </si>
  <si>
    <t>https://drive.google.com/open?id=1ubXoouRn4RZVlaBUP01KwbgDfDV9dbh8</t>
  </si>
  <si>
    <t>SEM CANDIDATOS PARA CONVOCAR</t>
  </si>
  <si>
    <t>059.401.604-50</t>
  </si>
  <si>
    <t>REGINALDO FERREIRA SULINO</t>
  </si>
  <si>
    <t>https://drive.google.com/open?id=1ZeDH-UnynG8f6b3yEKeeabBWy0Wc-stZ</t>
  </si>
  <si>
    <t>CONVOCADO (A)</t>
  </si>
  <si>
    <t>reginaldo.sulino.0550.pbtec22@escola.pb.gov.br</t>
  </si>
  <si>
    <t xml:space="preserve">Reginaldo Ferreira Sulino </t>
  </si>
  <si>
    <t>https://drive.google.com/open?id=1g3yoHYk8NUrmjv-GFCuBhLbsOtXlJOdm</t>
  </si>
  <si>
    <t>067.453.114-02</t>
  </si>
  <si>
    <t>emanuelly.monteiro.0602.pbtec21@escola.pb.gov.br</t>
  </si>
  <si>
    <t xml:space="preserve">Emanuelly de Souza Monteiro </t>
  </si>
  <si>
    <t>https://drive.google.com/open?id=1niNrcHkwoI_gW8b-lQXxwfQIydTF8KxP</t>
  </si>
  <si>
    <t>060.805.144-60</t>
  </si>
  <si>
    <t>mariaritanunes1@gmail.com</t>
  </si>
  <si>
    <t>MARIA RITA DE OLIVEIRA NUNES DANGELO</t>
  </si>
  <si>
    <t>https://drive.google.com/open?id=1q6SfYlAagIS-zE3PvyJmKIFJslwLlxeP</t>
  </si>
  <si>
    <t>028.455.224-01</t>
  </si>
  <si>
    <t>araujoksx@gmail.com</t>
  </si>
  <si>
    <t>Kathy Souza Xavier de Araújo</t>
  </si>
  <si>
    <t>https://drive.google.com/open?id=1Z6tfF7c2moA8TyQNMMRA5JWLzsWA33kf</t>
  </si>
  <si>
    <t>081.465.694-39</t>
  </si>
  <si>
    <t>iara.oliveira.0839.pbtec@escola.pb.gov.br</t>
  </si>
  <si>
    <t>Iara Bezerra de Oliveira</t>
  </si>
  <si>
    <t>https://drive.google.com/open?id=1txj_arHmzloKYhPdC7MYYrVeEwEdbGsh</t>
  </si>
  <si>
    <t>114.088.744-07</t>
  </si>
  <si>
    <t>vanila.silva.1107.pbtec22@escola.pb.gov.br</t>
  </si>
  <si>
    <t>VANILA ALVES DA SILVA</t>
  </si>
  <si>
    <t>https://drive.google.com/open?id=1PuWfnWhRm9l27oO99QlncAQ1SSfEJxGK</t>
  </si>
  <si>
    <t>NÃO PRECISA CONVOCAR</t>
  </si>
  <si>
    <t>097.295.914-90</t>
  </si>
  <si>
    <t>alana.sz@icloud.com</t>
  </si>
  <si>
    <t>Maria Alana de Souza silva</t>
  </si>
  <si>
    <t>https://drive.google.com/open?id=1v-uA274sODgAFIZCtchzw8tkaXUZuY6g</t>
  </si>
  <si>
    <t>vanilaalvesvas367@gmail.com</t>
  </si>
  <si>
    <t>https://drive.google.com/open?id=1u9OYiFdKGCKCdrPv5Wa6S7BFvo18ADLS</t>
  </si>
  <si>
    <t>josefa.souza069641.pbtec@professor.pb.gov.br</t>
  </si>
  <si>
    <t>Josefa Danielma da Silva Gomes Souza</t>
  </si>
  <si>
    <t>https://drive.google.com/open?id=1EVfchqaefFEVj1pWtvXACndY0yP097VT</t>
  </si>
  <si>
    <t>08364596446</t>
  </si>
  <si>
    <t>geisianny.bezerra.0846.pbtec22@escola.pb.gov.br</t>
  </si>
  <si>
    <t>GEISIANNY MORAIS BEZERRA</t>
  </si>
  <si>
    <t>083.645.964-46</t>
  </si>
  <si>
    <t>https://drive.google.com/open?id=1s5PvcSF2igd9LVFyTmNEjiNNIkaZ3LcQ</t>
  </si>
  <si>
    <t>07218769438</t>
  </si>
  <si>
    <t>carlos.alves.0738.pbtec23@escola.pb.gov.br</t>
  </si>
  <si>
    <t>CARLOS ANTONIO DE FARIAS ALVES</t>
  </si>
  <si>
    <t>072.187.694-38</t>
  </si>
  <si>
    <t>030</t>
  </si>
  <si>
    <t>https://drive.google.com/open?id=1p5b3oFarIA2IOFkmDPZgRs_jIDbXY3oe</t>
  </si>
  <si>
    <t>030/2023</t>
  </si>
  <si>
    <t>033.429.194-18</t>
  </si>
  <si>
    <t>jeanlimeira@yahoo.com.br</t>
  </si>
  <si>
    <t>Jean Carlos Gomes Limeira</t>
  </si>
  <si>
    <t>https://drive.google.com/open?id=1Oko56hm2dpynwTzPdvdTAOLBPl4smlBm</t>
  </si>
  <si>
    <t>JMURIEL.ADM@GMAIL.COM</t>
  </si>
  <si>
    <t>https://drive.google.com/open?id=1TRNwXGkI2F4LOMfSfyP8WAbiXb78fPiL</t>
  </si>
  <si>
    <t>058.531.564-70</t>
  </si>
  <si>
    <t>antonio.venancio@see.pb.gov.br</t>
  </si>
  <si>
    <t>Antonio Ely Pinho Venancio</t>
  </si>
  <si>
    <t>https://drive.google.com/open?id=1C54m6sZnr0JWLSfHt4sjcJpvX8ZW9YOc</t>
  </si>
  <si>
    <t>028.250.125-80</t>
  </si>
  <si>
    <t>naianeoliver1@gmail.com</t>
  </si>
  <si>
    <t>NAIANE MATOS OLIVEIRA</t>
  </si>
  <si>
    <t>https://drive.google.com/open?id=1MUduZfTr2TTppJ-j1CegnpC2QpukE2SD</t>
  </si>
  <si>
    <t>084.366.074-06</t>
  </si>
  <si>
    <t>denilson.dantas@see.pb.gov.br</t>
  </si>
  <si>
    <t>DENILSON HENRIQUE DANTAS</t>
  </si>
  <si>
    <t>https://drive.google.com/open?id=10Pyh6y0W-Ed_rr_hFD2-tG3awe1fLSnH</t>
  </si>
  <si>
    <t>788.410.464-49</t>
  </si>
  <si>
    <t>oliva.marcos2508@gmail.com</t>
  </si>
  <si>
    <t>MARCOS ANTONIO DA SILVA OLIVEIRA</t>
  </si>
  <si>
    <t>https://drive.google.com/open?id=1ilv33BhVAE0wgb9yluf8Bie61GjWcJif</t>
  </si>
  <si>
    <t>08616290435</t>
  </si>
  <si>
    <t>iolanda.silva.0835.pbtec22@escola.pb.gov.br</t>
  </si>
  <si>
    <t xml:space="preserve">Iolanda Henrique da Silva </t>
  </si>
  <si>
    <t>086.161.904-35</t>
  </si>
  <si>
    <t>https://drive.google.com/open?id=16FWhgTmJMmwUXuYlE0i7nWtrF-pWk3nO</t>
  </si>
  <si>
    <t>027.766.664-38</t>
  </si>
  <si>
    <t>raimundo_oliveira027@professor.pb.gov.br</t>
  </si>
  <si>
    <t>RAIMUNDO JANIFRAN OLIVEIRA</t>
  </si>
  <si>
    <t>https://drive.google.com/open?id=1B4l64Pjl0kNEcblSU1xRzv3QqDXPeqC-</t>
  </si>
  <si>
    <t>078.386.144-30</t>
  </si>
  <si>
    <t>waleska.silva.0730.pbtec22@professor.pb.gov.br</t>
  </si>
  <si>
    <t>Waleska Layne dos Santos Silva</t>
  </si>
  <si>
    <t>https://drive.google.com/open?id=1Cr8J_8EuDk6FHHxTSyJm1OIUR8WmPkUF</t>
  </si>
  <si>
    <t>022.530.174-18</t>
  </si>
  <si>
    <t>elaine.gomes@see.pb.gov.br</t>
  </si>
  <si>
    <t>Elaine Cristina Maranhão de Macêdo</t>
  </si>
  <si>
    <t>ELAINE CRISTINA MARANHÃO DE MACÊDO</t>
  </si>
  <si>
    <t>https://drive.google.com/open?id=13r_t9LRpdxFnzBKm5S58_Lne3qH1A4ZA</t>
  </si>
  <si>
    <t>076.298.144-02</t>
  </si>
  <si>
    <t>jordenia.almeida.0702.pbtec23@professor.pb.gov.br</t>
  </si>
  <si>
    <t>Jordênia Adelaide de Almeida</t>
  </si>
  <si>
    <t>https://drive.google.com/open?id=1kKJM10fNfslJraR4EUFcT_Kd-g0QiuqU</t>
  </si>
  <si>
    <t>https://drive.google.com/open?id=1ldj8_agrMfYLioU1Bm5fjcPFbSwW5c96</t>
  </si>
  <si>
    <t>015/2024</t>
  </si>
  <si>
    <t>839.725.444-72</t>
  </si>
  <si>
    <t>marcelle.melo.8372.pbtec24@professor.pb.gov.br</t>
  </si>
  <si>
    <t>Marcelle Polyane Rodrigues Melo</t>
  </si>
  <si>
    <t>https://drive.google.com/open?id=1h3EQDbjSfjuxRJqkeubwiAfSwkP4FN-M</t>
  </si>
  <si>
    <t>839.725.444-73</t>
  </si>
  <si>
    <t>j.helvis@hotmail.com</t>
  </si>
  <si>
    <t>João Helvis Rodrigues de Freitas</t>
  </si>
  <si>
    <t>090.455.104-05</t>
  </si>
  <si>
    <t>https://drive.google.com/open?id=1oX-eMvwtgHP_sQuuwMcLMZcRtXN_Y-kE</t>
  </si>
  <si>
    <t>064.182.494-70</t>
  </si>
  <si>
    <t>pedrohcesar@hotmail.com</t>
  </si>
  <si>
    <t>Pedro Henrique Cesar</t>
  </si>
  <si>
    <t>https://drive.google.com/open?id=1CEFXSeOU-_T5ly8VePvOFgrv54cA6HAJ</t>
  </si>
  <si>
    <t>PATRIKY LUCENA DE BRITO</t>
  </si>
  <si>
    <t>https://drive.google.com/open?id=1mV7vaLBjGKvc0ZqROxFvRfRjEAlmcDNo</t>
  </si>
  <si>
    <t>075.615.344-18</t>
  </si>
  <si>
    <t>simonealvesflor@hotmail.com</t>
  </si>
  <si>
    <t>SIMONE SILVA ALVES</t>
  </si>
  <si>
    <t>https://drive.google.com/open?id=1qyXBxvC11cgC19uvAqZEuj7iIabHAzlc</t>
  </si>
  <si>
    <t>104.122.524-57</t>
  </si>
  <si>
    <t>anielly.amaro@hotmail.com</t>
  </si>
  <si>
    <t>Anielly Sousa Araujo</t>
  </si>
  <si>
    <t>https://drive.google.com/open?id=1rlH4MO7yDlFKsvbpk9VxxXyuvjmwonho</t>
  </si>
  <si>
    <t>085.234.404-02</t>
  </si>
  <si>
    <t>cleumacontabeis@gmail.com</t>
  </si>
  <si>
    <t>ANA CLEUMA GOMES DA SILVA</t>
  </si>
  <si>
    <t>https://drive.google.com/open?id=182HiQxUVwuDsXjrdaOh9uHhZ13MlwCGS</t>
  </si>
  <si>
    <t>118.271.614-85</t>
  </si>
  <si>
    <t>edson.santos.1185.pbtec23@professor.pb.gov.br</t>
  </si>
  <si>
    <t xml:space="preserve">Edson Luiz Guilherme dos Santos </t>
  </si>
  <si>
    <t>https://drive.google.com/open?id=1ykKotSdp4d_NR9LBNHNp7g84XzgCUiyT</t>
  </si>
  <si>
    <t>054/222</t>
  </si>
  <si>
    <t>087.378.044-21</t>
  </si>
  <si>
    <t>larissalucena89@hotmail.com</t>
  </si>
  <si>
    <t>larissa lucena almeida cavalcanti</t>
  </si>
  <si>
    <t>https://drive.google.com/open?id=1avqN0dG7b8jgaO40NAUcd4Feb4G1jlNp</t>
  </si>
  <si>
    <t>076.705.984-09</t>
  </si>
  <si>
    <t>alineramalhofs@gmail.com</t>
  </si>
  <si>
    <t xml:space="preserve">Aline ramalho ferreira da Silva </t>
  </si>
  <si>
    <t>https://drive.google.com/open?id=18yeBFomtm7z2VuA7JGt3s2m8mYCtiPaM</t>
  </si>
  <si>
    <t>025/2023</t>
  </si>
  <si>
    <t>067.848.634-45</t>
  </si>
  <si>
    <t>danilane.sousa.0645.pbtec23@escola.pb.gov.br</t>
  </si>
  <si>
    <t xml:space="preserve">Danilane de Sousa </t>
  </si>
  <si>
    <t>https://drive.google.com/open?id=1UM9QaAMxOmjFHiY9bV5LMYWHN1BbeD2g</t>
  </si>
  <si>
    <t>003</t>
  </si>
  <si>
    <t>https://drive.google.com/open?id=1YC8Dai-JmsKoJtPf_FN78cCKAIcmi2Yw</t>
  </si>
  <si>
    <t>003/2024</t>
  </si>
  <si>
    <t>CONVOCADO</t>
  </si>
  <si>
    <t>https://drive.google.com/open?id=1obPag9_Ifsc9aMO6vdnERjh6nkO6qU66</t>
  </si>
  <si>
    <t>083.661.044-00</t>
  </si>
  <si>
    <t>larissa.custodio.0800.pbtec24@professor.pb</t>
  </si>
  <si>
    <t>LARISSA LUANA PEREIRA CUSTODIO</t>
  </si>
  <si>
    <t>https://drive.google.com/open?id=1DxqsM0Lb-izZjutMVTTkdsAB1JZU6iSl</t>
  </si>
  <si>
    <t>021.375.914-48</t>
  </si>
  <si>
    <t>cristiane.rlfarias@professor.pb.gov.br</t>
  </si>
  <si>
    <t xml:space="preserve">Cristiane Leal Rodrigues de Farias </t>
  </si>
  <si>
    <t>https://drive.google.com/open?id=16ZtiZTSME1FFfq8ctv2DZrzKBrJw7ngM</t>
  </si>
  <si>
    <t>109.803.354-00</t>
  </si>
  <si>
    <t>gabriela.oliveira.1000.pbtec24@escola.pb.gov.br</t>
  </si>
  <si>
    <t xml:space="preserve">Gabriela Batista de Oliveira </t>
  </si>
  <si>
    <t>https://drive.google.com/open?id=1Fxk7g3Ir_52DLR3oiyz93UZHdJR5nuTn</t>
  </si>
  <si>
    <t>001/2024</t>
  </si>
  <si>
    <t>110.947.134-30</t>
  </si>
  <si>
    <t>netodomingos11@gmail.com</t>
  </si>
  <si>
    <t>José Domingos de Oliveira Neto</t>
  </si>
  <si>
    <t>https://drive.google.com/open?id=1fv4tty_Ig2XbZ-QXt7D3VnN4xc5lU3qb</t>
  </si>
  <si>
    <t>096.369.144-94</t>
  </si>
  <si>
    <t>leonardoliradebrito@gmail.com</t>
  </si>
  <si>
    <t>Leonardo Lira de Brito</t>
  </si>
  <si>
    <t>https://drive.google.com/open?id=1VpdQvxzZdmiqhJ072LXP6gBq8onETJKR</t>
  </si>
  <si>
    <t>084.175.114-58</t>
  </si>
  <si>
    <t>rafael_sousa084@professor.pb.gov.br</t>
  </si>
  <si>
    <t>RAFAEL ADRIANO SILVA DE SOUSA</t>
  </si>
  <si>
    <t>https://drive.google.com/open?id=1n3M4LPr4ElcgZgjiOLW1DHxlGOu_UwML</t>
  </si>
  <si>
    <t>076.123.274-57</t>
  </si>
  <si>
    <t>marta.silva.0757.pbtec22@escola.pb.gov.br</t>
  </si>
  <si>
    <t>MARTA SORAYA SOUSA SILVA</t>
  </si>
  <si>
    <t>https://drive.google.com/open?id=1zl75qkncyQVHSYLLUUuSumJPGJepgKCs</t>
  </si>
  <si>
    <t>041.071.894-73</t>
  </si>
  <si>
    <t>ademir.segundo.0473.pbtec22@escola.pb.gov.br</t>
  </si>
  <si>
    <t>ADEMIR COSTA DA SILVA SEGUNDO</t>
  </si>
  <si>
    <t>https://drive.google.com/open?id=1BtrehQWatrZybkYMLfdLFo_CU8ug_XsD</t>
  </si>
  <si>
    <t>055.272.274-09</t>
  </si>
  <si>
    <t>wevertonsouto78@gmail.com</t>
  </si>
  <si>
    <t>Weverton Rubens Souto Pereira</t>
  </si>
  <si>
    <t>https://drive.google.com/open?id=1a3vcMh_C3vAK9aTwnJjr5IX1ELYBjKax</t>
  </si>
  <si>
    <t>075.013.884-07</t>
  </si>
  <si>
    <t>rodrigo.costa.0707.pbtec23@professor.pb.gov.br</t>
  </si>
  <si>
    <t>Rodrigo Alves da Costa</t>
  </si>
  <si>
    <t>https://drive.google.com/open?id=15CdOb_AWcyZOuQLK8JkS2pkzJS9Kz8Tz</t>
  </si>
  <si>
    <t>031.185.864-35</t>
  </si>
  <si>
    <t>cleciosport1977@gmail.com</t>
  </si>
  <si>
    <t>Lindoclécio Besarria da Silva</t>
  </si>
  <si>
    <t>https://drive.google.com/open?id=1bCXDv-gPq9JP4Nuh8fdEg7gf_yArW29K</t>
  </si>
  <si>
    <t>067.366.204-73</t>
  </si>
  <si>
    <t>gildeilson.paulino.0673.pbtec22@professor.pb.gov.br</t>
  </si>
  <si>
    <t>Gildeilson Silva Paulino</t>
  </si>
  <si>
    <t>https://drive.google.com/open?id=1jyT23Ex5Gt1cQZTXrecqpiC_h_sT-rcb</t>
  </si>
  <si>
    <t>andersonseb.ufpb@gmail.com</t>
  </si>
  <si>
    <t>https://drive.google.com/open?id=14dfeHfxyTjEAL_t-K-FBxuqWtc9bjrpK</t>
  </si>
  <si>
    <t>089.330.684-30</t>
  </si>
  <si>
    <t>paulovitamar@hotmail.com</t>
  </si>
  <si>
    <t>PAULO VITAMAR DANTAS</t>
  </si>
  <si>
    <t>https://drive.google.com/open?id=1KSzINkUg_YCfV7pn475IBbXa42FsmG4A</t>
  </si>
  <si>
    <t>097.513.794-82</t>
  </si>
  <si>
    <t>eliel.oliveira.0982.pbtec23@professor.pb.gov.br</t>
  </si>
  <si>
    <t>Eliel Ananias Bezerra de Oliveira</t>
  </si>
  <si>
    <t>https://drive.google.com/open?id=1zn70yaW151QCsM7VYsBC3neJda0N92-d</t>
  </si>
  <si>
    <t>087.014.574-62</t>
  </si>
  <si>
    <t>amanda.machado.0862.pbtec22@escola.pb.gov.br</t>
  </si>
  <si>
    <t>AMANDA PEREIRA DE SIQUEIRA MACHADO</t>
  </si>
  <si>
    <t>https://drive.google.com/open?id=1r9PUkUpK5SO2VMOywam2UACb9y1b8srg</t>
  </si>
  <si>
    <t>102.221.004-19</t>
  </si>
  <si>
    <t>anderson.publicc@gmail.com</t>
  </si>
  <si>
    <t>Anderson da Silva Brito</t>
  </si>
  <si>
    <t>https://drive.google.com/open?id=1LYcdFvjPOltVeUTnxH2K3tCUTeV5InZb</t>
  </si>
  <si>
    <t>076.675.414-69</t>
  </si>
  <si>
    <t>manoel.silva14@professor.pb.gov.br</t>
  </si>
  <si>
    <t>Manoel Messias da Silva</t>
  </si>
  <si>
    <t>https://drive.google.com/open?id=1erqjhU5eoqv1QHdSwUrmL60d3O8uraQH</t>
  </si>
  <si>
    <t>082.551.894-67</t>
  </si>
  <si>
    <t>dacostalima.adm@gmail.com</t>
  </si>
  <si>
    <t xml:space="preserve">Amanda da Costa Lima </t>
  </si>
  <si>
    <t>https://drive.google.com/open?id=1PZfUSXD9Ro7t0gtIMN_sPdJWtbxkx9kf</t>
  </si>
  <si>
    <t>061.680.244-76</t>
  </si>
  <si>
    <t>mayara.silva.0676.pbtec21@professor.pb.gov.br</t>
  </si>
  <si>
    <t>Mayara dos Santos Silva</t>
  </si>
  <si>
    <t>https://drive.google.com/open?id=1iiK6Ib3Ps37a6gqQiWSy31Hj6-o6mTNt</t>
  </si>
  <si>
    <t>https://drive.google.com/open?id=1ZfGhhfd7pp6QKI7dqbIZpCHiq3dGclkm</t>
  </si>
  <si>
    <t>036.279.144-90</t>
  </si>
  <si>
    <t>samy.silva036279.pbtec@escola.pb.gov.br</t>
  </si>
  <si>
    <t>SAMY AUGUSTO DA SILVA</t>
  </si>
  <si>
    <t>https://drive.google.com/open?id=1Mhxyf0AAX9aWuJW5sJ5lz4SMbzgMIfWA</t>
  </si>
  <si>
    <t>467.939.254-15</t>
  </si>
  <si>
    <t>coordenacao.geral@see.pb.gov.br</t>
  </si>
  <si>
    <t xml:space="preserve">Elida Maria Leite Sette dos Santos </t>
  </si>
  <si>
    <t>0002</t>
  </si>
  <si>
    <t>https://drive.google.com/open?id=1-EhXOeWHNr9NzPNag559R3AtJhvU6Y0L</t>
  </si>
  <si>
    <t>0002/2024</t>
  </si>
  <si>
    <t>COORDENADOR</t>
  </si>
  <si>
    <t>https://drive.google.com/open?id=1ps-3lbI5HgfKm3yIJp7B-Dkf5_Yr7th4</t>
  </si>
  <si>
    <t>0003/2024</t>
  </si>
  <si>
    <t>101.832.557-39</t>
  </si>
  <si>
    <t>ricardosj1984@gmail.com</t>
  </si>
  <si>
    <t>Ricardo dos Santos de Jesus</t>
  </si>
  <si>
    <t>https://drive.google.com/open?id=1tcQNQLudenOWfg2TWjFMljE3eMYDep1u</t>
  </si>
  <si>
    <t>debora.abrantes9@outlook.com</t>
  </si>
  <si>
    <t>Débora Karyne da Silva Abrantes</t>
  </si>
  <si>
    <t>https://drive.google.com/open?id=1hDmORHNIBTtBbuxvjWFhTdAiud7cumpF</t>
  </si>
  <si>
    <t>075.970.594-18</t>
  </si>
  <si>
    <t>lailaproducao@gmail.com</t>
  </si>
  <si>
    <t>Laíla Alana Januário Alves</t>
  </si>
  <si>
    <t>https://drive.google.com/open?id=1iaU4vc5ey6X81VwyXy6niIrHyISGDWvh</t>
  </si>
  <si>
    <t>016/2024</t>
  </si>
  <si>
    <t>323.529.564-04</t>
  </si>
  <si>
    <t>carlosgestorrh@gmail.com</t>
  </si>
  <si>
    <t>CARLOS ANTÔNIO SANTOS</t>
  </si>
  <si>
    <t>https://drive.google.com/open?id=1s0g3-r9b51AjZSvGes95beK3qFNqSFD6</t>
  </si>
  <si>
    <t>082.618.674-20</t>
  </si>
  <si>
    <t>itaiara.carvalho@ee.ufcg.edu.br</t>
  </si>
  <si>
    <t>Itaiara Felix Carvalho</t>
  </si>
  <si>
    <t>https://drive.google.com/open?id=107Xj0L8Pgou7ukF3AZRt4keT9bUROPDf</t>
  </si>
  <si>
    <t>228.276.908-29</t>
  </si>
  <si>
    <t>lorranearruda123@gmail.com</t>
  </si>
  <si>
    <t>Lorrane Mariano Arruda</t>
  </si>
  <si>
    <t>https://drive.google.com/open?id=157kebhSH7iTUTVJ9MHpzGxzmH9ltr6su</t>
  </si>
  <si>
    <t>109.023.854-10</t>
  </si>
  <si>
    <t>marinaximenes2@gmail.com</t>
  </si>
  <si>
    <t>Marina Ximenes de Lima Oliveira</t>
  </si>
  <si>
    <t>https://drive.google.com/open?id=1Ca56mSdOqEhSQ_ugyBTfdRrXBvDK7sM2</t>
  </si>
  <si>
    <t>Moaci Arnaldo de Souz</t>
  </si>
  <si>
    <t>https://drive.google.com/open?id=1ZiNadRoiWMlT-VcwHJSi9dUKB_BRCO7X</t>
  </si>
  <si>
    <t>753.773.064-49</t>
  </si>
  <si>
    <t>louiisaraujo@hotmail.com</t>
  </si>
  <si>
    <t>LUIS SILVA ARAUJO</t>
  </si>
  <si>
    <t>https://drive.google.com/open?id=1quh4_a5nRU3-JmgTOpwM67y9dqIGTNWQ</t>
  </si>
  <si>
    <t>441.786.204-44</t>
  </si>
  <si>
    <t>mjq10pb@gmail.com</t>
  </si>
  <si>
    <t xml:space="preserve">Maria José Queiroga dos Santos </t>
  </si>
  <si>
    <t>https://drive.google.com/open?id=14evIt_1Ja6MOtdErroe9ysMdPwyHm6R7</t>
  </si>
  <si>
    <t>086.931.154-99</t>
  </si>
  <si>
    <t>pluma.r@live.com</t>
  </si>
  <si>
    <t xml:space="preserve">Ráule Pluma de Sousa </t>
  </si>
  <si>
    <t>https://drive.google.com/open?id=14mAFCg4iLZdNLoN0V8tntqejG9pBWWnl</t>
  </si>
  <si>
    <t>012.458.553-10</t>
  </si>
  <si>
    <t>tavaresannyrh@gmail.com</t>
  </si>
  <si>
    <t>sanny tavares bastos</t>
  </si>
  <si>
    <t>https://drive.google.com/open?id=10_zDPg8mSqkEtznJZMfwOTE9UoGip0Nh</t>
  </si>
  <si>
    <t>095.189.364-55</t>
  </si>
  <si>
    <t>pamplona.gustavo@gmail.com</t>
  </si>
  <si>
    <t>Gustavo César Pamplona de Sousa</t>
  </si>
  <si>
    <t>https://drive.google.com/open?id=1Vqi1RhM1OHGaoWmTWKJoyLaS5F9dGwO4</t>
  </si>
  <si>
    <t>096.724.814-03</t>
  </si>
  <si>
    <t>agnovani@gmail.com</t>
  </si>
  <si>
    <t>Giovanna de Fatima Abrantes Oliveira</t>
  </si>
  <si>
    <t>https://drive.google.com/open?id=1SKLzddThHRKQ6kaUmwMrXSgmih1XH531</t>
  </si>
  <si>
    <t>084.694.544-47</t>
  </si>
  <si>
    <t>raquel.silvamacielsm@gmail.com</t>
  </si>
  <si>
    <t>RAQUEL SILVA MACIEL</t>
  </si>
  <si>
    <t>https://drive.google.com/open?id=1PTwvvqKRFVDUJi_z1DCNFMWaSYWyyfL1</t>
  </si>
  <si>
    <t>078.805.824-01</t>
  </si>
  <si>
    <t>edjanebio22@gmail.com</t>
  </si>
  <si>
    <t xml:space="preserve">Edjane Pereira Cabral </t>
  </si>
  <si>
    <t>https://drive.google.com/open?id=1lWusR1mQncZJ4UEPs_VoVlazqhvCvOeQ</t>
  </si>
  <si>
    <t>057.790.164-88</t>
  </si>
  <si>
    <t>monteirommo@gmail.com</t>
  </si>
  <si>
    <t>Matheus Morais de Oliveira Monteiro</t>
  </si>
  <si>
    <t>https://drive.google.com/open?id=1MfiVSs5-qhT-u5J4kf_c_G727yjEOorM</t>
  </si>
  <si>
    <t>041.417.104-74</t>
  </si>
  <si>
    <t>franklingracylet@gmail.com</t>
  </si>
  <si>
    <t>Gracilete Franklin dos Santos</t>
  </si>
  <si>
    <t>https://drive.google.com/open?id=1TZIv-_Tc1kZ_aImYuaBhSjCLR2gu0mvQ</t>
  </si>
  <si>
    <t>fernandadossantosnunes@outlook.com</t>
  </si>
  <si>
    <t>Fernanda dos Santos Nunes de Melo</t>
  </si>
  <si>
    <t>https://drive.google.com/open?id=1oeBvrnBEdJvjBEG92-Iy1N_7sBnHe-tc</t>
  </si>
  <si>
    <t>025.378.913-33</t>
  </si>
  <si>
    <t>edsdavid37@gmail.com</t>
  </si>
  <si>
    <t>Edson David Souza dos Santos</t>
  </si>
  <si>
    <t>https://drive.google.com/open?id=1H5mSLOcZgCh45ijNA5cUTXwaOKd5TS7m</t>
  </si>
  <si>
    <t>FALTA ASSINATURA DO TERMO</t>
  </si>
  <si>
    <t>https://drive.google.com/open?id=1K09vdlzSht_erJ1GlHZzQfPBXDNUsvqb</t>
  </si>
  <si>
    <t>083.184.444-26</t>
  </si>
  <si>
    <t>PROFESSOR.THIAGOFERREIRA1@gmail.com</t>
  </si>
  <si>
    <t xml:space="preserve">Thiago Costa Ferreira </t>
  </si>
  <si>
    <t>https://drive.google.com/open?id=1xOTlmQB309hdEKaSQ_RYSjHUgvbo-TZL</t>
  </si>
  <si>
    <t>094.511.394-35</t>
  </si>
  <si>
    <t>lbcampos78@gmail.com</t>
  </si>
  <si>
    <t>Lucas bezerra campos</t>
  </si>
  <si>
    <t>https://drive.google.com/open?id=1QjfRQrcp-_M5qIOgktHOSMrCXEITXttm</t>
  </si>
  <si>
    <t>088.978.534-12</t>
  </si>
  <si>
    <t>silvaraujosenildo@outlook.com</t>
  </si>
  <si>
    <t>Josenildo Araújo da Silva</t>
  </si>
  <si>
    <t>https://drive.google.com/open?id=1S55uqmEKDezaEroxkLSQzl_Tca6307Re</t>
  </si>
  <si>
    <t>085.073.714-18</t>
  </si>
  <si>
    <t>eduuna.agro@gmail.com</t>
  </si>
  <si>
    <t>EDUARDO FERNANDES QUEIROGA DE FREITAS</t>
  </si>
  <si>
    <t>https://drive.google.com/open?id=1lNRzAbQsq3iGwlzaYC4nUB8zDBgI8eyW</t>
  </si>
  <si>
    <t>055.429.214-93</t>
  </si>
  <si>
    <t>nicleide.nascimento@gmail.com</t>
  </si>
  <si>
    <t>Nicleide Maria do Nascimento</t>
  </si>
  <si>
    <t>https://drive.google.com/open?id=1hGReHQqjNx7evJMXb_Wer_71oVwYAQgx</t>
  </si>
  <si>
    <t>https://drive.google.com/open?id=1qXma2KxJk5NQSUD4OjQ4ercipNx7QWLg</t>
  </si>
  <si>
    <t>038.678.244-01</t>
  </si>
  <si>
    <t>ser1biologo@gmail.com</t>
  </si>
  <si>
    <t>Sergio Costa de Mello</t>
  </si>
  <si>
    <t>https://drive.google.com/open?id=1Murifv--sLkjXeZfEQ1H11BFkKxW_s5q</t>
  </si>
  <si>
    <t>111.018.644-43</t>
  </si>
  <si>
    <t>michelly.alves94@gmail.com</t>
  </si>
  <si>
    <t xml:space="preserve">Michelle Alves de Souza Costa </t>
  </si>
  <si>
    <t>https://drive.google.com/open?id=16JL4tK38ze0aEZQEUzUUOh0KIg0CSRZ6</t>
  </si>
  <si>
    <t>113.673.824-08</t>
  </si>
  <si>
    <t>klaisegomes@gmail.com</t>
  </si>
  <si>
    <t>kelly laise gomes</t>
  </si>
  <si>
    <t>https://drive.google.com/open?id=1MBCRchfykBIsY6h8j3wPpa9bSqdojwIy</t>
  </si>
  <si>
    <t>https://drive.google.com/open?id=132NtvityvSk9WUHwHhvIytvKebZp7Rtv</t>
  </si>
  <si>
    <t>078.374.434-03</t>
  </si>
  <si>
    <t>einswell@gmail.com</t>
  </si>
  <si>
    <t>Einswell Oliveira Costa</t>
  </si>
  <si>
    <t>https://drive.google.com/open?id=15i3KdwnZZrPTGlJmJgvpqXxwusm0Vmz5</t>
  </si>
  <si>
    <t>093.787.874-01</t>
  </si>
  <si>
    <t>iarasoares.amparo@gmail.com</t>
  </si>
  <si>
    <t xml:space="preserve">Iara Soares do Nascimento </t>
  </si>
  <si>
    <t>https://drive.google.com/open?id=1Bnl_JrUxgRFNB8CeTwnx63rmWijpLFqm</t>
  </si>
  <si>
    <t>016.121.184-45</t>
  </si>
  <si>
    <t>evertonpereirapontes@gmail.com</t>
  </si>
  <si>
    <t>Everton Pereira de Pontes</t>
  </si>
  <si>
    <t>https://drive.google.com/open?id=1KSdpupqJYmJROpHhMQyVjU5qTjHz5LIs</t>
  </si>
  <si>
    <t>054.734.234-93</t>
  </si>
  <si>
    <t>fellipebbb@gmail.com</t>
  </si>
  <si>
    <t>FELLIPE BRUNO BARBOSA BANDEIRA</t>
  </si>
  <si>
    <t>https://drive.google.com/open?id=1RjFW5k_2klj3Riwvsl1TvEHJ9PpUTdWz</t>
  </si>
  <si>
    <t>011.306.214-13</t>
  </si>
  <si>
    <t>kilmarakaka@gmail.com</t>
  </si>
  <si>
    <t>KILMARA JANICE VIEIRA DE SÁ CÂNDIDO</t>
  </si>
  <si>
    <t>https://drive.google.com/open?id=1jHNHfPaNlmny4b-fAHgZ63IC9JvzrJyo</t>
  </si>
  <si>
    <t>108.428.714-54</t>
  </si>
  <si>
    <t>marinadantasdias@gmail.com</t>
  </si>
  <si>
    <t>Marina Sanilene Dantas Dias</t>
  </si>
  <si>
    <t>https://drive.google.com/open?id=1S5TO6eBY8P_USt9KNw8FaI0QTnxlnPvi</t>
  </si>
  <si>
    <t>055.881.194-95</t>
  </si>
  <si>
    <t>fernandadgdantas@gmail.com</t>
  </si>
  <si>
    <t>Fernanda Daniele Gonçalves Dantas</t>
  </si>
  <si>
    <t>https://drive.google.com/open?id=1ntHEsh8TjViDyNul_qFcSOy_9u6Z5M_K</t>
  </si>
  <si>
    <t>884.298.144-34</t>
  </si>
  <si>
    <t>carlacalmeida7@gmail.com</t>
  </si>
  <si>
    <t>CARLA CRISTINA DE ALMEIDA</t>
  </si>
  <si>
    <t>https://drive.google.com/open?id=1LPytyyUDTummiKWZgSczTTVPaytMcrUt</t>
  </si>
  <si>
    <t>701.168.094-26</t>
  </si>
  <si>
    <t>railson.redator@gmail.com</t>
  </si>
  <si>
    <t>Railson Souza de Bulhões</t>
  </si>
  <si>
    <t>https://drive.google.com/open?id=1x1r76qVAk43Q-tGkm2Zf2sboNjHFtUQx</t>
  </si>
  <si>
    <t>023.673.794-59</t>
  </si>
  <si>
    <t>silviamfsilva78@gmail.com</t>
  </si>
  <si>
    <t>Silvia Maria Ferreira da Silva</t>
  </si>
  <si>
    <t>https://drive.google.com/open?id=1n-IGYBa-PNSsXSajIKgZ6Q9C2mW3mXpJ</t>
  </si>
  <si>
    <t>084.160.224-70</t>
  </si>
  <si>
    <t>adriana.oliveira4@professor.pb.gov.br</t>
  </si>
  <si>
    <t>JOSE AYRON MORAES DE LIMA</t>
  </si>
  <si>
    <t>https://drive.google.com/open?id=1NL2uaxzsoZRAgSy3bqXBMWnfpZ0CmGPh</t>
  </si>
  <si>
    <t>011.025.273-00</t>
  </si>
  <si>
    <t>thiagoalvesfurtado@gmail.com</t>
  </si>
  <si>
    <t>TIAGO ALVES FURTADO</t>
  </si>
  <si>
    <t>https://drive.google.com/open?id=1VCGKFyvw9I3RWIzCXxRkzZJ81Qq2ThrC</t>
  </si>
  <si>
    <t>029.367.024-29</t>
  </si>
  <si>
    <t>sayurim.tanaka@see.pb.gov.br</t>
  </si>
  <si>
    <t>SAYURI TANAKA</t>
  </si>
  <si>
    <t>RITA DE CÁSSIA FERNANDES DA COSTA</t>
  </si>
  <si>
    <t>966.039.684-87</t>
  </si>
  <si>
    <t>https://drive.google.com/open?id=17motfjHDT1fUwSts7yOPMT1FOCHPt1To</t>
  </si>
  <si>
    <t>JOSÉ DIONES NUNES DOS SANTOS</t>
  </si>
  <si>
    <t>064.826.384-30</t>
  </si>
  <si>
    <t>https://drive.google.com/open?id=1KUURzE-2WsFb7uheyP8MfIygkChrn4q2</t>
  </si>
  <si>
    <t>JOSE DIONES NUNES DOS SANTOS</t>
  </si>
  <si>
    <t>https://drive.google.com/open?id=1hc5xeeiH5Sy6lyRlk8Pnf3gXGUIcLFH0</t>
  </si>
  <si>
    <t>ANDREIA CIRLENE FELINTO DE VASCONCELOS</t>
  </si>
  <si>
    <t>063.832.534-09</t>
  </si>
  <si>
    <t>https://drive.google.com/open?id=1wWohCLF7zUX_asWYmbhGqcZeCWPhA-_F</t>
  </si>
  <si>
    <t>ANGELO SOUSA OLIVEIRA</t>
  </si>
  <si>
    <t>011.931.704-43</t>
  </si>
  <si>
    <t>https://drive.google.com/open?id=1OKVoDy3Q5nLFOZxPkegut-FTNqtTjXnX</t>
  </si>
  <si>
    <t>https://drive.google.com/open?id=1d6ywWAkCIWwXoPdo2R3C-ndJf6s72lmc</t>
  </si>
  <si>
    <t>CARLA VALERIA FERREIRA TAVARES</t>
  </si>
  <si>
    <t>069.270.784-01</t>
  </si>
  <si>
    <t>https://drive.google.com/open?id=1Qwk_FbH7JgiQpn_14hz4NtGZ0muDQcEj</t>
  </si>
  <si>
    <t>SILVIA MARIA FERREIRA DA SILVA</t>
  </si>
  <si>
    <t>https://drive.google.com/open?id=1L1-nLDeSCd_VfyYv1lLOw7ghB81zf_wA</t>
  </si>
  <si>
    <t>100.617.664-02</t>
  </si>
  <si>
    <t>vanderleiafernanda@gmail.com</t>
  </si>
  <si>
    <t>Vanderléia Fernanda dos Santos Araújo</t>
  </si>
  <si>
    <t>https://drive.google.com/open?id=1RFk3Ui-7MwFOU0YV5eEASC4LpBOyMRGq</t>
  </si>
  <si>
    <t>054.923.964-20</t>
  </si>
  <si>
    <t>viviannecarneiroadv@gmail.com</t>
  </si>
  <si>
    <t xml:space="preserve">Vivianne Valéria Carneiro de Oliveira </t>
  </si>
  <si>
    <t>https://drive.google.com/open?id=1xVMTWvaaEGYYBuYbK_D5sDXP0Y-c3PRg</t>
  </si>
  <si>
    <t>119.544.954-20</t>
  </si>
  <si>
    <t>marialuizap016@gmail.com</t>
  </si>
  <si>
    <t>Maria Luísa Pontes Machado Neta</t>
  </si>
  <si>
    <t>https://drive.google.com/open?id=1XkO_Jzas0ADurZg4HMwIyhT91qAp_aA3</t>
  </si>
  <si>
    <t>109.006.574-48</t>
  </si>
  <si>
    <t>mariliagabrielly2018@gmail.com</t>
  </si>
  <si>
    <t>Marília Gabrielly Santos de Souza</t>
  </si>
  <si>
    <t>https://drive.google.com/open?id=1dg5ahfS6uE8tIzf2DpmpiWYLbEFHYE_l</t>
  </si>
  <si>
    <t>IMPORTRANGE("https://docs.google.com/spreadsheets/d/1DGzuXOf_yAcPxHjCsuwn33lZV0ZDF4momQ7BzdIY3mo";"MATRÍCULAS!B1:F230")</t>
  </si>
  <si>
    <t xml:space="preserve">Escola Estadual Monsenhor João Coutinho </t>
  </si>
  <si>
    <t>FALTA DEFINIR</t>
  </si>
  <si>
    <t xml:space="preserve">CADEIA PÚBLICA FEMININA </t>
  </si>
  <si>
    <t>160</t>
  </si>
  <si>
    <t>JOÃO PESSOA</t>
  </si>
  <si>
    <t>GERÊNCIA EXECUTIVA DE RESSOCIALIZAÇÃO (SEAP)</t>
  </si>
  <si>
    <t xml:space="preserve">COSTUREIRO DE MÁQUINA RETA E OVERLOQUE </t>
  </si>
  <si>
    <t>ECIT Monsenhor Vicente Freitas</t>
  </si>
  <si>
    <t>ESCOLA MUNICIPAL RUI CARNEIRO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</si>
</sst>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d/mm/yyyy\ hh:mm:ss"/>
    <numFmt numFmtId="165" formatCode="000"/>
    <numFmt numFmtId="166" formatCode="m/d/yyyy\ h:mm:ss"/>
  </numFmts>
  <fonts count="10" x14ac:knownFonts="1">
    <font>
      <sz val="10"/>
      <color rgb="FF000000"/>
      <name val="Arial"/>
      <scheme val="minor"/>
    </font>
    <font>
      <sz val="10"/>
      <color theme="1"/>
      <name val="Roboto"/>
    </font>
    <font>
      <b/>
      <sz val="10"/>
      <color theme="1"/>
      <name val="Roboto"/>
    </font>
    <font>
      <b/>
      <sz val="11"/>
      <color rgb="FFFFFFFF"/>
      <name val="Roboto"/>
    </font>
    <font>
      <sz val="10"/>
      <name val="Arial"/>
      <family val="2"/>
    </font>
    <font>
      <sz val="10"/>
      <color theme="1"/>
      <name val="Roboto"/>
    </font>
    <font>
      <b/>
      <sz val="10"/>
      <color theme="1"/>
      <name val="Roboto"/>
    </font>
    <font>
      <sz val="10"/>
      <color theme="1"/>
      <name val="Arial"/>
      <family val="2"/>
      <scheme val="minor"/>
    </font>
    <font>
      <u/>
      <sz val="10"/>
      <color rgb="FF0000FF"/>
      <name val="Roboto"/>
    </font>
    <font>
      <u/>
      <sz val="10"/>
      <color rgb="FF0000FF"/>
      <name val="Arial"/>
      <family val="2"/>
    </font>
  </fonts>
  <fills count="7">
    <fill>
      <patternFill patternType="none"/>
    </fill>
    <fill>
      <patternFill patternType="gray125"/>
    </fill>
    <fill>
      <patternFill patternType="solid">
        <fgColor rgb="FF76A5AF"/>
        <bgColor rgb="FF76A5AF"/>
      </patternFill>
    </fill>
    <fill>
      <patternFill patternType="solid">
        <fgColor rgb="FFA2C4C9"/>
        <bgColor rgb="FFA2C4C9"/>
      </patternFill>
    </fill>
    <fill>
      <patternFill patternType="solid">
        <fgColor rgb="FF999999"/>
        <bgColor rgb="FF999999"/>
      </patternFill>
    </fill>
    <fill>
      <patternFill patternType="solid">
        <fgColor rgb="FFFFFFFF"/>
        <bgColor rgb="FFFFFFFF"/>
      </patternFill>
    </fill>
    <fill>
      <patternFill patternType="solid">
        <fgColor rgb="FFFF9900"/>
        <bgColor rgb="FFFF9900"/>
      </patternFill>
    </fill>
  </fills>
  <borders count="7">
    <border>
      <left/>
      <right/>
      <top/>
      <bottom/>
      <diagonal/>
    </border>
    <border>
      <left style="medium">
        <color rgb="FFB7B7B7"/>
      </left>
      <right/>
      <top style="medium">
        <color rgb="FFB7B7B7"/>
      </top>
      <bottom/>
      <diagonal/>
    </border>
    <border>
      <left/>
      <right/>
      <top style="medium">
        <color rgb="FFB7B7B7"/>
      </top>
      <bottom/>
      <diagonal/>
    </border>
    <border>
      <left/>
      <right style="medium">
        <color rgb="FFB7B7B7"/>
      </right>
      <top style="medium">
        <color rgb="FFB7B7B7"/>
      </top>
      <bottom/>
      <diagonal/>
    </border>
    <border>
      <left style="medium">
        <color rgb="FFB7B7B7"/>
      </left>
      <right/>
      <top style="medium">
        <color rgb="FFB7B7B7"/>
      </top>
      <bottom style="medium">
        <color rgb="FFB7B7B7"/>
      </bottom>
      <diagonal/>
    </border>
    <border>
      <left/>
      <right/>
      <top style="medium">
        <color rgb="FFB7B7B7"/>
      </top>
      <bottom style="medium">
        <color rgb="FFB7B7B7"/>
      </bottom>
      <diagonal/>
    </border>
    <border>
      <left style="medium">
        <color rgb="FFB7B7B7"/>
      </left>
      <right/>
      <top/>
      <bottom/>
      <diagonal/>
    </border>
  </borders>
  <cellStyleXfs count="1">
    <xf numFmtId="0" fontId="0" fillId="0" borderId="0"/>
  </cellStyleXfs>
  <cellXfs count="81">
    <xf numFmtId="0" fontId="0" fillId="0" borderId="0" xfId="0" applyFont="1" applyAlignment="1"/>
    <xf numFmtId="0" fontId="1"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49" fontId="3" fillId="4" borderId="4"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xf>
    <xf numFmtId="14" fontId="3" fillId="4" borderId="5" xfId="0" applyNumberFormat="1" applyFont="1" applyFill="1" applyBorder="1" applyAlignment="1">
      <alignment horizontal="center" vertical="center" wrapText="1"/>
    </xf>
    <xf numFmtId="0" fontId="3" fillId="4" borderId="5" xfId="0" applyFont="1" applyFill="1" applyBorder="1" applyAlignment="1">
      <alignment horizontal="center" vertical="center" wrapText="1"/>
    </xf>
    <xf numFmtId="0" fontId="1" fillId="5" borderId="0" xfId="0" applyFont="1" applyFill="1" applyAlignment="1">
      <alignment horizontal="center" vertical="center" wrapText="1"/>
    </xf>
    <xf numFmtId="49" fontId="2" fillId="2" borderId="1"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5" borderId="0" xfId="0" applyFont="1" applyFill="1" applyAlignment="1">
      <alignment horizontal="center" vertical="center" wrapText="1"/>
    </xf>
    <xf numFmtId="49" fontId="1" fillId="0" borderId="6" xfId="0" applyNumberFormat="1" applyFont="1" applyBorder="1" applyAlignment="1">
      <alignment vertical="center"/>
    </xf>
    <xf numFmtId="49" fontId="1" fillId="0" borderId="0" xfId="0" applyNumberFormat="1" applyFont="1" applyAlignment="1">
      <alignment vertical="center"/>
    </xf>
    <xf numFmtId="0" fontId="1" fillId="0" borderId="6" xfId="0" applyFont="1" applyBorder="1" applyAlignment="1">
      <alignment horizontal="center" vertical="center" wrapText="1"/>
    </xf>
    <xf numFmtId="49"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6" xfId="0" applyFont="1" applyBorder="1" applyAlignment="1">
      <alignment horizontal="center" vertical="center" wrapText="1"/>
    </xf>
    <xf numFmtId="0" fontId="1" fillId="5" borderId="0" xfId="0" applyFont="1" applyFill="1" applyAlignment="1">
      <alignment horizontal="center" vertical="center" wrapText="1"/>
    </xf>
    <xf numFmtId="49" fontId="1" fillId="0" borderId="0" xfId="0" applyNumberFormat="1" applyFont="1" applyAlignment="1">
      <alignment horizontal="left" vertical="center"/>
    </xf>
    <xf numFmtId="0" fontId="5" fillId="0" borderId="0" xfId="0" applyFont="1" applyAlignment="1">
      <alignment horizontal="center" vertical="center" wrapText="1"/>
    </xf>
    <xf numFmtId="0" fontId="2" fillId="0" borderId="0" xfId="0" applyFont="1" applyAlignment="1">
      <alignment horizontal="center" vertical="center" wrapText="1"/>
    </xf>
    <xf numFmtId="49" fontId="1" fillId="0" borderId="0" xfId="0"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vertical="center"/>
    </xf>
    <xf numFmtId="49" fontId="2" fillId="0" borderId="0" xfId="0" applyNumberFormat="1" applyFont="1" applyAlignment="1">
      <alignment horizontal="center" vertical="center"/>
    </xf>
    <xf numFmtId="0" fontId="2" fillId="2" borderId="0" xfId="0" applyFont="1" applyFill="1" applyAlignment="1">
      <alignment horizontal="center" vertical="center" wrapText="1"/>
    </xf>
    <xf numFmtId="49" fontId="1" fillId="0" borderId="0" xfId="0" applyNumberFormat="1" applyFont="1" applyAlignment="1">
      <alignment vertical="center"/>
    </xf>
    <xf numFmtId="0" fontId="1" fillId="0" borderId="0" xfId="0" applyFont="1" applyAlignment="1">
      <alignment vertical="center" wrapText="1"/>
    </xf>
    <xf numFmtId="0" fontId="1" fillId="0" borderId="0" xfId="0" applyFont="1" applyAlignment="1">
      <alignment vertical="center"/>
    </xf>
    <xf numFmtId="49" fontId="1" fillId="0" borderId="0" xfId="0" applyNumberFormat="1" applyFont="1" applyAlignment="1">
      <alignment vertical="center"/>
    </xf>
    <xf numFmtId="0" fontId="6" fillId="0" borderId="0" xfId="0" applyFont="1" applyAlignment="1">
      <alignment horizontal="center" vertical="center"/>
    </xf>
    <xf numFmtId="0" fontId="1"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wrapText="1"/>
    </xf>
    <xf numFmtId="1" fontId="1" fillId="0" borderId="0" xfId="0" applyNumberFormat="1" applyFont="1" applyAlignment="1">
      <alignment horizontal="center" vertical="center"/>
    </xf>
    <xf numFmtId="164" fontId="6" fillId="0" borderId="0" xfId="0" applyNumberFormat="1" applyFont="1" applyAlignment="1">
      <alignment horizontal="center" vertical="center" wrapText="1"/>
    </xf>
    <xf numFmtId="0" fontId="6" fillId="0" borderId="0" xfId="0" applyFont="1" applyAlignment="1">
      <alignment horizontal="left" vertical="center" wrapText="1"/>
    </xf>
    <xf numFmtId="164" fontId="1" fillId="0" borderId="0" xfId="0" applyNumberFormat="1" applyFont="1" applyAlignment="1">
      <alignment horizontal="center" vertical="center" wrapText="1"/>
    </xf>
    <xf numFmtId="49" fontId="1" fillId="0" borderId="0" xfId="0" applyNumberFormat="1" applyFont="1" applyAlignment="1">
      <alignment horizontal="left" vertical="center"/>
    </xf>
    <xf numFmtId="49" fontId="1" fillId="0" borderId="0" xfId="0" applyNumberFormat="1" applyFont="1" applyAlignment="1">
      <alignment horizontal="center" vertical="center" wrapText="1"/>
    </xf>
    <xf numFmtId="0" fontId="7" fillId="0" borderId="0" xfId="0" applyFont="1" applyAlignment="1">
      <alignment horizontal="center" vertical="center"/>
    </xf>
    <xf numFmtId="0" fontId="1" fillId="0" borderId="0" xfId="0" applyFont="1" applyAlignment="1"/>
    <xf numFmtId="0" fontId="1" fillId="0" borderId="0" xfId="0" applyFont="1"/>
    <xf numFmtId="0" fontId="8" fillId="0" borderId="0" xfId="0" applyFont="1"/>
    <xf numFmtId="14" fontId="1" fillId="0" borderId="0" xfId="0" applyNumberFormat="1" applyFont="1"/>
    <xf numFmtId="0" fontId="7" fillId="0" borderId="0" xfId="0" applyFont="1"/>
    <xf numFmtId="0" fontId="7" fillId="0" borderId="0" xfId="0" applyFont="1" applyAlignment="1"/>
    <xf numFmtId="0" fontId="7" fillId="0" borderId="0" xfId="0" applyFont="1" applyAlignment="1"/>
    <xf numFmtId="0" fontId="7" fillId="0" borderId="0" xfId="0" applyFont="1" applyAlignment="1"/>
    <xf numFmtId="0" fontId="7" fillId="0" borderId="0" xfId="0" applyFont="1" applyAlignment="1"/>
    <xf numFmtId="0" fontId="7" fillId="0" borderId="0" xfId="0" applyFont="1" applyAlignment="1"/>
    <xf numFmtId="165" fontId="7" fillId="0" borderId="0" xfId="0" applyNumberFormat="1" applyFont="1" applyAlignment="1"/>
    <xf numFmtId="166" fontId="7" fillId="0" borderId="0" xfId="0" applyNumberFormat="1" applyFont="1" applyAlignment="1"/>
    <xf numFmtId="49" fontId="7" fillId="0" borderId="0" xfId="0" applyNumberFormat="1" applyFont="1" applyAlignment="1"/>
    <xf numFmtId="0" fontId="7" fillId="6" borderId="0" xfId="0" applyFont="1" applyFill="1" applyAlignment="1"/>
    <xf numFmtId="49" fontId="7" fillId="6" borderId="0" xfId="0" applyNumberFormat="1" applyFont="1" applyFill="1" applyAlignment="1"/>
    <xf numFmtId="0" fontId="7" fillId="6" borderId="0" xfId="0" applyFont="1" applyFill="1" applyAlignment="1"/>
    <xf numFmtId="0" fontId="7" fillId="6" borderId="0" xfId="0" applyFont="1" applyFill="1"/>
    <xf numFmtId="0" fontId="9" fillId="0" borderId="0" xfId="0" applyFont="1" applyAlignment="1"/>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xf>
    <xf numFmtId="49" fontId="3" fillId="3" borderId="1" xfId="0" applyNumberFormat="1" applyFont="1" applyFill="1" applyBorder="1" applyAlignment="1">
      <alignment horizontal="center" vertical="center"/>
    </xf>
    <xf numFmtId="0" fontId="4" fillId="0" borderId="2" xfId="0" applyFont="1" applyBorder="1"/>
    <xf numFmtId="0" fontId="4" fillId="0" borderId="3" xfId="0" applyFont="1" applyBorder="1"/>
  </cellXfs>
  <cellStyles count="1">
    <cellStyle name="Normal" xfId="0" builtinId="0"/>
  </cellStyles>
  <dxfs count="54">
    <dxf>
      <font>
        <b/>
      </font>
      <fill>
        <patternFill patternType="solid">
          <fgColor rgb="FFDD7E6B"/>
          <bgColor rgb="FFDD7E6B"/>
        </patternFill>
      </fill>
    </dxf>
    <dxf>
      <fill>
        <patternFill patternType="solid">
          <fgColor rgb="FFFFE599"/>
          <bgColor rgb="FFFFE599"/>
        </patternFill>
      </fill>
    </dxf>
    <dxf>
      <fill>
        <patternFill patternType="solid">
          <fgColor rgb="FFEA9999"/>
          <bgColor rgb="FFEA9999"/>
        </patternFill>
      </fill>
    </dxf>
    <dxf>
      <fill>
        <patternFill patternType="solid">
          <fgColor rgb="FFEBEFF1"/>
          <bgColor rgb="FFEBEFF1"/>
        </patternFill>
      </fill>
    </dxf>
    <dxf>
      <fill>
        <patternFill patternType="solid">
          <fgColor rgb="FFFFFFFF"/>
          <bgColor rgb="FFFFFFFF"/>
        </patternFill>
      </fill>
    </dxf>
    <dxf>
      <fill>
        <patternFill patternType="solid">
          <fgColor rgb="FF78909C"/>
          <bgColor rgb="FF78909C"/>
        </patternFill>
      </fill>
    </dxf>
    <dxf>
      <fill>
        <patternFill patternType="solid">
          <fgColor rgb="FFEBEFF1"/>
          <bgColor rgb="FFEBEFF1"/>
        </patternFill>
      </fill>
    </dxf>
    <dxf>
      <fill>
        <patternFill patternType="solid">
          <fgColor rgb="FFFFFFFF"/>
          <bgColor rgb="FFFFFFFF"/>
        </patternFill>
      </fill>
    </dxf>
    <dxf>
      <fill>
        <patternFill patternType="solid">
          <fgColor rgb="FF78909C"/>
          <bgColor rgb="FF78909C"/>
        </patternFill>
      </fill>
    </dxf>
    <dxf>
      <fill>
        <patternFill patternType="solid">
          <fgColor rgb="FFEBEFF1"/>
          <bgColor rgb="FFEBEFF1"/>
        </patternFill>
      </fill>
    </dxf>
    <dxf>
      <fill>
        <patternFill patternType="solid">
          <fgColor rgb="FFFFFFFF"/>
          <bgColor rgb="FFFFFFFF"/>
        </patternFill>
      </fill>
    </dxf>
    <dxf>
      <fill>
        <patternFill patternType="solid">
          <fgColor rgb="FF78909C"/>
          <bgColor rgb="FF78909C"/>
        </patternFill>
      </fill>
    </dxf>
    <dxf>
      <fill>
        <patternFill patternType="solid">
          <fgColor rgb="FFEBEFF1"/>
          <bgColor rgb="FFEBEFF1"/>
        </patternFill>
      </fill>
    </dxf>
    <dxf>
      <fill>
        <patternFill patternType="solid">
          <fgColor rgb="FFFFFFFF"/>
          <bgColor rgb="FFFFFFFF"/>
        </patternFill>
      </fill>
    </dxf>
    <dxf>
      <fill>
        <patternFill patternType="solid">
          <fgColor rgb="FF78909C"/>
          <bgColor rgb="FF78909C"/>
        </patternFill>
      </fill>
    </dxf>
    <dxf>
      <fill>
        <patternFill patternType="solid">
          <fgColor rgb="FFEBEFF1"/>
          <bgColor rgb="FFEBEFF1"/>
        </patternFill>
      </fill>
    </dxf>
    <dxf>
      <fill>
        <patternFill patternType="solid">
          <fgColor rgb="FFFFFFFF"/>
          <bgColor rgb="FFFFFFFF"/>
        </patternFill>
      </fill>
    </dxf>
    <dxf>
      <fill>
        <patternFill patternType="solid">
          <fgColor rgb="FF78909C"/>
          <bgColor rgb="FF78909C"/>
        </patternFill>
      </fill>
    </dxf>
    <dxf>
      <fill>
        <patternFill patternType="solid">
          <fgColor rgb="FFEBEFF1"/>
          <bgColor rgb="FFEBEFF1"/>
        </patternFill>
      </fill>
    </dxf>
    <dxf>
      <fill>
        <patternFill patternType="solid">
          <fgColor rgb="FFFFFFFF"/>
          <bgColor rgb="FFFFFFFF"/>
        </patternFill>
      </fill>
    </dxf>
    <dxf>
      <fill>
        <patternFill patternType="solid">
          <fgColor rgb="FF78909C"/>
          <bgColor rgb="FF78909C"/>
        </patternFill>
      </fill>
    </dxf>
    <dxf>
      <fill>
        <patternFill patternType="solid">
          <fgColor rgb="FFEBEFF1"/>
          <bgColor rgb="FFEBEFF1"/>
        </patternFill>
      </fill>
    </dxf>
    <dxf>
      <fill>
        <patternFill patternType="solid">
          <fgColor rgb="FFFFFFFF"/>
          <bgColor rgb="FFFFFFFF"/>
        </patternFill>
      </fill>
    </dxf>
    <dxf>
      <fill>
        <patternFill patternType="solid">
          <fgColor rgb="FF78909C"/>
          <bgColor rgb="FF78909C"/>
        </patternFill>
      </fill>
    </dxf>
    <dxf>
      <fill>
        <patternFill patternType="solid">
          <fgColor rgb="FFEBEFF1"/>
          <bgColor rgb="FFEBEFF1"/>
        </patternFill>
      </fill>
    </dxf>
    <dxf>
      <fill>
        <patternFill patternType="solid">
          <fgColor rgb="FFFFFFFF"/>
          <bgColor rgb="FFFFFFFF"/>
        </patternFill>
      </fill>
    </dxf>
    <dxf>
      <fill>
        <patternFill patternType="solid">
          <fgColor rgb="FF78909C"/>
          <bgColor rgb="FF78909C"/>
        </patternFill>
      </fill>
    </dxf>
    <dxf>
      <fill>
        <patternFill patternType="solid">
          <fgColor rgb="FFEBEFF1"/>
          <bgColor rgb="FFEBEFF1"/>
        </patternFill>
      </fill>
    </dxf>
    <dxf>
      <fill>
        <patternFill patternType="solid">
          <fgColor rgb="FFFFFFFF"/>
          <bgColor rgb="FFFFFFFF"/>
        </patternFill>
      </fill>
    </dxf>
    <dxf>
      <fill>
        <patternFill patternType="solid">
          <fgColor rgb="FF78909C"/>
          <bgColor rgb="FF78909C"/>
        </patternFill>
      </fill>
    </dxf>
    <dxf>
      <fill>
        <patternFill patternType="solid">
          <fgColor rgb="FFEBEFF1"/>
          <bgColor rgb="FFEBEFF1"/>
        </patternFill>
      </fill>
    </dxf>
    <dxf>
      <fill>
        <patternFill patternType="solid">
          <fgColor rgb="FFFFFFFF"/>
          <bgColor rgb="FFFFFFFF"/>
        </patternFill>
      </fill>
    </dxf>
    <dxf>
      <fill>
        <patternFill patternType="solid">
          <fgColor rgb="FF78909C"/>
          <bgColor rgb="FF78909C"/>
        </patternFill>
      </fill>
    </dxf>
    <dxf>
      <fill>
        <patternFill patternType="solid">
          <fgColor rgb="FFEBEFF1"/>
          <bgColor rgb="FFEBEFF1"/>
        </patternFill>
      </fill>
    </dxf>
    <dxf>
      <fill>
        <patternFill patternType="solid">
          <fgColor rgb="FFFFFFFF"/>
          <bgColor rgb="FFFFFFFF"/>
        </patternFill>
      </fill>
    </dxf>
    <dxf>
      <fill>
        <patternFill patternType="solid">
          <fgColor rgb="FF78909C"/>
          <bgColor rgb="FF78909C"/>
        </patternFill>
      </fill>
    </dxf>
    <dxf>
      <fill>
        <patternFill patternType="solid">
          <fgColor rgb="FFEBEFF1"/>
          <bgColor rgb="FFEBEFF1"/>
        </patternFill>
      </fill>
    </dxf>
    <dxf>
      <fill>
        <patternFill patternType="solid">
          <fgColor rgb="FFFFFFFF"/>
          <bgColor rgb="FFFFFFFF"/>
        </patternFill>
      </fill>
    </dxf>
    <dxf>
      <fill>
        <patternFill patternType="solid">
          <fgColor rgb="FF78909C"/>
          <bgColor rgb="FF78909C"/>
        </patternFill>
      </fill>
    </dxf>
    <dxf>
      <fill>
        <patternFill patternType="solid">
          <fgColor rgb="FFEBEFF1"/>
          <bgColor rgb="FFEBEFF1"/>
        </patternFill>
      </fill>
    </dxf>
    <dxf>
      <fill>
        <patternFill patternType="solid">
          <fgColor rgb="FFFFFFFF"/>
          <bgColor rgb="FFFFFFFF"/>
        </patternFill>
      </fill>
    </dxf>
    <dxf>
      <fill>
        <patternFill patternType="solid">
          <fgColor rgb="FF78909C"/>
          <bgColor rgb="FF78909C"/>
        </patternFill>
      </fill>
    </dxf>
    <dxf>
      <fill>
        <patternFill patternType="solid">
          <fgColor rgb="FFEBEFF1"/>
          <bgColor rgb="FFEBEFF1"/>
        </patternFill>
      </fill>
    </dxf>
    <dxf>
      <fill>
        <patternFill patternType="solid">
          <fgColor rgb="FFFFFFFF"/>
          <bgColor rgb="FFFFFFFF"/>
        </patternFill>
      </fill>
    </dxf>
    <dxf>
      <fill>
        <patternFill patternType="solid">
          <fgColor rgb="FF78909C"/>
          <bgColor rgb="FF78909C"/>
        </patternFill>
      </fill>
    </dxf>
    <dxf>
      <fill>
        <patternFill patternType="solid">
          <fgColor rgb="FFEBEFF1"/>
          <bgColor rgb="FFEBEFF1"/>
        </patternFill>
      </fill>
    </dxf>
    <dxf>
      <fill>
        <patternFill patternType="solid">
          <fgColor rgb="FFFFFFFF"/>
          <bgColor rgb="FFFFFFFF"/>
        </patternFill>
      </fill>
    </dxf>
    <dxf>
      <fill>
        <patternFill patternType="solid">
          <fgColor rgb="FF78909C"/>
          <bgColor rgb="FF78909C"/>
        </patternFill>
      </fill>
    </dxf>
    <dxf>
      <fill>
        <patternFill patternType="solid">
          <fgColor rgb="FFEBEFF1"/>
          <bgColor rgb="FFEBEFF1"/>
        </patternFill>
      </fill>
    </dxf>
    <dxf>
      <fill>
        <patternFill patternType="solid">
          <fgColor rgb="FFFFFFFF"/>
          <bgColor rgb="FFFFFFFF"/>
        </patternFill>
      </fill>
    </dxf>
    <dxf>
      <fill>
        <patternFill patternType="solid">
          <fgColor rgb="FF78909C"/>
          <bgColor rgb="FF78909C"/>
        </patternFill>
      </fill>
    </dxf>
    <dxf>
      <fill>
        <patternFill patternType="solid">
          <fgColor rgb="FFEBEFF1"/>
          <bgColor rgb="FFEBEFF1"/>
        </patternFill>
      </fill>
    </dxf>
    <dxf>
      <fill>
        <patternFill patternType="solid">
          <fgColor rgb="FFFFFFFF"/>
          <bgColor rgb="FFFFFFFF"/>
        </patternFill>
      </fill>
    </dxf>
    <dxf>
      <fill>
        <patternFill patternType="solid">
          <fgColor rgb="FF78909C"/>
          <bgColor rgb="FF78909C"/>
        </patternFill>
      </fill>
    </dxf>
  </dxfs>
  <tableStyles count="17">
    <tableStyle name="SUPERVISORES-style" pivot="0" count="3" xr9:uid="{00000000-0011-0000-FFFF-FFFF00000000}">
      <tableStyleElement type="headerRow" dxfId="53"/>
      <tableStyleElement type="firstRowStripe" dxfId="52"/>
      <tableStyleElement type="secondRowStripe" dxfId="51"/>
    </tableStyle>
    <tableStyle name="ORIENTADORES-style" pivot="0" count="3" xr9:uid="{00000000-0011-0000-FFFF-FFFF01000000}">
      <tableStyleElement type="headerRow" dxfId="50"/>
      <tableStyleElement type="firstRowStripe" dxfId="49"/>
      <tableStyleElement type="secondRowStripe" dxfId="48"/>
    </tableStyle>
    <tableStyle name="OFERTAS-style" pivot="0" count="3" xr9:uid="{00000000-0011-0000-FFFF-FFFF02000000}">
      <tableStyleElement type="headerRow" dxfId="47"/>
      <tableStyleElement type="firstRowStripe" dxfId="46"/>
      <tableStyleElement type="secondRowStripe" dxfId="45"/>
    </tableStyle>
    <tableStyle name="PROFESSORES-style" pivot="0" count="3" xr9:uid="{00000000-0011-0000-FFFF-FFFF03000000}">
      <tableStyleElement type="headerRow" dxfId="44"/>
      <tableStyleElement type="firstRowStripe" dxfId="43"/>
      <tableStyleElement type="secondRowStripe" dxfId="42"/>
    </tableStyle>
    <tableStyle name="DATAS-style" pivot="0" count="3" xr9:uid="{00000000-0011-0000-FFFF-FFFF04000000}">
      <tableStyleElement type="headerRow" dxfId="41"/>
      <tableStyleElement type="firstRowStripe" dxfId="40"/>
      <tableStyleElement type="secondRowStripe" dxfId="39"/>
    </tableStyle>
    <tableStyle name="COD_CURSOS-style" pivot="0" count="3" xr9:uid="{00000000-0011-0000-FFFF-FFFF05000000}">
      <tableStyleElement type="headerRow" dxfId="38"/>
      <tableStyleElement type="firstRowStripe" dxfId="37"/>
      <tableStyleElement type="secondRowStripe" dxfId="36"/>
    </tableStyle>
    <tableStyle name="CONVOCADOS-style" pivot="0" count="3" xr9:uid="{00000000-0011-0000-FFFF-FFFF06000000}">
      <tableStyleElement type="headerRow" dxfId="35"/>
      <tableStyleElement type="firstRowStripe" dxfId="34"/>
      <tableStyleElement type="secondRowStripe" dxfId="33"/>
    </tableStyle>
    <tableStyle name="CONVOCADOS SEM DOC.-style" pivot="0" count="3" xr9:uid="{00000000-0011-0000-FFFF-FFFF07000000}">
      <tableStyleElement type="headerRow" dxfId="32"/>
      <tableStyleElement type="firstRowStripe" dxfId="31"/>
      <tableStyleElement type="secondRowStripe" dxfId="30"/>
    </tableStyle>
    <tableStyle name="DESISTENTES-style" pivot="0" count="3" xr9:uid="{00000000-0011-0000-FFFF-FFFF08000000}">
      <tableStyleElement type="headerRow" dxfId="29"/>
      <tableStyleElement type="firstRowStripe" dxfId="28"/>
      <tableStyleElement type="secondRowStripe" dxfId="27"/>
    </tableStyle>
    <tableStyle name="POSSE INVALIDADA-style" pivot="0" count="3" xr9:uid="{00000000-0011-0000-FFFF-FFFF09000000}">
      <tableStyleElement type="headerRow" dxfId="26"/>
      <tableStyleElement type="firstRowStripe" dxfId="25"/>
      <tableStyleElement type="secondRowStripe" dxfId="24"/>
    </tableStyle>
    <tableStyle name="POSSE VALIDADA-style" pivot="0" count="3" xr9:uid="{00000000-0011-0000-FFFF-FFFF0A000000}">
      <tableStyleElement type="headerRow" dxfId="23"/>
      <tableStyleElement type="firstRowStripe" dxfId="22"/>
      <tableStyleElement type="secondRowStripe" dxfId="21"/>
    </tableStyle>
    <tableStyle name="BD_RH-style" pivot="0" count="3" xr9:uid="{00000000-0011-0000-FFFF-FFFF0B000000}">
      <tableStyleElement type="headerRow" dxfId="20"/>
      <tableStyleElement type="firstRowStripe" dxfId="19"/>
      <tableStyleElement type="secondRowStripe" dxfId="18"/>
    </tableStyle>
    <tableStyle name="BD_TURMAS-style" pivot="0" count="3" xr9:uid="{00000000-0011-0000-FFFF-FFFF0C000000}">
      <tableStyleElement type="headerRow" dxfId="17"/>
      <tableStyleElement type="firstRowStripe" dxfId="16"/>
      <tableStyleElement type="secondRowStripe" dxfId="15"/>
    </tableStyle>
    <tableStyle name="CONTATO - EQUIPES-style" pivot="0" count="3" xr9:uid="{00000000-0011-0000-FFFF-FFFF0D000000}">
      <tableStyleElement type="headerRow" dxfId="14"/>
      <tableStyleElement type="firstRowStripe" dxfId="13"/>
      <tableStyleElement type="secondRowStripe" dxfId="12"/>
    </tableStyle>
    <tableStyle name="CONTATO - GESTORES-style" pivot="0" count="3" xr9:uid="{00000000-0011-0000-FFFF-FFFF0E000000}">
      <tableStyleElement type="headerRow" dxfId="11"/>
      <tableStyleElement type="firstRowStripe" dxfId="10"/>
      <tableStyleElement type="secondRowStripe" dxfId="9"/>
    </tableStyle>
    <tableStyle name="UNIDADES-style" pivot="0" count="3" xr9:uid="{00000000-0011-0000-FFFF-FFFF0F000000}">
      <tableStyleElement type="headerRow" dxfId="8"/>
      <tableStyleElement type="firstRowStripe" dxfId="7"/>
      <tableStyleElement type="secondRowStripe" dxfId="6"/>
    </tableStyle>
    <tableStyle name="IMPORT_MATRÍCULAS-style" pivot="0" count="3" xr9:uid="{00000000-0011-0000-FFFF-FFFF1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N651">
  <tableColumns count="14">
    <tableColumn id="1" xr3:uid="{00000000-0010-0000-0100-000001000000}" name="CHAVE_2"/>
    <tableColumn id="2" xr3:uid="{00000000-0010-0000-0100-000002000000}" name="CHAVE"/>
    <tableColumn id="3" xr3:uid="{00000000-0010-0000-0100-000003000000}" name="CPF"/>
    <tableColumn id="4" xr3:uid="{00000000-0010-0000-0100-000004000000}" name="NOME"/>
    <tableColumn id="5" xr3:uid="{00000000-0010-0000-0100-000005000000}" name="ENCARGO"/>
    <tableColumn id="6" xr3:uid="{00000000-0010-0000-0100-000006000000}" name="MUNICÍPIO"/>
    <tableColumn id="7" xr3:uid="{00000000-0010-0000-0100-000007000000}" name="UNIDADE"/>
    <tableColumn id="8" xr3:uid="{00000000-0010-0000-0100-000008000000}" name="CURSO"/>
    <tableColumn id="9" xr3:uid="{00000000-0010-0000-0100-000009000000}" name="TURNO"/>
    <tableColumn id="10" xr3:uid="{00000000-0010-0000-0100-00000A000000}" name="POSSE"/>
    <tableColumn id="11" xr3:uid="{00000000-0010-0000-0100-00000B000000}" name="EMAIL"/>
    <tableColumn id="12" xr3:uid="{00000000-0010-0000-0100-00000C000000}" name="EMAIL SECUNDÁRIO"/>
    <tableColumn id="13" xr3:uid="{00000000-0010-0000-0100-00000D000000}" name="N.TELEFONE 01"/>
    <tableColumn id="14" xr3:uid="{00000000-0010-0000-0100-00000E000000}" name="N.TELEFONE 02"/>
  </tableColumns>
  <tableStyleInfo name="ORIENTADORE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2:I17" headerRowCount="0">
  <tableColumns count="9">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 id="5" xr3:uid="{00000000-0010-0000-0200-000005000000}" name="Column5"/>
    <tableColumn id="7" xr3:uid="{00000000-0010-0000-0200-000007000000}" name="Column7"/>
    <tableColumn id="8" xr3:uid="{00000000-0010-0000-0200-000008000000}" name="Column8"/>
    <tableColumn id="9" xr3:uid="{00000000-0010-0000-0200-000009000000}" name="Column9"/>
    <tableColumn id="44" xr3:uid="{00000000-0010-0000-0200-00002C000000}" name="Column44"/>
  </tableColumns>
  <tableStyleInfo name="OFERTAS-style" showFirstColumn="1" showLastColumn="1" showRowStripes="1" showColumnStripes="0"/>
  <extLst>
    <ext uri="GoogleSheetsCustomDataVersion1">
      <go:sheetsCustomData xmlns:go="http://customooxmlschemas.google.com/" headerRowCount="1"/>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2:N684">
  <tableColumns count="14">
    <tableColumn id="1" xr3:uid="{00000000-0010-0000-0300-000001000000}" name="CHAVE_2"/>
    <tableColumn id="2" xr3:uid="{00000000-0010-0000-0300-000002000000}" name="CHAVE"/>
    <tableColumn id="3" xr3:uid="{00000000-0010-0000-0300-000003000000}" name="CPF"/>
    <tableColumn id="4" xr3:uid="{00000000-0010-0000-0300-000004000000}" name="NOME"/>
    <tableColumn id="5" xr3:uid="{00000000-0010-0000-0300-000005000000}" name="ENCARGO"/>
    <tableColumn id="6" xr3:uid="{00000000-0010-0000-0300-000006000000}" name="MUNICÍPIO"/>
    <tableColumn id="7" xr3:uid="{00000000-0010-0000-0300-000007000000}" name="UNIDADE"/>
    <tableColumn id="8" xr3:uid="{00000000-0010-0000-0300-000008000000}" name="CURSO"/>
    <tableColumn id="9" xr3:uid="{00000000-0010-0000-0300-000009000000}" name="TURNO"/>
    <tableColumn id="10" xr3:uid="{00000000-0010-0000-0300-00000A000000}" name="POSSE"/>
    <tableColumn id="11" xr3:uid="{00000000-0010-0000-0300-00000B000000}" name="EMAIL"/>
    <tableColumn id="12" xr3:uid="{00000000-0010-0000-0300-00000C000000}" name="EMAIL SECUNDÁRIO"/>
    <tableColumn id="13" xr3:uid="{00000000-0010-0000-0300-00000D000000}" name="N.TELEFONE 01"/>
    <tableColumn id="14" xr3:uid="{00000000-0010-0000-0300-00000E000000}" name="N.TELEFONE 02"/>
  </tableColumns>
  <tableStyleInfo name="PROFESSORES-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1:D145" headerRowCount="0">
  <tableColumns count="4">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s>
  <tableStyleInfo name="COD_CURSOS-style" showFirstColumn="1" showLastColumn="1" showRowStripes="1" showColumnStripes="0"/>
  <extLst>
    <ext uri="GoogleSheetsCustomDataVersion1">
      <go:sheetsCustomData xmlns:go="http://customooxmlschemas.google.com/" headerRowCount="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A2:S2273">
  <tableColumns count="19">
    <tableColumn id="1" xr3:uid="{00000000-0010-0000-0B00-000001000000}" name="CHAVE"/>
    <tableColumn id="2" xr3:uid="{00000000-0010-0000-0B00-000002000000}" name="CPF"/>
    <tableColumn id="3" xr3:uid="{00000000-0010-0000-0B00-000003000000}" name="NOME"/>
    <tableColumn id="4" xr3:uid="{00000000-0010-0000-0B00-000004000000}" name="ENCARGO"/>
    <tableColumn id="5" xr3:uid="{00000000-0010-0000-0B00-000005000000}" name="EDITAL"/>
    <tableColumn id="6" xr3:uid="{00000000-0010-0000-0B00-000006000000}" name="MUNICÍPIO"/>
    <tableColumn id="7" xr3:uid="{00000000-0010-0000-0B00-000007000000}" name="CURSO"/>
    <tableColumn id="8" xr3:uid="{00000000-0010-0000-0B00-000008000000}" name="UNIDADE"/>
    <tableColumn id="9" xr3:uid="{00000000-0010-0000-0B00-000009000000}" name="TURNO"/>
    <tableColumn id="10" xr3:uid="{00000000-0010-0000-0B00-00000A000000}" name="CLASSIFICAÇÃO"/>
    <tableColumn id="11" xr3:uid="{00000000-0010-0000-0B00-00000B000000}" name="POSSE"/>
    <tableColumn id="12" xr3:uid="{00000000-0010-0000-0B00-00000C000000}" name="OBSERVAÇÃO DA POSSE"/>
    <tableColumn id="13" xr3:uid="{00000000-0010-0000-0B00-00000D000000}" name="EMAIL"/>
    <tableColumn id="14" xr3:uid="{00000000-0010-0000-0B00-00000E000000}" name="EMAIL SECUNDÁRIO"/>
    <tableColumn id="15" xr3:uid="{00000000-0010-0000-0B00-00000F000000}" name="N.TELEFONE 01"/>
    <tableColumn id="16" xr3:uid="{00000000-0010-0000-0B00-000010000000}" name="N.TELEFONE 02"/>
    <tableColumn id="17" xr3:uid="{00000000-0010-0000-0B00-000011000000}" name="DATA DE INÍCIO DO VÍNCULO"/>
    <tableColumn id="18" xr3:uid="{00000000-0010-0000-0B00-000012000000}" name="DATA DE TÉRMINO DO VÍNCULO"/>
    <tableColumn id="19" xr3:uid="{00000000-0010-0000-0B00-000013000000}" name="DESISTÊNCIA"/>
  </tableColumns>
  <tableStyleInfo name="BD_RH-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_16" displayName="Table_16" ref="A1:H999" headerRowCount="0">
  <tableColumns count="8">
    <tableColumn id="1" xr3:uid="{00000000-0010-0000-0F00-000001000000}" name="Column1"/>
    <tableColumn id="2" xr3:uid="{00000000-0010-0000-0F00-000002000000}" name="Column2"/>
    <tableColumn id="3" xr3:uid="{00000000-0010-0000-0F00-000003000000}" name="Column3"/>
    <tableColumn id="4" xr3:uid="{00000000-0010-0000-0F00-000004000000}" name="Column4"/>
    <tableColumn id="5" xr3:uid="{00000000-0010-0000-0F00-000005000000}" name="Column5"/>
    <tableColumn id="6" xr3:uid="{00000000-0010-0000-0F00-000006000000}" name="Column6"/>
    <tableColumn id="7" xr3:uid="{00000000-0010-0000-0F00-000007000000}" name="Column7"/>
    <tableColumn id="8" xr3:uid="{00000000-0010-0000-0F00-000008000000}" name="Column8"/>
  </tableColumns>
  <tableStyleInfo name="UNIDADES-style" showFirstColumn="1" showLastColumn="1" showRowStripes="1" showColumnStripes="0"/>
  <extLst>
    <ext uri="GoogleSheetsCustomDataVersion1">
      <go:sheetsCustomData xmlns:go="http://customooxmlschemas.google.com/" headerRowCount="1"/>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_17" displayName="Table_17" ref="A1:F231" headerRowCount="0">
  <tableColumns count="6">
    <tableColumn id="1" xr3:uid="{00000000-0010-0000-1000-000001000000}" name="Column1"/>
    <tableColumn id="2" xr3:uid="{00000000-0010-0000-1000-000002000000}" name="Column2"/>
    <tableColumn id="3" xr3:uid="{00000000-0010-0000-1000-000003000000}" name="Column3"/>
    <tableColumn id="4" xr3:uid="{00000000-0010-0000-1000-000004000000}" name="Column4"/>
    <tableColumn id="5" xr3:uid="{00000000-0010-0000-1000-000005000000}" name="Column5"/>
    <tableColumn id="6" xr3:uid="{00000000-0010-0000-1000-000006000000}" name="Column6"/>
  </tableColumns>
  <tableStyleInfo name="IMPORT_MATRÍCULAS-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17" Type="http://schemas.openxmlformats.org/officeDocument/2006/relationships/hyperlink" Target="https://docs.google.com/spreadsheets/d/1uENfTtZKIn1T1BeGcyniaNJEzx2zR0BG_D1SDQwiUbc/edit?usp=drivesdk" TargetMode="External"/><Relationship Id="rId21" Type="http://schemas.openxmlformats.org/officeDocument/2006/relationships/hyperlink" Target="https://docs.google.com/spreadsheets/d/1tDFntjgWdblyHA3IvfgUvWDFpFA9aBKhoqKlvR9-jy8/edit?usp=drivesdk" TargetMode="External"/><Relationship Id="rId42" Type="http://schemas.openxmlformats.org/officeDocument/2006/relationships/hyperlink" Target="https://docs.google.com/spreadsheets/d/1R06bjq7aLcNMIZjcD44myVOxxgFjNbaimnUiZTP1f1g/edit?usp=drivesdk" TargetMode="External"/><Relationship Id="rId63" Type="http://schemas.openxmlformats.org/officeDocument/2006/relationships/hyperlink" Target="https://docs.google.com/spreadsheets/d/1nmp5gZoAjr9QCe78GBPdG65-ElfczKmsuJsADTbTCh0/edit?usp=drivesdk" TargetMode="External"/><Relationship Id="rId84" Type="http://schemas.openxmlformats.org/officeDocument/2006/relationships/hyperlink" Target="https://docs.google.com/spreadsheets/d/1C8x8Ia8THZq9X3GhY-8BHIJAIVfrcl7eeVVc3TvJlFw/edit?usp=drivesdk" TargetMode="External"/><Relationship Id="rId138" Type="http://schemas.openxmlformats.org/officeDocument/2006/relationships/hyperlink" Target="https://docs.google.com/spreadsheets/d/1lSFGi3Sf8Pr2upESwQUw6FI1qXmne0sRazZRidMgOuk/edit?usp=drivesdk" TargetMode="External"/><Relationship Id="rId159" Type="http://schemas.openxmlformats.org/officeDocument/2006/relationships/hyperlink" Target="https://docs.google.com/spreadsheets/d/1x6AyfJ2VQpQMmbtf-dEmZG8z2cOWLMKxKpN6YnVpKVU" TargetMode="External"/><Relationship Id="rId170" Type="http://schemas.openxmlformats.org/officeDocument/2006/relationships/hyperlink" Target="https://docs.google.com/spreadsheets/d/1cYq3s-wxnuX4V09Pflx7Ans4fIDwEFn2Do11m5qYIz0" TargetMode="External"/><Relationship Id="rId107" Type="http://schemas.openxmlformats.org/officeDocument/2006/relationships/hyperlink" Target="https://docs.google.com/spreadsheets/d/16hc3YkRQmt2aWL4NW_dDufZ10b9eQ3KLutgJkRZFZas/edit?usp=drivesdk" TargetMode="External"/><Relationship Id="rId11" Type="http://schemas.openxmlformats.org/officeDocument/2006/relationships/hyperlink" Target="https://docs.google.com/spreadsheets/d/1qBCZNwRoBVu4D75xnlAeo7Guiuy2Fhr7FCouhD1ncyg/edit?usp=drivesdk" TargetMode="External"/><Relationship Id="rId32" Type="http://schemas.openxmlformats.org/officeDocument/2006/relationships/hyperlink" Target="https://docs.google.com/spreadsheets/d/1O-k6wdIDlkMJpNJkFQYYgFDZzl1Dqoku044f3eGjH4A/edit?usp=drivesdk" TargetMode="External"/><Relationship Id="rId53" Type="http://schemas.openxmlformats.org/officeDocument/2006/relationships/hyperlink" Target="https://docs.google.com/spreadsheets/d/1mMvAq3hu5zFXMonY-xbwHanj7tWWY_9m-Raa0ZswFII/edit?usp=drivesdk" TargetMode="External"/><Relationship Id="rId74" Type="http://schemas.openxmlformats.org/officeDocument/2006/relationships/hyperlink" Target="https://docs.google.com/spreadsheets/d/1fV9T3nwYkPgjTb3QYwLIi9c2EEOwCSuZyBHAUyQL4T8/edit?usp=drivesdk" TargetMode="External"/><Relationship Id="rId128" Type="http://schemas.openxmlformats.org/officeDocument/2006/relationships/hyperlink" Target="https://docs.google.com/spreadsheets/d/11R04PGcgMcMER020nuPnHCRaIAgXIOKshaXp5wprgyU/edit?usp=drivesdk" TargetMode="External"/><Relationship Id="rId149" Type="http://schemas.openxmlformats.org/officeDocument/2006/relationships/hyperlink" Target="https://docs.google.com/spreadsheets/d/1Buo4MSlSVKSfOLKZnDCAFrR6iHYDixv7h0rn0nnlPIg" TargetMode="External"/><Relationship Id="rId5" Type="http://schemas.openxmlformats.org/officeDocument/2006/relationships/hyperlink" Target="https://docs.google.com/spreadsheets/d/1QN1epae2bPH8_4TyqFjpIWKJ30u9qmKn_hapL1McE3U/edit?usp=drivesdk" TargetMode="External"/><Relationship Id="rId95" Type="http://schemas.openxmlformats.org/officeDocument/2006/relationships/hyperlink" Target="https://docs.google.com/spreadsheets/d/1dbS-PehzjhjTChAGBWKJdIYH-j3UTYLeVwgg0vCYHxQ/edit?usp=drivesdk" TargetMode="External"/><Relationship Id="rId160" Type="http://schemas.openxmlformats.org/officeDocument/2006/relationships/hyperlink" Target="https://docs.google.com/spreadsheets/d/1yu-BwNFJ0QdU330_JEpVup-U4BjIJ0A1bYMHLufuNcg" TargetMode="External"/><Relationship Id="rId181" Type="http://schemas.openxmlformats.org/officeDocument/2006/relationships/hyperlink" Target="https://docs.google.com/spreadsheets/d/19ykqeN7ctCCAuPG6_qrY0feiRt3cO5HTqM7s1856f4E" TargetMode="External"/><Relationship Id="rId22" Type="http://schemas.openxmlformats.org/officeDocument/2006/relationships/hyperlink" Target="https://docs.google.com/spreadsheets/d/1Q7lTOqLQj7HalAZIngT9KejhtK-t0-VEOBoqrB8M404/edit?usp=drivesdk" TargetMode="External"/><Relationship Id="rId43" Type="http://schemas.openxmlformats.org/officeDocument/2006/relationships/hyperlink" Target="https://docs.google.com/spreadsheets/d/1WAQc-X_12Yj7uXeKpKLjJqE1LD5qfUIg1oVgOnd2hAU/edit?usp=drivesdk" TargetMode="External"/><Relationship Id="rId64" Type="http://schemas.openxmlformats.org/officeDocument/2006/relationships/hyperlink" Target="https://docs.google.com/spreadsheets/d/1jg4yYtHnl5vTKju9WjihlGH4HWnoRzehInmrynrrDmc/edit?usp=drivesdk" TargetMode="External"/><Relationship Id="rId118" Type="http://schemas.openxmlformats.org/officeDocument/2006/relationships/hyperlink" Target="https://docs.google.com/spreadsheets/d/1Yv1jxWU3neT8DKubQ3DaVpHyDohkK_OwlWIAIO9xLGc/edit?usp=drivesdk" TargetMode="External"/><Relationship Id="rId139" Type="http://schemas.openxmlformats.org/officeDocument/2006/relationships/hyperlink" Target="https://docs.google.com/spreadsheets/d/1CY0pcdvs5iY4cNQoc5Sr4NpyR81CIgRLVdilFy3KwoA/edit?usp=drivesdk" TargetMode="External"/><Relationship Id="rId85" Type="http://schemas.openxmlformats.org/officeDocument/2006/relationships/hyperlink" Target="https://docs.google.com/spreadsheets/d/1NGA2iZ7UA1JAWMoRb89xvK7FNUk0r1YHLsXdbJf47eU/edit?usp=drivesdk" TargetMode="External"/><Relationship Id="rId150" Type="http://schemas.openxmlformats.org/officeDocument/2006/relationships/hyperlink" Target="https://docs.google.com/spreadsheets/d/1HX1gtybRdOnqfrOWhjNZSkaHPinyiHcON4Mumx8t76o" TargetMode="External"/><Relationship Id="rId171" Type="http://schemas.openxmlformats.org/officeDocument/2006/relationships/hyperlink" Target="https://docs.google.com/spreadsheets/d/1xWXjRcIyYt_FWH5Vfvdr0xPk_vNVRjp7DGKjI6wysnQ" TargetMode="External"/><Relationship Id="rId12" Type="http://schemas.openxmlformats.org/officeDocument/2006/relationships/hyperlink" Target="https://docs.google.com/spreadsheets/d/1vt7Deu3xfKtm44_tGmXcOJbkjHJvVIwPwyjNLKJPJKE/edit?usp=drivesdk" TargetMode="External"/><Relationship Id="rId33" Type="http://schemas.openxmlformats.org/officeDocument/2006/relationships/hyperlink" Target="https://docs.google.com/spreadsheets/d/11gzgV_AMbaWUtpA83IaVkdS2cA2e-8PmDtzwkrD9FqE/edit?usp=drivesdk" TargetMode="External"/><Relationship Id="rId108" Type="http://schemas.openxmlformats.org/officeDocument/2006/relationships/hyperlink" Target="https://docs.google.com/spreadsheets/d/1MJ1OuW7Ut3mR35uS4YXdw6T43m1Mw1Py0udQPnBH82I/edit?usp=drivesdk" TargetMode="External"/><Relationship Id="rId129" Type="http://schemas.openxmlformats.org/officeDocument/2006/relationships/hyperlink" Target="https://docs.google.com/spreadsheets/d/1ME8tJuBBw2fevg8Ze8WWuJlJ5GSKQGURdK5Co5VOq0Q/edit?usp=drivesdk" TargetMode="External"/><Relationship Id="rId54" Type="http://schemas.openxmlformats.org/officeDocument/2006/relationships/hyperlink" Target="https://docs.google.com/spreadsheets/d/1CQsE4dDu12ZMbMXLFffHZHZKoMlMwy-ebyrauPyZH18/edit?usp=drivesdk" TargetMode="External"/><Relationship Id="rId75" Type="http://schemas.openxmlformats.org/officeDocument/2006/relationships/hyperlink" Target="https://docs.google.com/spreadsheets/d/1wqI_9MUQvQesWwoqlTBbIf1_P6ewwkHVPpS8vghBfWQ/edit?usp=drivesdk" TargetMode="External"/><Relationship Id="rId96" Type="http://schemas.openxmlformats.org/officeDocument/2006/relationships/hyperlink" Target="https://docs.google.com/spreadsheets/d/1DR7UlFxVqZ0kMWJ8cWVb18imuyrthcH6OVm09gf-aCY/edit?usp=drivesdk" TargetMode="External"/><Relationship Id="rId140" Type="http://schemas.openxmlformats.org/officeDocument/2006/relationships/hyperlink" Target="https://docs.google.com/spreadsheets/d/1Zey2qZa-dQuoU5BLJOI8bCQQkZwBepKuTZCH6C-GSF0/edit?usp=drivesdk" TargetMode="External"/><Relationship Id="rId161" Type="http://schemas.openxmlformats.org/officeDocument/2006/relationships/hyperlink" Target="https://docs.google.com/spreadsheets/d/1LCbNJPn_tBuaiSAbG-NDTHX43XZ6J1OhSroDpCjbF2A" TargetMode="External"/><Relationship Id="rId182" Type="http://schemas.openxmlformats.org/officeDocument/2006/relationships/hyperlink" Target="https://docs.google.com/spreadsheets/d/1TUbG13Y1ivR9v4-AAqEKwHCQHqudp3xHs1n6BvjlNiM" TargetMode="External"/><Relationship Id="rId6" Type="http://schemas.openxmlformats.org/officeDocument/2006/relationships/hyperlink" Target="https://docs.google.com/spreadsheets/d/1awItbh2XvVXgJ7eNVKBIcVWFOr15CnfraILODAkKZf8/edit?usp=drivesdk" TargetMode="External"/><Relationship Id="rId23" Type="http://schemas.openxmlformats.org/officeDocument/2006/relationships/hyperlink" Target="https://docs.google.com/spreadsheets/d/1traOHBIzmGWJfWdV1vUSXZ-ZI_NBT_0pCYEChfAgs7s/edit?usp=drivesdk" TargetMode="External"/><Relationship Id="rId119" Type="http://schemas.openxmlformats.org/officeDocument/2006/relationships/hyperlink" Target="https://docs.google.com/spreadsheets/d/1i_7vOdaFxg16_v_nF28gjQuFsJeBeS7cyfuMKWKbcik/edit?usp=drivesdk" TargetMode="External"/><Relationship Id="rId44" Type="http://schemas.openxmlformats.org/officeDocument/2006/relationships/hyperlink" Target="https://docs.google.com/spreadsheets/d/14mShOqH8FUFuLgyCzKPAtEn-n1faCYjvxAP-vrHmFxw/edit?usp=drivesdk" TargetMode="External"/><Relationship Id="rId65" Type="http://schemas.openxmlformats.org/officeDocument/2006/relationships/hyperlink" Target="https://docs.google.com/spreadsheets/d/1t9ggz45bIUudpoasoVe9BADAICCRc31N32kLiIx_Tuk/edit?usp=drivesdk" TargetMode="External"/><Relationship Id="rId86" Type="http://schemas.openxmlformats.org/officeDocument/2006/relationships/hyperlink" Target="https://docs.google.com/spreadsheets/d/1guqxnJoJl4C4sFiHvQibjhSpLSg0mEOJSo5oCHbQJ6s/edit?usp=drivesdk" TargetMode="External"/><Relationship Id="rId130" Type="http://schemas.openxmlformats.org/officeDocument/2006/relationships/hyperlink" Target="https://docs.google.com/spreadsheets/d/1zmxRbEwzPMPfMvWnG-614gii02-K2AzJRUCD4wrrcN4/edit?usp=drivesdk" TargetMode="External"/><Relationship Id="rId151" Type="http://schemas.openxmlformats.org/officeDocument/2006/relationships/hyperlink" Target="https://docs.google.com/spreadsheets/d/1s10F0pEcqOYjlDJoAJMxPm9O4BDyAt70r-CLDfnqyy8" TargetMode="External"/><Relationship Id="rId172" Type="http://schemas.openxmlformats.org/officeDocument/2006/relationships/hyperlink" Target="https://docs.google.com/spreadsheets/d/1QlIuW_gTyAZEax8SZL1Xur2ga-6I5Zb1M0xXqwe_X4o" TargetMode="External"/><Relationship Id="rId13" Type="http://schemas.openxmlformats.org/officeDocument/2006/relationships/hyperlink" Target="https://docs.google.com/spreadsheets/d/11gDnhf4cNCoaoConTucYfoi-h-yyOvSpWevuqVgE-Bc/edit?usp=drivesdk" TargetMode="External"/><Relationship Id="rId18" Type="http://schemas.openxmlformats.org/officeDocument/2006/relationships/hyperlink" Target="https://docs.google.com/spreadsheets/d/13WTqOVBE8a_pnjyuOiJRC4MJrA2do08bA9YS5Ret1DE/edit?usp=drivesdk" TargetMode="External"/><Relationship Id="rId39" Type="http://schemas.openxmlformats.org/officeDocument/2006/relationships/hyperlink" Target="https://docs.google.com/spreadsheets/d/1swPcQ91oYK-WQTcmqBtlED3EYP9xRXUADeSoxNV4xFY/edit?usp=drivesdk" TargetMode="External"/><Relationship Id="rId109" Type="http://schemas.openxmlformats.org/officeDocument/2006/relationships/hyperlink" Target="https://docs.google.com/spreadsheets/d/1TjsUyap-u2UCfkiJXiGNH8plXGRd6Pl-r-vv2M6ju3A/edit?usp=drivesdk" TargetMode="External"/><Relationship Id="rId34" Type="http://schemas.openxmlformats.org/officeDocument/2006/relationships/hyperlink" Target="https://docs.google.com/spreadsheets/d/1aWusT47ZNlwAtE3zq8oK8IUAvPaSHapq77hmOFJiZ3I/edit?usp=drivesdk" TargetMode="External"/><Relationship Id="rId50" Type="http://schemas.openxmlformats.org/officeDocument/2006/relationships/hyperlink" Target="https://docs.google.com/spreadsheets/d/1Hh8chDDyAKCFTDe3gv4F1bK3huc8EYinZh3qEVd3TfU/edit?usp=drivesdk" TargetMode="External"/><Relationship Id="rId55" Type="http://schemas.openxmlformats.org/officeDocument/2006/relationships/hyperlink" Target="https://docs.google.com/spreadsheets/d/1I47jdViY3apKn7D-zVUVX6Q98Cghr4ExxEsw_VLai0Y/edit?usp=drivesdk" TargetMode="External"/><Relationship Id="rId76" Type="http://schemas.openxmlformats.org/officeDocument/2006/relationships/hyperlink" Target="https://docs.google.com/spreadsheets/d/1l3ZNF3OYIkfDk_nGeH1kJ-qx_o9acjIE8nRJ9IhXXc0/edit?usp=drivesdk" TargetMode="External"/><Relationship Id="rId97" Type="http://schemas.openxmlformats.org/officeDocument/2006/relationships/hyperlink" Target="https://docs.google.com/spreadsheets/d/1VGsTY_Rqj8lKgzIHfMSqP1krOM5Q9uc1IL3shLHnV4o/edit?usp=drivesdk" TargetMode="External"/><Relationship Id="rId104" Type="http://schemas.openxmlformats.org/officeDocument/2006/relationships/hyperlink" Target="https://docs.google.com/spreadsheets/d/1HGff_BvT_twnwi4uLt333B21GZReVpGGIEUEF5oPITo/edit?usp=drivesdk" TargetMode="External"/><Relationship Id="rId120" Type="http://schemas.openxmlformats.org/officeDocument/2006/relationships/hyperlink" Target="https://docs.google.com/spreadsheets/d/1DXjuLhGy4he0X9iN1NRlnyrO1gjlSEJ-yF_YiGEPESk/edit?usp=drivesdk" TargetMode="External"/><Relationship Id="rId125" Type="http://schemas.openxmlformats.org/officeDocument/2006/relationships/hyperlink" Target="https://docs.google.com/spreadsheets/d/1Krbz4aQvJmbnTDAhAqwL_RD94U8ES3yKSDvedTFjQdI/edit?usp=drivesdk" TargetMode="External"/><Relationship Id="rId141" Type="http://schemas.openxmlformats.org/officeDocument/2006/relationships/hyperlink" Target="https://docs.google.com/spreadsheets/d/1RtbPjgMyseDanQGS8wlcFj2OBl2IrTWUK8_jJGQ19eU/edit?usp=drivesdk" TargetMode="External"/><Relationship Id="rId146" Type="http://schemas.openxmlformats.org/officeDocument/2006/relationships/hyperlink" Target="https://docs.google.com/spreadsheets/d/1b27G4_VSzGUxvzI2a46xF19FQEguZ3hQQ2dF6xaJN38" TargetMode="External"/><Relationship Id="rId167" Type="http://schemas.openxmlformats.org/officeDocument/2006/relationships/hyperlink" Target="https://docs.google.com/spreadsheets/d/1LaGU-tPvGV1TolcGxH2WlnVkqMH8AER2Q2nQ3c3fGtY" TargetMode="External"/><Relationship Id="rId7" Type="http://schemas.openxmlformats.org/officeDocument/2006/relationships/hyperlink" Target="https://docs.google.com/spreadsheets/d/1PpI0hh9KFEs5vWbGLGEKOgnCY9AB903B1JB7OyOifBM/edit?usp=drivesdk" TargetMode="External"/><Relationship Id="rId71" Type="http://schemas.openxmlformats.org/officeDocument/2006/relationships/hyperlink" Target="https://docs.google.com/spreadsheets/d/1MPiJ_CXZ5wky1YCGyCBdiHlhpVWqB8cpu3DUGbHn_Fk/edit?usp=drivesdk" TargetMode="External"/><Relationship Id="rId92" Type="http://schemas.openxmlformats.org/officeDocument/2006/relationships/hyperlink" Target="https://docs.google.com/spreadsheets/d/15opuX87TZYf_18Kot8lh48NkRncl3JyYoUeVPVycEbw/edit?usp=drivesdk" TargetMode="External"/><Relationship Id="rId162" Type="http://schemas.openxmlformats.org/officeDocument/2006/relationships/hyperlink" Target="https://docs.google.com/spreadsheets/d/1dVqui44elhM1OxLUxRA9zI92bUH26KmnyLqGvfRdeSs" TargetMode="External"/><Relationship Id="rId183" Type="http://schemas.openxmlformats.org/officeDocument/2006/relationships/hyperlink" Target="https://docs.google.com/spreadsheets/d/1i6wtv9bdL6VZGUAoK4vywzGDcUMMlxIFP90pMWSwrNU" TargetMode="External"/><Relationship Id="rId2" Type="http://schemas.openxmlformats.org/officeDocument/2006/relationships/hyperlink" Target="https://docs.google.com/spreadsheets/d/1ahdED2zJRfju5nI4ubL9kzam2tENrLFqMDZI-gJWvFk/edit?usp=drivesdk" TargetMode="External"/><Relationship Id="rId29" Type="http://schemas.openxmlformats.org/officeDocument/2006/relationships/hyperlink" Target="https://docs.google.com/spreadsheets/d/181N4FHLC_Ct2QfI5zh-lwIigV6X0O_VG-DDpayUIHeU/edit?usp=drivesdk" TargetMode="External"/><Relationship Id="rId24" Type="http://schemas.openxmlformats.org/officeDocument/2006/relationships/hyperlink" Target="https://docs.google.com/spreadsheets/d/1yeTelbccxCtZNZ2tpfavKhFWEEHhunlAvhT1rWG22sU/edit?usp=drivesdk" TargetMode="External"/><Relationship Id="rId40" Type="http://schemas.openxmlformats.org/officeDocument/2006/relationships/hyperlink" Target="https://docs.google.com/spreadsheets/d/1C0yLoC66PTzazCJLEKK5hJQCufYnqQJ4RKNjcu5Wmgc/edit?usp=drivesdk" TargetMode="External"/><Relationship Id="rId45" Type="http://schemas.openxmlformats.org/officeDocument/2006/relationships/hyperlink" Target="https://docs.google.com/spreadsheets/d/1hFt-2MJ_opfClFBxGKlQZR0zU718MEZ2SN83TjZaO9I/edit?usp=drivesdk" TargetMode="External"/><Relationship Id="rId66" Type="http://schemas.openxmlformats.org/officeDocument/2006/relationships/hyperlink" Target="https://docs.google.com/spreadsheets/d/1loeRhdVPaj2bfg7p_IinWHtWUxAYFpQy7kp-XX0Edp0/edit?usp=drivesdk" TargetMode="External"/><Relationship Id="rId87" Type="http://schemas.openxmlformats.org/officeDocument/2006/relationships/hyperlink" Target="https://docs.google.com/spreadsheets/d/1UcDbrgtZZGxQ9QiB74gFBDEKDTshDgLaMpfUkYPjnmI/edit?usp=drivesdk" TargetMode="External"/><Relationship Id="rId110" Type="http://schemas.openxmlformats.org/officeDocument/2006/relationships/hyperlink" Target="https://docs.google.com/spreadsheets/d/1rHW8CmLjEWhSSGOR3UJ-4FFkCa5uHHbZlzPyctNiuac/edit?usp=drivesdk" TargetMode="External"/><Relationship Id="rId115" Type="http://schemas.openxmlformats.org/officeDocument/2006/relationships/hyperlink" Target="https://docs.google.com/spreadsheets/d/12T-QoPuhWXWYpioPZKzY1oKfOBKhAY0kMTuPc2GHQcI/edit?usp=drivesdk" TargetMode="External"/><Relationship Id="rId131" Type="http://schemas.openxmlformats.org/officeDocument/2006/relationships/hyperlink" Target="https://docs.google.com/spreadsheets/d/1Cqb7VUiCPfJU8plmvhzoSalrF8Lm4bNX0POvq7SDnxI/edit?usp=drivesdk" TargetMode="External"/><Relationship Id="rId136" Type="http://schemas.openxmlformats.org/officeDocument/2006/relationships/hyperlink" Target="https://docs.google.com/spreadsheets/d/15Xsz5Vk_d8ydcT9_tGPrKZh2ipLoePP8xuOtglLI5iM/edit?usp=drivesdk" TargetMode="External"/><Relationship Id="rId157" Type="http://schemas.openxmlformats.org/officeDocument/2006/relationships/hyperlink" Target="https://docs.google.com/spreadsheets/d/1qY8rgVOpDM5HDDCdR6g6PU1i5awkvFwUQvsM8jl3oxs" TargetMode="External"/><Relationship Id="rId178" Type="http://schemas.openxmlformats.org/officeDocument/2006/relationships/hyperlink" Target="https://docs.google.com/spreadsheets/d/1I_Skyz-knDvVWFViALX5CvGUew0MAOue2lN1U-A8zV4" TargetMode="External"/><Relationship Id="rId61" Type="http://schemas.openxmlformats.org/officeDocument/2006/relationships/hyperlink" Target="https://docs.google.com/spreadsheets/d/1duDf4PFxrDZwA6bWPzKp4U8BsM07qSMlyNCQx8Vp7qc/edit?usp=drivesdk" TargetMode="External"/><Relationship Id="rId82" Type="http://schemas.openxmlformats.org/officeDocument/2006/relationships/hyperlink" Target="https://docs.google.com/spreadsheets/d/18QTzySxQCn4BPjvceArR2RZkFkZW699uVZ_ymX3Ux04/edit?usp=drivesdk" TargetMode="External"/><Relationship Id="rId152" Type="http://schemas.openxmlformats.org/officeDocument/2006/relationships/hyperlink" Target="https://docs.google.com/spreadsheets/d/1MHTsILib_Qhc4GDwcNr1WhcTKhkw4tSDblXv3hcweJM" TargetMode="External"/><Relationship Id="rId173" Type="http://schemas.openxmlformats.org/officeDocument/2006/relationships/hyperlink" Target="https://docs.google.com/spreadsheets/d/1G5iXmYy9W0nqM_ieDLrpttzm2vvfsoGNZCZM3wNl8Po" TargetMode="External"/><Relationship Id="rId19" Type="http://schemas.openxmlformats.org/officeDocument/2006/relationships/hyperlink" Target="https://docs.google.com/spreadsheets/d/1eMbzZsjgYHGCkj9q0Rbkz6CJ6stVcTPs91VCDC9f53M/edit?usp=drivesdk" TargetMode="External"/><Relationship Id="rId14" Type="http://schemas.openxmlformats.org/officeDocument/2006/relationships/hyperlink" Target="https://docs.google.com/spreadsheets/d/1xFihTiBvpKtGwwMzjJPPhnlifLVIvnKPqbcTCFZrHBo/edit?usp=drivesdk" TargetMode="External"/><Relationship Id="rId30" Type="http://schemas.openxmlformats.org/officeDocument/2006/relationships/hyperlink" Target="https://docs.google.com/spreadsheets/d/1lH31CzHYXfzde9MVY3-o_QafmrCJiuhnVg31nfflNqs/edit?usp=drivesdk" TargetMode="External"/><Relationship Id="rId35" Type="http://schemas.openxmlformats.org/officeDocument/2006/relationships/hyperlink" Target="https://docs.google.com/spreadsheets/d/1X78-qzp81SZc3zUQ6Jjc7k8uHQAC8ZV94VFVo-eg3fg/edit?usp=drivesdk" TargetMode="External"/><Relationship Id="rId56" Type="http://schemas.openxmlformats.org/officeDocument/2006/relationships/hyperlink" Target="https://docs.google.com/spreadsheets/d/1h44MIdt5pKZWDr-ijDH07vYuL_36ht_Tq_w9teOl7Xg/edit?usp=drivesdk" TargetMode="External"/><Relationship Id="rId77" Type="http://schemas.openxmlformats.org/officeDocument/2006/relationships/hyperlink" Target="https://docs.google.com/spreadsheets/d/12Si81BHsQ85z8E2yPpLtW-B2zObf0Qr6iIe_D68WbFE/edit?usp=drivesdk" TargetMode="External"/><Relationship Id="rId100" Type="http://schemas.openxmlformats.org/officeDocument/2006/relationships/hyperlink" Target="https://docs.google.com/spreadsheets/d/1q0YflCtITrAQ4ETANxe2mSyy1jZwgls9jItl2mx-ZMg/edit?usp=drivesdk" TargetMode="External"/><Relationship Id="rId105" Type="http://schemas.openxmlformats.org/officeDocument/2006/relationships/hyperlink" Target="https://docs.google.com/spreadsheets/d/1AT_gnMXhW0alF5LpI4vUyAw5zLU56Qblo7pmQSi--WU/edit?usp=drivesdk" TargetMode="External"/><Relationship Id="rId126" Type="http://schemas.openxmlformats.org/officeDocument/2006/relationships/hyperlink" Target="https://docs.google.com/spreadsheets/d/1vgs2M_3QDqxNib2_GIUSD9Ac1lbiLRs_Gz2zzcR0zXg/edit?usp=drivesdk" TargetMode="External"/><Relationship Id="rId147" Type="http://schemas.openxmlformats.org/officeDocument/2006/relationships/hyperlink" Target="https://docs.google.com/spreadsheets/d/12rn8vWRRzgeb4SZ64z-xcDviQ9O7Q-XhQ40G2I3PvmE" TargetMode="External"/><Relationship Id="rId168" Type="http://schemas.openxmlformats.org/officeDocument/2006/relationships/hyperlink" Target="https://docs.google.com/spreadsheets/d/1uD9LPRGAyEqViSLZcoZb66MiywCfumFtcoOjIn9A5ns" TargetMode="External"/><Relationship Id="rId8" Type="http://schemas.openxmlformats.org/officeDocument/2006/relationships/hyperlink" Target="https://docs.google.com/spreadsheets/d/1AXVWJxlSkvWhmTpX5td10yBI89MuvBDRyQS4uqvRMVI/edit?usp=drivesdk" TargetMode="External"/><Relationship Id="rId51" Type="http://schemas.openxmlformats.org/officeDocument/2006/relationships/hyperlink" Target="https://docs.google.com/spreadsheets/d/1wJ4LJlg2KaBp-FXu0ayJY5TnjE_F1k_L-TiF3Jr8Jqs/edit?usp=drivesdk" TargetMode="External"/><Relationship Id="rId72" Type="http://schemas.openxmlformats.org/officeDocument/2006/relationships/hyperlink" Target="https://docs.google.com/spreadsheets/d/1qoAhh5SD119eGbItEDotaMyu0zpkVWpZ3qy4j1WUcgo/edit?usp=drivesdk" TargetMode="External"/><Relationship Id="rId93" Type="http://schemas.openxmlformats.org/officeDocument/2006/relationships/hyperlink" Target="https://docs.google.com/spreadsheets/d/1WwfezWrXgUURJ3T4jqChNAS6Mq5CAcvNkx1is1CaeRw/edit?usp=drivesdk" TargetMode="External"/><Relationship Id="rId98" Type="http://schemas.openxmlformats.org/officeDocument/2006/relationships/hyperlink" Target="https://docs.google.com/spreadsheets/d/1I-fMIzvQI47z-oz8qemN6xiwJ_0e7YL2xIKzjd435XY/edit?usp=drivesdk" TargetMode="External"/><Relationship Id="rId121" Type="http://schemas.openxmlformats.org/officeDocument/2006/relationships/hyperlink" Target="https://docs.google.com/spreadsheets/d/1-r4oBWBff2GnX4ccbVMhAOiYuuU5i9_5fdRnL2yPbPE/edit?usp=drivesdk" TargetMode="External"/><Relationship Id="rId142" Type="http://schemas.openxmlformats.org/officeDocument/2006/relationships/hyperlink" Target="https://docs.google.com/spreadsheets/d/1eoyjxonLnk8eT2F7CEvIXzJPlqTaxTsNwYnoSHJXvN4" TargetMode="External"/><Relationship Id="rId163" Type="http://schemas.openxmlformats.org/officeDocument/2006/relationships/hyperlink" Target="https://docs.google.com/spreadsheets/d/1c7Sby1TtafhA7zF2wgljVCA1yBBNIuqvDPpzAAKvECY" TargetMode="External"/><Relationship Id="rId184" Type="http://schemas.openxmlformats.org/officeDocument/2006/relationships/hyperlink" Target="https://docs.google.com/spreadsheets/d/180gzLN2wO1Vti6MfycY1QJHKfANCnSxsm1NFijYFR0c" TargetMode="External"/><Relationship Id="rId3" Type="http://schemas.openxmlformats.org/officeDocument/2006/relationships/hyperlink" Target="https://docs.google.com/spreadsheets/d/1usypukxC_ov9AvPiIbNgBLxbwZIXxmJt3_kfGVfcehM/edit?usp=drivesdk" TargetMode="External"/><Relationship Id="rId25" Type="http://schemas.openxmlformats.org/officeDocument/2006/relationships/hyperlink" Target="https://docs.google.com/spreadsheets/d/1KNPni632Nmd_Wsi2t688FZOcBFfp_-L4j3pu6KqQPRQ/edit?usp=drivesdk" TargetMode="External"/><Relationship Id="rId46" Type="http://schemas.openxmlformats.org/officeDocument/2006/relationships/hyperlink" Target="https://docs.google.com/spreadsheets/d/1NrSFNWMsiiSjWa6byPkwkJop46_Ay_v89b1RYKngIBw/edit?usp=drivesdk" TargetMode="External"/><Relationship Id="rId67" Type="http://schemas.openxmlformats.org/officeDocument/2006/relationships/hyperlink" Target="https://docs.google.com/spreadsheets/d/1SZ9TUpaOpk17lsEmfy6DgYWwRmyDRglauBQ3aTr80K8/edit?usp=drivesdk" TargetMode="External"/><Relationship Id="rId116" Type="http://schemas.openxmlformats.org/officeDocument/2006/relationships/hyperlink" Target="https://docs.google.com/spreadsheets/d/13qAJrHmcM716rVlct4gKsvOBli23TuLB_qw2h7QfHro/edit?usp=drivesdk" TargetMode="External"/><Relationship Id="rId137" Type="http://schemas.openxmlformats.org/officeDocument/2006/relationships/hyperlink" Target="https://docs.google.com/spreadsheets/d/1gSClPmlha1VvUv7Eu1YfbMzL4yIM74V_2Gtv9oqs9eo/edit?usp=drivesdk" TargetMode="External"/><Relationship Id="rId158" Type="http://schemas.openxmlformats.org/officeDocument/2006/relationships/hyperlink" Target="https://docs.google.com/spreadsheets/d/1WtsADbkfVqgmZ9kKgd-WrcQYJ-Sgu9y45czdpVs_O8U" TargetMode="External"/><Relationship Id="rId20" Type="http://schemas.openxmlformats.org/officeDocument/2006/relationships/hyperlink" Target="https://docs.google.com/spreadsheets/d/1OXltdxdt8vM2D7GQkBMNM41WiMrlO6Y9nrG-aoL3NIA/edit?usp=drivesdk" TargetMode="External"/><Relationship Id="rId41" Type="http://schemas.openxmlformats.org/officeDocument/2006/relationships/hyperlink" Target="https://docs.google.com/spreadsheets/d/1a3ujvQyKz2rcZ0VsHwrELEdxRBUAwTpAAF30xXAbcrU/edit?usp=drivesdk" TargetMode="External"/><Relationship Id="rId62" Type="http://schemas.openxmlformats.org/officeDocument/2006/relationships/hyperlink" Target="https://docs.google.com/spreadsheets/d/1WUrzV8gz5aJQ34syzBrHehw6mB8YMCB-2ym4MAgIr3I/edit?usp=drivesdk" TargetMode="External"/><Relationship Id="rId83" Type="http://schemas.openxmlformats.org/officeDocument/2006/relationships/hyperlink" Target="https://docs.google.com/spreadsheets/d/1LHPn9cuSWwJ1lMdAWMyDO34e_viCcN1y7Ll4uyGnqqI/edit?usp=drivesdk" TargetMode="External"/><Relationship Id="rId88" Type="http://schemas.openxmlformats.org/officeDocument/2006/relationships/hyperlink" Target="https://docs.google.com/spreadsheets/d/1G2hhM4aVMOaE2XVFpv3T-PAIsXN_BmnmUUyfRjPeOE4/edit?usp=drivesdk" TargetMode="External"/><Relationship Id="rId111" Type="http://schemas.openxmlformats.org/officeDocument/2006/relationships/hyperlink" Target="https://docs.google.com/spreadsheets/d/1dRoqt_4utRP89_KWAhpHMSpj_QvHbTxm84ZEsWnbIhs/edit?usp=drivesdk" TargetMode="External"/><Relationship Id="rId132" Type="http://schemas.openxmlformats.org/officeDocument/2006/relationships/hyperlink" Target="https://docs.google.com/spreadsheets/d/1OG_Cbyr9ygagI-DRs4tRyOPJBKpzdPa-nzNBMf5YzcM/edit?usp=drivesdk" TargetMode="External"/><Relationship Id="rId153" Type="http://schemas.openxmlformats.org/officeDocument/2006/relationships/hyperlink" Target="https://docs.google.com/spreadsheets/d/1T-iwcTmdKcsrmUOnq_Ls5zpgt3LfjeE72vV9zjps2Tk" TargetMode="External"/><Relationship Id="rId174" Type="http://schemas.openxmlformats.org/officeDocument/2006/relationships/hyperlink" Target="https://docs.google.com/spreadsheets/d/18QG7yAUANvgNIgCMwNTp7OFpHoVCISIZSWPzKV6GkJs" TargetMode="External"/><Relationship Id="rId179" Type="http://schemas.openxmlformats.org/officeDocument/2006/relationships/hyperlink" Target="https://docs.google.com/spreadsheets/d/1hpSYiErB9lMycIAXfL1VE0aAeFADfFrQ6I3mz0KHD9g" TargetMode="External"/><Relationship Id="rId15" Type="http://schemas.openxmlformats.org/officeDocument/2006/relationships/hyperlink" Target="https://docs.google.com/spreadsheets/d/1WhZFAmWiqApSyAREZt7fleZa4blrUY4knRp0fzHtsx4/edit?usp=drivesdk" TargetMode="External"/><Relationship Id="rId36" Type="http://schemas.openxmlformats.org/officeDocument/2006/relationships/hyperlink" Target="https://docs.google.com/spreadsheets/d/1LklL3roRcRt5BuB9lzFnPeWhbsde159x5VHNHZUCDS8/edit?usp=drivesdk" TargetMode="External"/><Relationship Id="rId57" Type="http://schemas.openxmlformats.org/officeDocument/2006/relationships/hyperlink" Target="https://docs.google.com/spreadsheets/d/1JHnSTmqgd9otzPoP4H8WAO7E5gpSA-eostMsRo3cw6g/edit?usp=drivesdk" TargetMode="External"/><Relationship Id="rId106" Type="http://schemas.openxmlformats.org/officeDocument/2006/relationships/hyperlink" Target="https://docs.google.com/spreadsheets/d/1nANAPEBfv4rKu-Bn8hmJnSWMeP17HhHiCIGkrUK9wfM/edit?usp=drivesdk" TargetMode="External"/><Relationship Id="rId127" Type="http://schemas.openxmlformats.org/officeDocument/2006/relationships/hyperlink" Target="https://docs.google.com/spreadsheets/d/1uexF15kcV889ABYGE9GjfNKVHJb1m0UJZnAEB7qu5sc/edit?usp=drivesdk" TargetMode="External"/><Relationship Id="rId10" Type="http://schemas.openxmlformats.org/officeDocument/2006/relationships/hyperlink" Target="https://docs.google.com/spreadsheets/d/10pBF9cVTnYK3zTowI48m9ElnHqjFUwFpGAxNMZ3dqbk/edit?usp=drivesdk" TargetMode="External"/><Relationship Id="rId31" Type="http://schemas.openxmlformats.org/officeDocument/2006/relationships/hyperlink" Target="https://docs.google.com/spreadsheets/d/1jd_qlxxwe8YSuvG-HRQO-9EItqyW2sgzM1IVApGyUvw/edit?usp=drivesdk" TargetMode="External"/><Relationship Id="rId52" Type="http://schemas.openxmlformats.org/officeDocument/2006/relationships/hyperlink" Target="https://docs.google.com/spreadsheets/d/1n9bstZxEBe4JNwg0pvd0DLKlmWSk6jP12J9mkjVjrNo/edit?usp=drivesdk" TargetMode="External"/><Relationship Id="rId73" Type="http://schemas.openxmlformats.org/officeDocument/2006/relationships/hyperlink" Target="https://docs.google.com/spreadsheets/d/1J2sI5i_RiN7ysOkMuSb1DO5SBvVWGzB-jze1KKdJuUs/edit?usp=drivesdk" TargetMode="External"/><Relationship Id="rId78" Type="http://schemas.openxmlformats.org/officeDocument/2006/relationships/hyperlink" Target="https://docs.google.com/spreadsheets/d/1XJgdWKy1PakbojnAJa0F5tbMpzfrTyUQQIfosA5mIPU/edit?usp=drivesdk" TargetMode="External"/><Relationship Id="rId94" Type="http://schemas.openxmlformats.org/officeDocument/2006/relationships/hyperlink" Target="https://docs.google.com/spreadsheets/d/1AQfbFHFz-NdoVQ3szVOpOiijpx83CHbJr63fit181wc/edit?usp=drivesdk" TargetMode="External"/><Relationship Id="rId99" Type="http://schemas.openxmlformats.org/officeDocument/2006/relationships/hyperlink" Target="https://docs.google.com/spreadsheets/d/14zBiv2Kf9VvoHpmSMv_5Bltn2XUbP_WpbQp6N4FRbf8/edit?usp=drivesdk" TargetMode="External"/><Relationship Id="rId101" Type="http://schemas.openxmlformats.org/officeDocument/2006/relationships/hyperlink" Target="https://docs.google.com/spreadsheets/d/1J-j8xwyhI6WSV7uKjPxsC5FNAdSHfkcBfioFtVB1mM0/edit?usp=drivesdk" TargetMode="External"/><Relationship Id="rId122" Type="http://schemas.openxmlformats.org/officeDocument/2006/relationships/hyperlink" Target="https://docs.google.com/spreadsheets/d/1joskARu068v82ujKuYzl4rFtqM_Fj8VxAUWL2FnEv0U/edit?usp=drivesdk" TargetMode="External"/><Relationship Id="rId143" Type="http://schemas.openxmlformats.org/officeDocument/2006/relationships/hyperlink" Target="https://docs.google.com/spreadsheets/d/18jtJ8o34XAYPGK0oXFNWmXZ-xj2OWoSVdW0rDqyz3Xo" TargetMode="External"/><Relationship Id="rId148" Type="http://schemas.openxmlformats.org/officeDocument/2006/relationships/hyperlink" Target="https://docs.google.com/spreadsheets/d/1GLGUJ83q9wmxfeXV8nCjcCN2fmvwir941jSg-fD0MNs" TargetMode="External"/><Relationship Id="rId164" Type="http://schemas.openxmlformats.org/officeDocument/2006/relationships/hyperlink" Target="https://docs.google.com/spreadsheets/d/1pPEJ48zeagAhnJIH0xXnppj8d-OK0mNVpvT6l8ubzvI" TargetMode="External"/><Relationship Id="rId169" Type="http://schemas.openxmlformats.org/officeDocument/2006/relationships/hyperlink" Target="https://docs.google.com/spreadsheets/d/1-jnjFsYhaZ7ge_AAfSRqTrVWpUGJ_EY6pY1CzYGzo9o" TargetMode="External"/><Relationship Id="rId185" Type="http://schemas.openxmlformats.org/officeDocument/2006/relationships/hyperlink" Target="https://docs.google.com/spreadsheets/d/1oOmLLoruA5HMKdOxGZpBEHdq0yOl7Pqn2ZMmv0lAqxo" TargetMode="External"/><Relationship Id="rId4" Type="http://schemas.openxmlformats.org/officeDocument/2006/relationships/hyperlink" Target="https://docs.google.com/spreadsheets/d/1qx5iRO20yN2eOkW2-rBnWV8JolW1LfaCSATWOq4MROw/edit?usp=drivesdk" TargetMode="External"/><Relationship Id="rId9" Type="http://schemas.openxmlformats.org/officeDocument/2006/relationships/hyperlink" Target="https://docs.google.com/spreadsheets/d/1qKYi1Fh6SSij2egmU6fPp5-mR1PKg9Rj5bmSFU89icY/edit?usp=drivesdk" TargetMode="External"/><Relationship Id="rId180" Type="http://schemas.openxmlformats.org/officeDocument/2006/relationships/hyperlink" Target="https://docs.google.com/spreadsheets/d/1vZt60Htm5H4AzoieZqyyQJpQhc_aQrnHP1YCKYfLlo0" TargetMode="External"/><Relationship Id="rId26" Type="http://schemas.openxmlformats.org/officeDocument/2006/relationships/hyperlink" Target="https://docs.google.com/spreadsheets/d/1x1huiCxKTKKDbq5c8f1AYGu5FEcGddxGn8YEuH8O8I0/edit?usp=drivesdk" TargetMode="External"/><Relationship Id="rId47" Type="http://schemas.openxmlformats.org/officeDocument/2006/relationships/hyperlink" Target="https://docs.google.com/spreadsheets/d/1_fTjPrupBXRfPTWuqWHQo5QI2bHO0j5vrahrDJChifA/edit?usp=drivesdk" TargetMode="External"/><Relationship Id="rId68" Type="http://schemas.openxmlformats.org/officeDocument/2006/relationships/hyperlink" Target="https://docs.google.com/spreadsheets/d/15OS3718XjfLYzxC12w4dww0biL5Io7206zea_7a0_Hk/edit?usp=drivesdk" TargetMode="External"/><Relationship Id="rId89" Type="http://schemas.openxmlformats.org/officeDocument/2006/relationships/hyperlink" Target="https://docs.google.com/spreadsheets/d/1e0ixqPXayjltUrwYBU0bFnCyFy38Dqi6CxYgbix2a58/edit?usp=drivesdk" TargetMode="External"/><Relationship Id="rId112" Type="http://schemas.openxmlformats.org/officeDocument/2006/relationships/hyperlink" Target="https://docs.google.com/spreadsheets/d/1sak1bfc94-RluYjYBNX5pTjn9bInMdpBJVUotIcOegg/edit?usp=drivesdk" TargetMode="External"/><Relationship Id="rId133" Type="http://schemas.openxmlformats.org/officeDocument/2006/relationships/hyperlink" Target="https://docs.google.com/spreadsheets/d/1ZzL_DvDV4Sw8eoFu28ufokOt5qJ7gBx4mcJ0Ylor25w/edit?usp=drivesdk" TargetMode="External"/><Relationship Id="rId154" Type="http://schemas.openxmlformats.org/officeDocument/2006/relationships/hyperlink" Target="https://docs.google.com/spreadsheets/d/1_JSwxFHfprCKqY8Wez7TlDPusoMuu1dO0X4H8Z2DoBc" TargetMode="External"/><Relationship Id="rId175" Type="http://schemas.openxmlformats.org/officeDocument/2006/relationships/hyperlink" Target="https://docs.google.com/spreadsheets/d/1LZ7BqYauTSgF83Sp5jQ3QfyAiJfTiopagMk5B6v40jY" TargetMode="External"/><Relationship Id="rId16" Type="http://schemas.openxmlformats.org/officeDocument/2006/relationships/hyperlink" Target="https://docs.google.com/spreadsheets/d/1P0sWPEAEHX3Ka3yS0O26dYtc1mMjYmBPO7pJ7Ly7Bnk/edit?usp=drivesdk" TargetMode="External"/><Relationship Id="rId37" Type="http://schemas.openxmlformats.org/officeDocument/2006/relationships/hyperlink" Target="https://docs.google.com/spreadsheets/d/1GLQDlnCgBPf7q31zXK3-bzUn7LlanEQjLCQ2XMr8Lps/edit?usp=drivesdk" TargetMode="External"/><Relationship Id="rId58" Type="http://schemas.openxmlformats.org/officeDocument/2006/relationships/hyperlink" Target="https://docs.google.com/spreadsheets/d/1Yh755r_NJbhIl5RLiGxqWOe9mYI45vyUd8GmBozIiPc/edit?usp=drivesdk" TargetMode="External"/><Relationship Id="rId79" Type="http://schemas.openxmlformats.org/officeDocument/2006/relationships/hyperlink" Target="https://docs.google.com/spreadsheets/d/1x4MxDxMxJld5x67NQiegvWrdJg1FnSxlIDOi3E91we0/edit?usp=drivesdk" TargetMode="External"/><Relationship Id="rId102" Type="http://schemas.openxmlformats.org/officeDocument/2006/relationships/hyperlink" Target="https://docs.google.com/spreadsheets/d/1uHnY1njpbn501rqwV9QxTO1ToBk1i7T1V24rECxaVz4/edit?usp=drivesdk" TargetMode="External"/><Relationship Id="rId123" Type="http://schemas.openxmlformats.org/officeDocument/2006/relationships/hyperlink" Target="https://docs.google.com/spreadsheets/d/1t69ioS8Rt5Vm08iD-8XSdBloeTDNqUAgutlHCbcrVLI/edit?usp=drivesdk" TargetMode="External"/><Relationship Id="rId144" Type="http://schemas.openxmlformats.org/officeDocument/2006/relationships/hyperlink" Target="https://docs.google.com/spreadsheets/d/1TRVUV0_R8w8L255nF8giCzggxbE8-sAJjqvhumIudiU" TargetMode="External"/><Relationship Id="rId90" Type="http://schemas.openxmlformats.org/officeDocument/2006/relationships/hyperlink" Target="https://docs.google.com/spreadsheets/d/1_8-beV9QV2eEOm6vGY_Fu5LTxqb9o1T_6zKhyPlaDIc/edit?usp=drivesdk" TargetMode="External"/><Relationship Id="rId165" Type="http://schemas.openxmlformats.org/officeDocument/2006/relationships/hyperlink" Target="https://docs.google.com/spreadsheets/d/1wZ4wCoqndn_oe5F3gE6V1D0Loc3l9XHWwvhF-5S6-Yw" TargetMode="External"/><Relationship Id="rId186" Type="http://schemas.openxmlformats.org/officeDocument/2006/relationships/hyperlink" Target="https://docs.google.com/spreadsheets/d/1suf5RpeqvC3wIhGzF8_-6wCxUM7rOSvRPT9XbtDZh1E" TargetMode="External"/><Relationship Id="rId27" Type="http://schemas.openxmlformats.org/officeDocument/2006/relationships/hyperlink" Target="https://docs.google.com/spreadsheets/d/1sLHLheq2tqahRbaDCeQrFIZr0UB9JsUNLRl8veSrdrs/edit?usp=drivesdk" TargetMode="External"/><Relationship Id="rId48" Type="http://schemas.openxmlformats.org/officeDocument/2006/relationships/hyperlink" Target="https://docs.google.com/spreadsheets/d/1k5Fn7IyyucS64PdaJvihu02U6YiNRKNtqBaQYaGAoxo/edit?usp=drivesdk" TargetMode="External"/><Relationship Id="rId69" Type="http://schemas.openxmlformats.org/officeDocument/2006/relationships/hyperlink" Target="https://docs.google.com/spreadsheets/d/1ZNlw92gxE7873cpjUxV9SyRiWtgknCIquq4Y7j7wYhI/edit?usp=drivesdk" TargetMode="External"/><Relationship Id="rId113" Type="http://schemas.openxmlformats.org/officeDocument/2006/relationships/hyperlink" Target="https://docs.google.com/spreadsheets/d/1KsfzafFGfiIPZxT9zAOcSg5g5J0Q8tq6Pl9hgmwN37c/edit?usp=drivesdk" TargetMode="External"/><Relationship Id="rId134" Type="http://schemas.openxmlformats.org/officeDocument/2006/relationships/hyperlink" Target="https://docs.google.com/spreadsheets/d/1uSHgthxp1OGekLjYESMt6aTZBG9Q1Fr0cEuAmvqdnBY/edit?usp=drivesdk" TargetMode="External"/><Relationship Id="rId80" Type="http://schemas.openxmlformats.org/officeDocument/2006/relationships/hyperlink" Target="https://docs.google.com/spreadsheets/d/1F9YHn1GgNwFgl1Mq9rH4FjKzzAODuFkmssfBttkfd2U/edit?usp=drivesdk" TargetMode="External"/><Relationship Id="rId155" Type="http://schemas.openxmlformats.org/officeDocument/2006/relationships/hyperlink" Target="https://docs.google.com/spreadsheets/d/1S2Xgy6APj59Q2s_JTXLRd1g8o9_jGoLxAJFE-yZVH6k" TargetMode="External"/><Relationship Id="rId176" Type="http://schemas.openxmlformats.org/officeDocument/2006/relationships/hyperlink" Target="https://docs.google.com/spreadsheets/d/1_073m75DS73-a_fQkCLTA7taeh3wRXhYg5XK1MWKY5U" TargetMode="External"/><Relationship Id="rId17" Type="http://schemas.openxmlformats.org/officeDocument/2006/relationships/hyperlink" Target="https://docs.google.com/spreadsheets/d/1EqbUvZ11JKLyiOW3Zz0vZjG2Z3YmFEAoZiD-UpXa4UI/edit?usp=drivesdk" TargetMode="External"/><Relationship Id="rId38" Type="http://schemas.openxmlformats.org/officeDocument/2006/relationships/hyperlink" Target="https://docs.google.com/spreadsheets/d/1rOpb9RiNOfAZbyfCo7nZSU7ozPyhd3tajrdN54uwMC8/edit?usp=drivesdk" TargetMode="External"/><Relationship Id="rId59" Type="http://schemas.openxmlformats.org/officeDocument/2006/relationships/hyperlink" Target="https://docs.google.com/spreadsheets/d/1WTuh8yoCtan-gB4Wn1LO3X2sdEWdIFp8PWzuSTl2ZvA/edit?usp=drivesdk" TargetMode="External"/><Relationship Id="rId103" Type="http://schemas.openxmlformats.org/officeDocument/2006/relationships/hyperlink" Target="https://docs.google.com/spreadsheets/d/1ZutDNqy0w88tkblK2SOADvKRPOUKsfRAlfXJRswfzzc/edit?usp=drivesdk" TargetMode="External"/><Relationship Id="rId124" Type="http://schemas.openxmlformats.org/officeDocument/2006/relationships/hyperlink" Target="https://docs.google.com/spreadsheets/d/1LU2UnkHO1NoRONNgKrnZ4OjY2Q-fhXHQ97j_ZEAfkLk/edit?usp=drivesdk" TargetMode="External"/><Relationship Id="rId70" Type="http://schemas.openxmlformats.org/officeDocument/2006/relationships/hyperlink" Target="https://docs.google.com/spreadsheets/d/1lZAOZXT0-avLFzsNCgWOHWZNrLe19Vsm00zJqOldpuM/edit?usp=drivesdk" TargetMode="External"/><Relationship Id="rId91" Type="http://schemas.openxmlformats.org/officeDocument/2006/relationships/hyperlink" Target="https://docs.google.com/spreadsheets/d/1UUTZmlVuFSXwI23yPi0430GRTTOOf5f_eaERjCe8_9s/edit?usp=drivesdk" TargetMode="External"/><Relationship Id="rId145" Type="http://schemas.openxmlformats.org/officeDocument/2006/relationships/hyperlink" Target="https://docs.google.com/spreadsheets/d/1cNgF5PYvWfcuWbv54tfoJnu_1M1P4Y8jvIlzPS5puDM" TargetMode="External"/><Relationship Id="rId166" Type="http://schemas.openxmlformats.org/officeDocument/2006/relationships/hyperlink" Target="https://docs.google.com/spreadsheets/d/1e3a2REUQdsBNWZCS7wy_VGxmJ29yuzY3yV-OoUK-hZo" TargetMode="External"/><Relationship Id="rId187" Type="http://schemas.openxmlformats.org/officeDocument/2006/relationships/hyperlink" Target="https://docs.google.com/spreadsheets/d/1sXWZDMhBqgRA0yVaXDXRhUywzST142Qo6-irBhJYfHs" TargetMode="External"/><Relationship Id="rId1" Type="http://schemas.openxmlformats.org/officeDocument/2006/relationships/hyperlink" Target="https://docs.google.com/spreadsheets/d/1mPgfoZgF4PhbDsiQ_0qd8lfKCJ6XGZmxfPFl2fDy57w/edit?usp=drivesdk" TargetMode="External"/><Relationship Id="rId28" Type="http://schemas.openxmlformats.org/officeDocument/2006/relationships/hyperlink" Target="https://docs.google.com/spreadsheets/d/1wbnQhGsofuFAY-uQz_RFCV2KYEHy8N8CPpLvCawmG70/edit?usp=drivesdk" TargetMode="External"/><Relationship Id="rId49" Type="http://schemas.openxmlformats.org/officeDocument/2006/relationships/hyperlink" Target="https://docs.google.com/spreadsheets/d/1X3F3V_8iE_3J9Wzd21LcZYAk8omuHP9bmOwWFayC_OQ/edit?usp=drivesdk" TargetMode="External"/><Relationship Id="rId114" Type="http://schemas.openxmlformats.org/officeDocument/2006/relationships/hyperlink" Target="https://docs.google.com/spreadsheets/d/1r01IIrjECtdS6yzA3a-mSV_iaAfFdk-fJCT6HSXZ_t4/edit?usp=drivesdk" TargetMode="External"/><Relationship Id="rId60" Type="http://schemas.openxmlformats.org/officeDocument/2006/relationships/hyperlink" Target="https://docs.google.com/spreadsheets/d/1cyzYcMc0MckPCTedLY8_1_F2BAbiJd0M7rI868I85Vc/edit?usp=drivesdk" TargetMode="External"/><Relationship Id="rId81" Type="http://schemas.openxmlformats.org/officeDocument/2006/relationships/hyperlink" Target="https://docs.google.com/spreadsheets/d/1AvVrv5qgTOKMQQeBKooSoy1TNpoms9is6NZNg8O22bU/edit?usp=drivesdk" TargetMode="External"/><Relationship Id="rId135" Type="http://schemas.openxmlformats.org/officeDocument/2006/relationships/hyperlink" Target="https://docs.google.com/spreadsheets/d/1NBINXnFmJK8khEOckoSv524mIpBBgSS041EudZWd8GY/edit?usp=drivesdk" TargetMode="External"/><Relationship Id="rId156" Type="http://schemas.openxmlformats.org/officeDocument/2006/relationships/hyperlink" Target="https://docs.google.com/spreadsheets/d/1dS6eQFNvMQOKMbjCLQsVNpM0zNTHTOAnerY44jdXOPU" TargetMode="External"/><Relationship Id="rId177" Type="http://schemas.openxmlformats.org/officeDocument/2006/relationships/hyperlink" Target="https://docs.google.com/spreadsheets/d/1EorS1t_tA44KmK-G_W_yrF-ccH_hDAtibkNeBSgcbhc"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drive.google.com/open?id=1z-YoUXzXJo2r7M7Hg2AlFxWHr38R6M0c" TargetMode="External"/><Relationship Id="rId13" Type="http://schemas.openxmlformats.org/officeDocument/2006/relationships/hyperlink" Target="https://drive.google.com/open?id=14DtYCrCqqiM91BFywqqjhlvYy6sfAtyr" TargetMode="External"/><Relationship Id="rId3" Type="http://schemas.openxmlformats.org/officeDocument/2006/relationships/hyperlink" Target="https://drive.google.com/open?id=1h0JIEkLI3AIQPlPVic4i657JGr1sT7Ho" TargetMode="External"/><Relationship Id="rId7" Type="http://schemas.openxmlformats.org/officeDocument/2006/relationships/hyperlink" Target="https://drive.google.com/open?id=1ap8tXxMwVUbJEV9FOgOvWRRDBJ8paxWs" TargetMode="External"/><Relationship Id="rId12" Type="http://schemas.openxmlformats.org/officeDocument/2006/relationships/hyperlink" Target="https://drive.google.com/open?id=1NVaKyb_OJo_nx_0d-08IJiGS2amN-N8k" TargetMode="External"/><Relationship Id="rId2" Type="http://schemas.openxmlformats.org/officeDocument/2006/relationships/hyperlink" Target="https://drive.google.com/open?id=1J7MigpvSAmiUxk7KyCozo_AfMoFGY3j_" TargetMode="External"/><Relationship Id="rId1" Type="http://schemas.openxmlformats.org/officeDocument/2006/relationships/hyperlink" Target="https://drive.google.com/open?id=1kwTF2Lud5y0325VmUE4fF_cBkGsr_Amh" TargetMode="External"/><Relationship Id="rId6" Type="http://schemas.openxmlformats.org/officeDocument/2006/relationships/hyperlink" Target="https://drive.google.com/open?id=1Jk-VTX5tgMiIxjF-c9bTdeQhEso9STV-" TargetMode="External"/><Relationship Id="rId11" Type="http://schemas.openxmlformats.org/officeDocument/2006/relationships/hyperlink" Target="https://drive.google.com/open?id=1z4i9w0vYg2K6WgwW95ec-orakPIJLNYU" TargetMode="External"/><Relationship Id="rId5" Type="http://schemas.openxmlformats.org/officeDocument/2006/relationships/hyperlink" Target="https://drive.google.com/open?id=1zgu83atJA6OZzSDaxpTryu4fcTMutgzU" TargetMode="External"/><Relationship Id="rId10" Type="http://schemas.openxmlformats.org/officeDocument/2006/relationships/hyperlink" Target="https://drive.google.com/open?id=1Jcd2XiftKTLfssppkAZcC_V2DBQEMP8a" TargetMode="External"/><Relationship Id="rId4" Type="http://schemas.openxmlformats.org/officeDocument/2006/relationships/hyperlink" Target="https://drive.google.com/open?id=1AhfVCKuLqA2dGM9Dhdt29RuXNMrHhSF1" TargetMode="External"/><Relationship Id="rId9" Type="http://schemas.openxmlformats.org/officeDocument/2006/relationships/hyperlink" Target="https://drive.google.com/open?id=1XnlusaS87nUeOGMcC8I47OpVJxqQlsNk" TargetMode="External"/></Relationships>
</file>

<file path=xl/worksheets/_rels/sheet10.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AA84F"/>
    <outlinePr summaryBelow="0"/>
  </sheetPr>
  <dimension ref="A1:O651"/>
  <sheetViews>
    <sheetView showGridLines="0" workbookViewId="0">
      <pane ySplit="2" topLeftCell="A3" activePane="bottomLeft" state="frozen"/>
      <selection pane="bottomLeft" activeCell="B4" sqref="B4"/>
    </sheetView>
  </sheetViews>
  <sheetFormatPr defaultColWidth="12.54296875" defaultRowHeight="15.75" customHeight="1" outlineLevelCol="1" x14ac:dyDescent="0.25"/>
  <cols>
    <col min="1" max="1" width="20.54296875" customWidth="1" outlineLevel="1"/>
    <col min="2" max="2" width="22.54296875" customWidth="1" outlineLevel="1"/>
    <col min="3" max="3" width="18.81640625" customWidth="1"/>
    <col min="4" max="4" width="43.81640625" customWidth="1"/>
    <col min="6" max="6" width="31.453125" customWidth="1"/>
    <col min="7" max="7" width="75.1796875" customWidth="1"/>
    <col min="8" max="9" width="12.54296875" customWidth="1"/>
    <col min="10" max="10" width="18.81640625" customWidth="1"/>
    <col min="11" max="12" width="37.54296875" customWidth="1"/>
    <col min="13" max="14" width="18.81640625" customWidth="1"/>
  </cols>
  <sheetData>
    <row r="1" spans="1:15" ht="22.5" customHeight="1" x14ac:dyDescent="0.25">
      <c r="A1" s="1">
        <v>1</v>
      </c>
      <c r="B1" s="2">
        <f t="shared" ref="B1:N1" si="0">A1+1</f>
        <v>2</v>
      </c>
      <c r="C1" s="2">
        <f t="shared" si="0"/>
        <v>3</v>
      </c>
      <c r="D1" s="2">
        <f t="shared" si="0"/>
        <v>4</v>
      </c>
      <c r="E1" s="2">
        <f t="shared" si="0"/>
        <v>5</v>
      </c>
      <c r="F1" s="2">
        <f t="shared" si="0"/>
        <v>6</v>
      </c>
      <c r="G1" s="2">
        <f t="shared" si="0"/>
        <v>7</v>
      </c>
      <c r="H1" s="2">
        <f t="shared" si="0"/>
        <v>8</v>
      </c>
      <c r="I1" s="2">
        <f t="shared" si="0"/>
        <v>9</v>
      </c>
      <c r="J1" s="2">
        <f t="shared" si="0"/>
        <v>10</v>
      </c>
      <c r="K1" s="2">
        <f t="shared" si="0"/>
        <v>11</v>
      </c>
      <c r="L1" s="2">
        <f t="shared" si="0"/>
        <v>12</v>
      </c>
      <c r="M1" s="2">
        <f t="shared" si="0"/>
        <v>13</v>
      </c>
      <c r="N1" s="2">
        <f t="shared" si="0"/>
        <v>14</v>
      </c>
      <c r="O1" s="3"/>
    </row>
    <row r="2" spans="1:15" ht="45" customHeight="1" x14ac:dyDescent="0.25">
      <c r="A2" s="4" t="s">
        <v>0</v>
      </c>
      <c r="B2" s="5" t="s">
        <v>1</v>
      </c>
      <c r="C2" s="5" t="s">
        <v>2</v>
      </c>
      <c r="D2" s="5" t="s">
        <v>3</v>
      </c>
      <c r="E2" s="5" t="s">
        <v>4</v>
      </c>
      <c r="F2" s="5" t="s">
        <v>5</v>
      </c>
      <c r="G2" s="6" t="s">
        <v>6</v>
      </c>
      <c r="H2" s="6" t="s">
        <v>7</v>
      </c>
      <c r="I2" s="6" t="s">
        <v>8</v>
      </c>
      <c r="J2" s="7" t="s">
        <v>9</v>
      </c>
      <c r="K2" s="8" t="s">
        <v>10</v>
      </c>
      <c r="L2" s="8" t="s">
        <v>11</v>
      </c>
      <c r="M2" s="8" t="s">
        <v>12</v>
      </c>
      <c r="N2" s="8" t="s">
        <v>13</v>
      </c>
      <c r="O2" s="3"/>
    </row>
    <row r="3" spans="1:15" ht="37.5" customHeight="1" x14ac:dyDescent="0.25">
      <c r="A3" s="9" t="str">
        <f t="shared" ref="A3:A651" ca="1" si="1">IF(B3="","",F3&amp;"/"&amp;G3&amp;"/"&amp;I3)</f>
        <v>JOAO PESSOA/GERENCIA EXECUTIVA DE RESSOCIALIZACAO ( SEAP)/TARDE</v>
      </c>
      <c r="B3" s="2" t="str">
        <f ca="1">IFERROR(__xludf.DUMMYFUNCTION("QUERY(CONVOCADOS!$C$2:$X651,""SELECT Col1,Col7,Col8,Col9,Col3,Col4,Col5,Col6,Col21,Col16,Col17,Col18,Col19 WHERE Col9='ORIENTADOR' AND Col22='NÃO'"",0)"),"004/2025/027.930.564-80")</f>
        <v>004/2025/027.930.564-80</v>
      </c>
      <c r="C3" s="2" t="str">
        <f ca="1">IFERROR(__xludf.DUMMYFUNCTION("""COMPUTED_VALUE"""),"027.930.564-80")</f>
        <v>027.930.564-80</v>
      </c>
      <c r="D3" s="2" t="str">
        <f ca="1">IFERROR(__xludf.DUMMYFUNCTION("""COMPUTED_VALUE"""),"RENILDO LUCIO DE MORAES")</f>
        <v>RENILDO LUCIO DE MORAES</v>
      </c>
      <c r="E3" s="2" t="str">
        <f ca="1">IFERROR(__xludf.DUMMYFUNCTION("""COMPUTED_VALUE"""),"ORIENTADOR")</f>
        <v>ORIENTADOR</v>
      </c>
      <c r="F3" s="2" t="str">
        <f ca="1">IFERROR(__xludf.DUMMYFUNCTION("""COMPUTED_VALUE"""),"JOAO PESSOA")</f>
        <v>JOAO PESSOA</v>
      </c>
      <c r="G3" s="10" t="str">
        <f ca="1">IFERROR(__xludf.DUMMYFUNCTION("""COMPUTED_VALUE"""),"GERENCIA EXECUTIVA DE RESSOCIALIZACAO ( SEAP)")</f>
        <v>GERENCIA EXECUTIVA DE RESSOCIALIZACAO ( SEAP)</v>
      </c>
      <c r="H3" s="11"/>
      <c r="I3" s="11" t="str">
        <f ca="1">IFERROR(__xludf.DUMMYFUNCTION("""COMPUTED_VALUE"""),"TARDE")</f>
        <v>TARDE</v>
      </c>
      <c r="J3" s="11" t="str">
        <f ca="1">IFERROR(__xludf.DUMMYFUNCTION("""COMPUTED_VALUE"""),"POSSE VALIDADA")</f>
        <v>POSSE VALIDADA</v>
      </c>
      <c r="K3" s="11" t="str">
        <f ca="1">IFERROR(__xludf.DUMMYFUNCTION("""COMPUTED_VALUE"""),"renildolmoraes@gmail.com")</f>
        <v>renildolmoraes@gmail.com</v>
      </c>
      <c r="L3" s="11" t="str">
        <f ca="1">IFERROR(__xludf.DUMMYFUNCTION("""COMPUTED_VALUE"""),"renildolmoraes@yahoo.com.br")</f>
        <v>renildolmoraes@yahoo.com.br</v>
      </c>
      <c r="M3" s="11" t="str">
        <f ca="1">IFERROR(__xludf.DUMMYFUNCTION("""COMPUTED_VALUE"""),"(83)98835-0343")</f>
        <v>(83)98835-0343</v>
      </c>
      <c r="N3" s="11"/>
      <c r="O3" s="3"/>
    </row>
    <row r="4" spans="1:15" ht="37.5" customHeight="1" x14ac:dyDescent="0.25">
      <c r="A4" s="9" t="str">
        <f t="shared" ca="1" si="1"/>
        <v>JOAO PESSOA/PENITENCIARIA DE REEDUCACAO FEMININA MARIA JULIA MARANHAO/TARDE</v>
      </c>
      <c r="B4" s="2" t="str">
        <f ca="1">IFERROR(__xludf.DUMMYFUNCTION("""COMPUTED_VALUE"""),"004/2025/013.240.214-97")</f>
        <v>004/2025/013.240.214-97</v>
      </c>
      <c r="C4" s="2" t="str">
        <f ca="1">IFERROR(__xludf.DUMMYFUNCTION("""COMPUTED_VALUE"""),"013.240.214-97")</f>
        <v>013.240.214-97</v>
      </c>
      <c r="D4" s="2" t="str">
        <f ca="1">IFERROR(__xludf.DUMMYFUNCTION("""COMPUTED_VALUE"""),"GIOVANNA BARROCA DE MOURA")</f>
        <v>GIOVANNA BARROCA DE MOURA</v>
      </c>
      <c r="E4" s="2" t="str">
        <f ca="1">IFERROR(__xludf.DUMMYFUNCTION("""COMPUTED_VALUE"""),"ORIENTADOR")</f>
        <v>ORIENTADOR</v>
      </c>
      <c r="F4" s="2" t="str">
        <f ca="1">IFERROR(__xludf.DUMMYFUNCTION("""COMPUTED_VALUE"""),"JOAO PESSOA")</f>
        <v>JOAO PESSOA</v>
      </c>
      <c r="G4" s="10" t="str">
        <f ca="1">IFERROR(__xludf.DUMMYFUNCTION("""COMPUTED_VALUE"""),"PENITENCIARIA DE REEDUCACAO FEMININA MARIA JULIA MARANHAO")</f>
        <v>PENITENCIARIA DE REEDUCACAO FEMININA MARIA JULIA MARANHAO</v>
      </c>
      <c r="H4" s="11"/>
      <c r="I4" s="11" t="str">
        <f ca="1">IFERROR(__xludf.DUMMYFUNCTION("""COMPUTED_VALUE"""),"TARDE")</f>
        <v>TARDE</v>
      </c>
      <c r="J4" s="11" t="str">
        <f ca="1">IFERROR(__xludf.DUMMYFUNCTION("""COMPUTED_VALUE"""),"POSSE VALIDADA")</f>
        <v>POSSE VALIDADA</v>
      </c>
      <c r="K4" s="11" t="str">
        <f ca="1">IFERROR(__xludf.DUMMYFUNCTION("""COMPUTED_VALUE"""),"giovannabarroca@gmail.com")</f>
        <v>giovannabarroca@gmail.com</v>
      </c>
      <c r="L4" s="11" t="str">
        <f ca="1">IFERROR(__xludf.DUMMYFUNCTION("""COMPUTED_VALUE"""),"giovannabm@hotmail.com")</f>
        <v>giovannabm@hotmail.com</v>
      </c>
      <c r="M4" s="11" t="str">
        <f ca="1">IFERROR(__xludf.DUMMYFUNCTION("""COMPUTED_VALUE"""),"(83)98852-4344")</f>
        <v>(83)98852-4344</v>
      </c>
      <c r="N4" s="11"/>
      <c r="O4" s="3"/>
    </row>
    <row r="5" spans="1:15" ht="37.5" customHeight="1" x14ac:dyDescent="0.25">
      <c r="A5" s="9" t="str">
        <f t="shared" ca="1" si="1"/>
        <v>JOAO PESSOA/GERENCIA EXECUTIVA DE RESSOCIALIZACAO ( SEAP)/TARDE</v>
      </c>
      <c r="B5" s="2" t="str">
        <f ca="1">IFERROR(__xludf.DUMMYFUNCTION("""COMPUTED_VALUE"""),"004/2025/798.659.174-91")</f>
        <v>004/2025/798.659.174-91</v>
      </c>
      <c r="C5" s="2" t="str">
        <f ca="1">IFERROR(__xludf.DUMMYFUNCTION("""COMPUTED_VALUE"""),"798.659.174-91")</f>
        <v>798.659.174-91</v>
      </c>
      <c r="D5" s="2" t="str">
        <f ca="1">IFERROR(__xludf.DUMMYFUNCTION("""COMPUTED_VALUE"""),"OLINALDO DE OLIVEIRA BARACHO")</f>
        <v>OLINALDO DE OLIVEIRA BARACHO</v>
      </c>
      <c r="E5" s="2" t="str">
        <f ca="1">IFERROR(__xludf.DUMMYFUNCTION("""COMPUTED_VALUE"""),"ORIENTADOR")</f>
        <v>ORIENTADOR</v>
      </c>
      <c r="F5" s="2" t="str">
        <f ca="1">IFERROR(__xludf.DUMMYFUNCTION("""COMPUTED_VALUE"""),"JOAO PESSOA")</f>
        <v>JOAO PESSOA</v>
      </c>
      <c r="G5" s="10" t="str">
        <f ca="1">IFERROR(__xludf.DUMMYFUNCTION("""COMPUTED_VALUE"""),"GERENCIA EXECUTIVA DE RESSOCIALIZACAO ( SEAP)")</f>
        <v>GERENCIA EXECUTIVA DE RESSOCIALIZACAO ( SEAP)</v>
      </c>
      <c r="H5" s="11"/>
      <c r="I5" s="11" t="str">
        <f ca="1">IFERROR(__xludf.DUMMYFUNCTION("""COMPUTED_VALUE"""),"TARDE")</f>
        <v>TARDE</v>
      </c>
      <c r="J5" s="11" t="str">
        <f ca="1">IFERROR(__xludf.DUMMYFUNCTION("""COMPUTED_VALUE"""),"DOCUMENTAÇÃO NÃO ENVIADA")</f>
        <v>DOCUMENTAÇÃO NÃO ENVIADA</v>
      </c>
      <c r="K5" s="11" t="str">
        <f ca="1">IFERROR(__xludf.DUMMYFUNCTION("""COMPUTED_VALUE"""),"oolinaldo@gmail.com")</f>
        <v>oolinaldo@gmail.com</v>
      </c>
      <c r="L5" s="11" t="str">
        <f ca="1">IFERROR(__xludf.DUMMYFUNCTION("""COMPUTED_VALUE"""),"olinaldo@outlook.com.br")</f>
        <v>olinaldo@outlook.com.br</v>
      </c>
      <c r="M5" s="11" t="str">
        <f ca="1">IFERROR(__xludf.DUMMYFUNCTION("""COMPUTED_VALUE"""),"(83)986184573")</f>
        <v>(83)986184573</v>
      </c>
      <c r="N5" s="11" t="str">
        <f ca="1">IFERROR(__xludf.DUMMYFUNCTION("""COMPUTED_VALUE"""),"(83)991634573")</f>
        <v>(83)991634573</v>
      </c>
      <c r="O5" s="3"/>
    </row>
    <row r="6" spans="1:15" ht="37.5" customHeight="1" x14ac:dyDescent="0.25">
      <c r="A6" s="9" t="str">
        <f t="shared" ca="1" si="1"/>
        <v>JOAO PESSOA/ESCOLA MUNICIPAL LUIZA LIMA LOBO/NOITE</v>
      </c>
      <c r="B6" s="2" t="str">
        <f ca="1">IFERROR(__xludf.DUMMYFUNCTION("""COMPUTED_VALUE"""),"004/2025/095.728.144-78")</f>
        <v>004/2025/095.728.144-78</v>
      </c>
      <c r="C6" s="2" t="str">
        <f ca="1">IFERROR(__xludf.DUMMYFUNCTION("""COMPUTED_VALUE"""),"095.728.144-78")</f>
        <v>095.728.144-78</v>
      </c>
      <c r="D6" s="2" t="str">
        <f ca="1">IFERROR(__xludf.DUMMYFUNCTION("""COMPUTED_VALUE"""),"CINTHIA RAQUEL DE FRANÇA RODFRIGUES")</f>
        <v>CINTHIA RAQUEL DE FRANÇA RODFRIGUES</v>
      </c>
      <c r="E6" s="2" t="str">
        <f ca="1">IFERROR(__xludf.DUMMYFUNCTION("""COMPUTED_VALUE"""),"ORIENTADOR")</f>
        <v>ORIENTADOR</v>
      </c>
      <c r="F6" s="2" t="str">
        <f ca="1">IFERROR(__xludf.DUMMYFUNCTION("""COMPUTED_VALUE"""),"JOAO PESSOA")</f>
        <v>JOAO PESSOA</v>
      </c>
      <c r="G6" s="10" t="str">
        <f ca="1">IFERROR(__xludf.DUMMYFUNCTION("""COMPUTED_VALUE"""),"ESCOLA MUNICIPAL LUIZA LIMA LOBO")</f>
        <v>ESCOLA MUNICIPAL LUIZA LIMA LOBO</v>
      </c>
      <c r="H6" s="11"/>
      <c r="I6" s="11" t="str">
        <f ca="1">IFERROR(__xludf.DUMMYFUNCTION("""COMPUTED_VALUE"""),"NOITE")</f>
        <v>NOITE</v>
      </c>
      <c r="J6" s="11" t="str">
        <f ca="1">IFERROR(__xludf.DUMMYFUNCTION("""COMPUTED_VALUE"""),"POSSE VALIDADA")</f>
        <v>POSSE VALIDADA</v>
      </c>
      <c r="K6" s="11" t="str">
        <f ca="1">IFERROR(__xludf.DUMMYFUNCTION("""COMPUTED_VALUE"""),"cinthiaraqueldfr@gmail.com")</f>
        <v>cinthiaraqueldfr@gmail.com</v>
      </c>
      <c r="L6" s="11"/>
      <c r="M6" s="11" t="str">
        <f ca="1">IFERROR(__xludf.DUMMYFUNCTION("""COMPUTED_VALUE"""),"(83)99138-6798")</f>
        <v>(83)99138-6798</v>
      </c>
      <c r="N6" s="11"/>
      <c r="O6" s="3"/>
    </row>
    <row r="7" spans="1:15" ht="37.5" customHeight="1" x14ac:dyDescent="0.25">
      <c r="A7" s="9" t="str">
        <f t="shared" ca="1" si="1"/>
        <v>PILOES/EMEF BRAZ BARACUHY/NOITE</v>
      </c>
      <c r="B7" s="2" t="str">
        <f ca="1">IFERROR(__xludf.DUMMYFUNCTION("""COMPUTED_VALUE"""),"004/2025/346.120.948-16")</f>
        <v>004/2025/346.120.948-16</v>
      </c>
      <c r="C7" s="2" t="str">
        <f ca="1">IFERROR(__xludf.DUMMYFUNCTION("""COMPUTED_VALUE"""),"346.120.948-16")</f>
        <v>346.120.948-16</v>
      </c>
      <c r="D7" s="2" t="str">
        <f ca="1">IFERROR(__xludf.DUMMYFUNCTION("""COMPUTED_VALUE"""),"MARIA EDUARDA SANTOS CATARINA")</f>
        <v>MARIA EDUARDA SANTOS CATARINA</v>
      </c>
      <c r="E7" s="2" t="str">
        <f ca="1">IFERROR(__xludf.DUMMYFUNCTION("""COMPUTED_VALUE"""),"ORIENTADOR")</f>
        <v>ORIENTADOR</v>
      </c>
      <c r="F7" s="2" t="str">
        <f ca="1">IFERROR(__xludf.DUMMYFUNCTION("""COMPUTED_VALUE"""),"PILOES")</f>
        <v>PILOES</v>
      </c>
      <c r="G7" s="10" t="str">
        <f ca="1">IFERROR(__xludf.DUMMYFUNCTION("""COMPUTED_VALUE"""),"EMEF BRAZ BARACUHY")</f>
        <v>EMEF BRAZ BARACUHY</v>
      </c>
      <c r="H7" s="11"/>
      <c r="I7" s="11" t="str">
        <f ca="1">IFERROR(__xludf.DUMMYFUNCTION("""COMPUTED_VALUE"""),"NOITE")</f>
        <v>NOITE</v>
      </c>
      <c r="J7" s="11" t="str">
        <f ca="1">IFERROR(__xludf.DUMMYFUNCTION("""COMPUTED_VALUE"""),"POSSE VALIDADA")</f>
        <v>POSSE VALIDADA</v>
      </c>
      <c r="K7" s="11" t="str">
        <f ca="1">IFERROR(__xludf.DUMMYFUNCTION("""COMPUTED_VALUE"""),"mariacatarinaed@gmail.com")</f>
        <v>mariacatarinaed@gmail.com</v>
      </c>
      <c r="L7" s="11" t="str">
        <f ca="1">IFERROR(__xludf.DUMMYFUNCTION("""COMPUTED_VALUE"""),"mariacatarinaed@gmail.com")</f>
        <v>mariacatarinaed@gmail.com</v>
      </c>
      <c r="M7" s="11" t="str">
        <f ca="1">IFERROR(__xludf.DUMMYFUNCTION("""COMPUTED_VALUE"""),"(83)99948-5743")</f>
        <v>(83)99948-5743</v>
      </c>
      <c r="N7" s="11" t="str">
        <f ca="1">IFERROR(__xludf.DUMMYFUNCTION("""COMPUTED_VALUE"""),"(83)99948-5743")</f>
        <v>(83)99948-5743</v>
      </c>
      <c r="O7" s="3"/>
    </row>
    <row r="8" spans="1:15" ht="37.5" customHeight="1" x14ac:dyDescent="0.25">
      <c r="A8" s="9" t="str">
        <f t="shared" ca="1" si="1"/>
        <v>AREIA/ASSENTAMENTO UNIAO/TARDE</v>
      </c>
      <c r="B8" s="2" t="str">
        <f ca="1">IFERROR(__xludf.DUMMYFUNCTION("""COMPUTED_VALUE"""),"004/2025/047.275.284-79")</f>
        <v>004/2025/047.275.284-79</v>
      </c>
      <c r="C8" s="2" t="str">
        <f ca="1">IFERROR(__xludf.DUMMYFUNCTION("""COMPUTED_VALUE"""),"047.275.284-79")</f>
        <v>047.275.284-79</v>
      </c>
      <c r="D8" s="2" t="str">
        <f ca="1">IFERROR(__xludf.DUMMYFUNCTION("""COMPUTED_VALUE"""),"ELISIANNE DA COSTA FLORENCIO ALVES")</f>
        <v>ELISIANNE DA COSTA FLORENCIO ALVES</v>
      </c>
      <c r="E8" s="2" t="str">
        <f ca="1">IFERROR(__xludf.DUMMYFUNCTION("""COMPUTED_VALUE"""),"ORIENTADOR")</f>
        <v>ORIENTADOR</v>
      </c>
      <c r="F8" s="2" t="str">
        <f ca="1">IFERROR(__xludf.DUMMYFUNCTION("""COMPUTED_VALUE"""),"AREIA")</f>
        <v>AREIA</v>
      </c>
      <c r="G8" s="10" t="str">
        <f ca="1">IFERROR(__xludf.DUMMYFUNCTION("""COMPUTED_VALUE"""),"ASSENTAMENTO UNIAO")</f>
        <v>ASSENTAMENTO UNIAO</v>
      </c>
      <c r="H8" s="11"/>
      <c r="I8" s="11" t="str">
        <f ca="1">IFERROR(__xludf.DUMMYFUNCTION("""COMPUTED_VALUE"""),"TARDE")</f>
        <v>TARDE</v>
      </c>
      <c r="J8" s="11" t="str">
        <f ca="1">IFERROR(__xludf.DUMMYFUNCTION("""COMPUTED_VALUE"""),"POSSE VALIDADA")</f>
        <v>POSSE VALIDADA</v>
      </c>
      <c r="K8" s="11" t="str">
        <f ca="1">IFERROR(__xludf.DUMMYFUNCTION("""COMPUTED_VALUE"""),"elisiannecosta@gmail.com")</f>
        <v>elisiannecosta@gmail.com</v>
      </c>
      <c r="L8" s="11" t="str">
        <f ca="1">IFERROR(__xludf.DUMMYFUNCTION("""COMPUTED_VALUE"""),"marciojas1975@gmail.com")</f>
        <v>marciojas1975@gmail.com</v>
      </c>
      <c r="M8" s="11" t="str">
        <f ca="1">IFERROR(__xludf.DUMMYFUNCTION("""COMPUTED_VALUE"""),"(83)988411001")</f>
        <v>(83)988411001</v>
      </c>
      <c r="N8" s="11" t="str">
        <f ca="1">IFERROR(__xludf.DUMMYFUNCTION("""COMPUTED_VALUE"""),"(83)988124777")</f>
        <v>(83)988124777</v>
      </c>
      <c r="O8" s="3"/>
    </row>
    <row r="9" spans="1:15" ht="37.5" customHeight="1" x14ac:dyDescent="0.25">
      <c r="A9" s="9" t="str">
        <f t="shared" ca="1" si="1"/>
        <v>AREIA/ASSENTAMENTO MULHERES EM ACAO/TARDE</v>
      </c>
      <c r="B9" s="2" t="str">
        <f ca="1">IFERROR(__xludf.DUMMYFUNCTION("""COMPUTED_VALUE"""),"004/2025/001.286.744-66")</f>
        <v>004/2025/001.286.744-66</v>
      </c>
      <c r="C9" s="2" t="str">
        <f ca="1">IFERROR(__xludf.DUMMYFUNCTION("""COMPUTED_VALUE"""),"001.286.744-66")</f>
        <v>001.286.744-66</v>
      </c>
      <c r="D9" s="2" t="str">
        <f ca="1">IFERROR(__xludf.DUMMYFUNCTION("""COMPUTED_VALUE"""),"MARCIO JOSE ALVES DE SOUSA")</f>
        <v>MARCIO JOSE ALVES DE SOUSA</v>
      </c>
      <c r="E9" s="2" t="str">
        <f ca="1">IFERROR(__xludf.DUMMYFUNCTION("""COMPUTED_VALUE"""),"ORIENTADOR")</f>
        <v>ORIENTADOR</v>
      </c>
      <c r="F9" s="2" t="str">
        <f ca="1">IFERROR(__xludf.DUMMYFUNCTION("""COMPUTED_VALUE"""),"AREIA")</f>
        <v>AREIA</v>
      </c>
      <c r="G9" s="10" t="str">
        <f ca="1">IFERROR(__xludf.DUMMYFUNCTION("""COMPUTED_VALUE"""),"ASSENTAMENTO MULHERES EM ACAO")</f>
        <v>ASSENTAMENTO MULHERES EM ACAO</v>
      </c>
      <c r="H9" s="11"/>
      <c r="I9" s="11" t="str">
        <f ca="1">IFERROR(__xludf.DUMMYFUNCTION("""COMPUTED_VALUE"""),"TARDE")</f>
        <v>TARDE</v>
      </c>
      <c r="J9" s="11" t="str">
        <f ca="1">IFERROR(__xludf.DUMMYFUNCTION("""COMPUTED_VALUE"""),"POSSE VALIDADA")</f>
        <v>POSSE VALIDADA</v>
      </c>
      <c r="K9" s="11" t="str">
        <f ca="1">IFERROR(__xludf.DUMMYFUNCTION("""COMPUTED_VALUE"""),"marciojas1975@gmail.com")</f>
        <v>marciojas1975@gmail.com</v>
      </c>
      <c r="L9" s="11"/>
      <c r="M9" s="11" t="str">
        <f ca="1">IFERROR(__xludf.DUMMYFUNCTION("""COMPUTED_VALUE"""),"(83)98812-4777")</f>
        <v>(83)98812-4777</v>
      </c>
      <c r="N9" s="11"/>
      <c r="O9" s="3"/>
    </row>
    <row r="10" spans="1:15" ht="37.5" customHeight="1" x14ac:dyDescent="0.25">
      <c r="A10" s="9" t="str">
        <f t="shared" ca="1" si="1"/>
        <v>BAYEUX/CENTRO DE CONVIVENCIA DOM HELDER/TARDE</v>
      </c>
      <c r="B10" s="2" t="str">
        <f ca="1">IFERROR(__xludf.DUMMYFUNCTION("""COMPUTED_VALUE"""),"004/2025/054.820.574-45")</f>
        <v>004/2025/054.820.574-45</v>
      </c>
      <c r="C10" s="2" t="str">
        <f ca="1">IFERROR(__xludf.DUMMYFUNCTION("""COMPUTED_VALUE"""),"054.820.574-45")</f>
        <v>054.820.574-45</v>
      </c>
      <c r="D10" s="2" t="str">
        <f ca="1">IFERROR(__xludf.DUMMYFUNCTION("""COMPUTED_VALUE"""),"MARCIA KELLY GABRIEL DE OLIVEIRA")</f>
        <v>MARCIA KELLY GABRIEL DE OLIVEIRA</v>
      </c>
      <c r="E10" s="2" t="str">
        <f ca="1">IFERROR(__xludf.DUMMYFUNCTION("""COMPUTED_VALUE"""),"ORIENTADOR")</f>
        <v>ORIENTADOR</v>
      </c>
      <c r="F10" s="2" t="str">
        <f ca="1">IFERROR(__xludf.DUMMYFUNCTION("""COMPUTED_VALUE"""),"BAYEUX")</f>
        <v>BAYEUX</v>
      </c>
      <c r="G10" s="10" t="str">
        <f ca="1">IFERROR(__xludf.DUMMYFUNCTION("""COMPUTED_VALUE"""),"CENTRO DE CONVIVENCIA DOM HELDER")</f>
        <v>CENTRO DE CONVIVENCIA DOM HELDER</v>
      </c>
      <c r="H10" s="11"/>
      <c r="I10" s="11" t="str">
        <f ca="1">IFERROR(__xludf.DUMMYFUNCTION("""COMPUTED_VALUE"""),"TARDE")</f>
        <v>TARDE</v>
      </c>
      <c r="J10" s="11" t="str">
        <f ca="1">IFERROR(__xludf.DUMMYFUNCTION("""COMPUTED_VALUE"""),"POSSE VALIDADA")</f>
        <v>POSSE VALIDADA</v>
      </c>
      <c r="K10" s="11" t="str">
        <f ca="1">IFERROR(__xludf.DUMMYFUNCTION("""COMPUTED_VALUE"""),"marciakellyoliveira@icloud.com")</f>
        <v>marciakellyoliveira@icloud.com</v>
      </c>
      <c r="L10" s="11"/>
      <c r="M10" s="11" t="str">
        <f ca="1">IFERROR(__xludf.DUMMYFUNCTION("""COMPUTED_VALUE"""),"(83)988299393")</f>
        <v>(83)988299393</v>
      </c>
      <c r="N10" s="11"/>
      <c r="O10" s="3"/>
    </row>
    <row r="11" spans="1:15" ht="37.5" customHeight="1" x14ac:dyDescent="0.25">
      <c r="A11" s="9" t="str">
        <f t="shared" ca="1" si="1"/>
        <v>CAJAZEIRAS/CADEIA PUBLICA FEMININA DE CAJAZEIRAS/TARDE</v>
      </c>
      <c r="B11" s="2" t="str">
        <f ca="1">IFERROR(__xludf.DUMMYFUNCTION("""COMPUTED_VALUE"""),"004/2025/001.248.244-71")</f>
        <v>004/2025/001.248.244-71</v>
      </c>
      <c r="C11" s="2" t="str">
        <f ca="1">IFERROR(__xludf.DUMMYFUNCTION("""COMPUTED_VALUE"""),"001.248.244-71")</f>
        <v>001.248.244-71</v>
      </c>
      <c r="D11" s="2" t="str">
        <f ca="1">IFERROR(__xludf.DUMMYFUNCTION("""COMPUTED_VALUE"""),"ANDREA ANDRADE SILVA")</f>
        <v>ANDREA ANDRADE SILVA</v>
      </c>
      <c r="E11" s="2" t="str">
        <f ca="1">IFERROR(__xludf.DUMMYFUNCTION("""COMPUTED_VALUE"""),"ORIENTADOR")</f>
        <v>ORIENTADOR</v>
      </c>
      <c r="F11" s="2" t="str">
        <f ca="1">IFERROR(__xludf.DUMMYFUNCTION("""COMPUTED_VALUE"""),"CAJAZEIRAS")</f>
        <v>CAJAZEIRAS</v>
      </c>
      <c r="G11" s="10" t="str">
        <f ca="1">IFERROR(__xludf.DUMMYFUNCTION("""COMPUTED_VALUE"""),"CADEIA PUBLICA FEMININA DE CAJAZEIRAS")</f>
        <v>CADEIA PUBLICA FEMININA DE CAJAZEIRAS</v>
      </c>
      <c r="H11" s="11"/>
      <c r="I11" s="11" t="str">
        <f ca="1">IFERROR(__xludf.DUMMYFUNCTION("""COMPUTED_VALUE"""),"TARDE")</f>
        <v>TARDE</v>
      </c>
      <c r="J11" s="11" t="str">
        <f ca="1">IFERROR(__xludf.DUMMYFUNCTION("""COMPUTED_VALUE"""),"POSSE VALIDADA")</f>
        <v>POSSE VALIDADA</v>
      </c>
      <c r="K11" s="11" t="str">
        <f ca="1">IFERROR(__xludf.DUMMYFUNCTION("""COMPUTED_VALUE"""),"andreaandradetrabalho7@gmail.com")</f>
        <v>andreaandradetrabalho7@gmail.com</v>
      </c>
      <c r="L11" s="11"/>
      <c r="M11" s="11" t="str">
        <f ca="1">IFERROR(__xludf.DUMMYFUNCTION("""COMPUTED_VALUE"""),"(83)99403-9059")</f>
        <v>(83)99403-9059</v>
      </c>
      <c r="N11" s="11"/>
      <c r="O11" s="3"/>
    </row>
    <row r="12" spans="1:15" ht="37.5" customHeight="1" x14ac:dyDescent="0.25">
      <c r="A12" s="9" t="str">
        <f t="shared" ca="1" si="1"/>
        <v>CAMPINA GRANDE/EEEFM SEN ARGEMIRO DE FIGUEIREDO/NOITE</v>
      </c>
      <c r="B12" s="2" t="str">
        <f ca="1">IFERROR(__xludf.DUMMYFUNCTION("""COMPUTED_VALUE"""),"004/2025/012.916.504-23")</f>
        <v>004/2025/012.916.504-23</v>
      </c>
      <c r="C12" s="2" t="str">
        <f ca="1">IFERROR(__xludf.DUMMYFUNCTION("""COMPUTED_VALUE"""),"012.916.504-23")</f>
        <v>012.916.504-23</v>
      </c>
      <c r="D12" s="2" t="str">
        <f ca="1">IFERROR(__xludf.DUMMYFUNCTION("""COMPUTED_VALUE"""),"BRUNO DANIEL FIGUEIREDO FERNANDES")</f>
        <v>BRUNO DANIEL FIGUEIREDO FERNANDES</v>
      </c>
      <c r="E12" s="2" t="str">
        <f ca="1">IFERROR(__xludf.DUMMYFUNCTION("""COMPUTED_VALUE"""),"ORIENTADOR")</f>
        <v>ORIENTADOR</v>
      </c>
      <c r="F12" s="2" t="str">
        <f ca="1">IFERROR(__xludf.DUMMYFUNCTION("""COMPUTED_VALUE"""),"CAMPINA GRANDE")</f>
        <v>CAMPINA GRANDE</v>
      </c>
      <c r="G12" s="10" t="str">
        <f ca="1">IFERROR(__xludf.DUMMYFUNCTION("""COMPUTED_VALUE"""),"EEEFM SEN ARGEMIRO DE FIGUEIREDO")</f>
        <v>EEEFM SEN ARGEMIRO DE FIGUEIREDO</v>
      </c>
      <c r="H12" s="11"/>
      <c r="I12" s="11" t="str">
        <f ca="1">IFERROR(__xludf.DUMMYFUNCTION("""COMPUTED_VALUE"""),"NOITE")</f>
        <v>NOITE</v>
      </c>
      <c r="J12" s="11" t="str">
        <f ca="1">IFERROR(__xludf.DUMMYFUNCTION("""COMPUTED_VALUE"""),"DOCUMENTAÇÃO NÃO ENVIADA")</f>
        <v>DOCUMENTAÇÃO NÃO ENVIADA</v>
      </c>
      <c r="K12" s="11" t="str">
        <f ca="1">IFERROR(__xludf.DUMMYFUNCTION("""COMPUTED_VALUE"""),"bruno.fernandes1@professor.pb.gov.br")</f>
        <v>bruno.fernandes1@professor.pb.gov.br</v>
      </c>
      <c r="L12" s="11" t="str">
        <f ca="1">IFERROR(__xludf.DUMMYFUNCTION("""COMPUTED_VALUE"""),"bruno_ufcg2@hotmail.com")</f>
        <v>bruno_ufcg2@hotmail.com</v>
      </c>
      <c r="M12" s="11" t="str">
        <f ca="1">IFERROR(__xludf.DUMMYFUNCTION("""COMPUTED_VALUE"""),"(83)99991-5233")</f>
        <v>(83)99991-5233</v>
      </c>
      <c r="N12" s="11" t="str">
        <f ca="1">IFERROR(__xludf.DUMMYFUNCTION("""COMPUTED_VALUE"""),"(83)99116-9813")</f>
        <v>(83)99116-9813</v>
      </c>
      <c r="O12" s="3"/>
    </row>
    <row r="13" spans="1:15" ht="37.5" customHeight="1" x14ac:dyDescent="0.25">
      <c r="A13" s="9" t="str">
        <f t="shared" ca="1" si="1"/>
        <v>GURINHEM/SINDICATO DOS TRABALHADORES RURAIS AGRICULTORES E AGRICULTORAS FAMILIARES DE GURINHEM/MANHA</v>
      </c>
      <c r="B13" s="2" t="str">
        <f ca="1">IFERROR(__xludf.DUMMYFUNCTION("""COMPUTED_VALUE"""),"004/2025/094.983.364-90")</f>
        <v>004/2025/094.983.364-90</v>
      </c>
      <c r="C13" s="2" t="str">
        <f ca="1">IFERROR(__xludf.DUMMYFUNCTION("""COMPUTED_VALUE"""),"094.983.364-90")</f>
        <v>094.983.364-90</v>
      </c>
      <c r="D13" s="2" t="str">
        <f ca="1">IFERROR(__xludf.DUMMYFUNCTION("""COMPUTED_VALUE"""),"PAULIENE ROBERTA DA SILVA PAIVA LEITE")</f>
        <v>PAULIENE ROBERTA DA SILVA PAIVA LEITE</v>
      </c>
      <c r="E13" s="2" t="str">
        <f ca="1">IFERROR(__xludf.DUMMYFUNCTION("""COMPUTED_VALUE"""),"ORIENTADOR")</f>
        <v>ORIENTADOR</v>
      </c>
      <c r="F13" s="2" t="str">
        <f ca="1">IFERROR(__xludf.DUMMYFUNCTION("""COMPUTED_VALUE"""),"GURINHEM")</f>
        <v>GURINHEM</v>
      </c>
      <c r="G13" s="10" t="str">
        <f ca="1">IFERROR(__xludf.DUMMYFUNCTION("""COMPUTED_VALUE"""),"SINDICATO DOS TRABALHADORES RURAIS AGRICULTORES E AGRICULTORAS FAMILIARES DE GURINHEM")</f>
        <v>SINDICATO DOS TRABALHADORES RURAIS AGRICULTORES E AGRICULTORAS FAMILIARES DE GURINHEM</v>
      </c>
      <c r="H13" s="11"/>
      <c r="I13" s="11" t="str">
        <f ca="1">IFERROR(__xludf.DUMMYFUNCTION("""COMPUTED_VALUE"""),"MANHA")</f>
        <v>MANHA</v>
      </c>
      <c r="J13" s="11" t="str">
        <f ca="1">IFERROR(__xludf.DUMMYFUNCTION("""COMPUTED_VALUE"""),"POSSE VALIDADA")</f>
        <v>POSSE VALIDADA</v>
      </c>
      <c r="K13" s="11" t="str">
        <f ca="1">IFERROR(__xludf.DUMMYFUNCTION("""COMPUTED_VALUE"""),"psicologapaulienepleite@gmial.com")</f>
        <v>psicologapaulienepleite@gmial.com</v>
      </c>
      <c r="L13" s="11" t="str">
        <f ca="1">IFERROR(__xludf.DUMMYFUNCTION("""COMPUTED_VALUE"""),"leideflc@hotmail.com")</f>
        <v>leideflc@hotmail.com</v>
      </c>
      <c r="M13" s="11" t="str">
        <f ca="1">IFERROR(__xludf.DUMMYFUNCTION("""COMPUTED_VALUE"""),"(83)99684-9781")</f>
        <v>(83)99684-9781</v>
      </c>
      <c r="N13" s="11" t="str">
        <f ca="1">IFERROR(__xludf.DUMMYFUNCTION("""COMPUTED_VALUE"""),"(83)996384742")</f>
        <v>(83)996384742</v>
      </c>
      <c r="O13" s="3"/>
    </row>
    <row r="14" spans="1:15" ht="37.5" customHeight="1" x14ac:dyDescent="0.25">
      <c r="A14" s="9" t="str">
        <f t="shared" ca="1" si="1"/>
        <v>JOAO PESSOA/GERENCIA EXECUTIVA DE RESSOCIALIZACAO ( SEAP)/TARDE</v>
      </c>
      <c r="B14" s="2" t="str">
        <f ca="1">IFERROR(__xludf.DUMMYFUNCTION("""COMPUTED_VALUE"""),"004/2025/011.590.354-23")</f>
        <v>004/2025/011.590.354-23</v>
      </c>
      <c r="C14" s="2" t="str">
        <f ca="1">IFERROR(__xludf.DUMMYFUNCTION("""COMPUTED_VALUE"""),"011.590.354-23")</f>
        <v>011.590.354-23</v>
      </c>
      <c r="D14" s="2" t="str">
        <f ca="1">IFERROR(__xludf.DUMMYFUNCTION("""COMPUTED_VALUE"""),"LEILANE SOARES DE LIMA")</f>
        <v>LEILANE SOARES DE LIMA</v>
      </c>
      <c r="E14" s="2" t="str">
        <f ca="1">IFERROR(__xludf.DUMMYFUNCTION("""COMPUTED_VALUE"""),"ORIENTADOR")</f>
        <v>ORIENTADOR</v>
      </c>
      <c r="F14" s="2" t="str">
        <f ca="1">IFERROR(__xludf.DUMMYFUNCTION("""COMPUTED_VALUE"""),"JOAO PESSOA")</f>
        <v>JOAO PESSOA</v>
      </c>
      <c r="G14" s="10" t="str">
        <f ca="1">IFERROR(__xludf.DUMMYFUNCTION("""COMPUTED_VALUE"""),"GERENCIA EXECUTIVA DE RESSOCIALIZACAO ( SEAP)")</f>
        <v>GERENCIA EXECUTIVA DE RESSOCIALIZACAO ( SEAP)</v>
      </c>
      <c r="H14" s="11"/>
      <c r="I14" s="11" t="str">
        <f ca="1">IFERROR(__xludf.DUMMYFUNCTION("""COMPUTED_VALUE"""),"TARDE")</f>
        <v>TARDE</v>
      </c>
      <c r="J14" s="11" t="str">
        <f ca="1">IFERROR(__xludf.DUMMYFUNCTION("""COMPUTED_VALUE"""),"POSSE VALIDADA")</f>
        <v>POSSE VALIDADA</v>
      </c>
      <c r="K14" s="11" t="str">
        <f ca="1">IFERROR(__xludf.DUMMYFUNCTION("""COMPUTED_VALUE"""),"leilanesoares.adv@hotmail.com")</f>
        <v>leilanesoares.adv@hotmail.com</v>
      </c>
      <c r="L14" s="11" t="str">
        <f ca="1">IFERROR(__xludf.DUMMYFUNCTION("""COMPUTED_VALUE"""),"leilanesoares.adv@gmail.com")</f>
        <v>leilanesoares.adv@gmail.com</v>
      </c>
      <c r="M14" s="11" t="str">
        <f ca="1">IFERROR(__xludf.DUMMYFUNCTION("""COMPUTED_VALUE"""),"(83)99835-8079")</f>
        <v>(83)99835-8079</v>
      </c>
      <c r="N14" s="11"/>
      <c r="O14" s="3"/>
    </row>
    <row r="15" spans="1:15" ht="37.5" customHeight="1" x14ac:dyDescent="0.25">
      <c r="A15" s="9" t="str">
        <f t="shared" ca="1" si="1"/>
        <v>JOAO PESSOA/PENITENCIARIA DE REEDUCACAO FEMININA MARIA JULIA MARANHAO/TARDE</v>
      </c>
      <c r="B15" s="2" t="str">
        <f ca="1">IFERROR(__xludf.DUMMYFUNCTION("""COMPUTED_VALUE"""),"004/2025/052.064.024-19")</f>
        <v>004/2025/052.064.024-19</v>
      </c>
      <c r="C15" s="2" t="str">
        <f ca="1">IFERROR(__xludf.DUMMYFUNCTION("""COMPUTED_VALUE"""),"052.064.024-19")</f>
        <v>052.064.024-19</v>
      </c>
      <c r="D15" s="2" t="str">
        <f ca="1">IFERROR(__xludf.DUMMYFUNCTION("""COMPUTED_VALUE"""),"SIMONE RACHEL GUEDESDA SILVA SANTOS")</f>
        <v>SIMONE RACHEL GUEDESDA SILVA SANTOS</v>
      </c>
      <c r="E15" s="2" t="str">
        <f ca="1">IFERROR(__xludf.DUMMYFUNCTION("""COMPUTED_VALUE"""),"ORIENTADOR")</f>
        <v>ORIENTADOR</v>
      </c>
      <c r="F15" s="2" t="str">
        <f ca="1">IFERROR(__xludf.DUMMYFUNCTION("""COMPUTED_VALUE"""),"JOAO PESSOA")</f>
        <v>JOAO PESSOA</v>
      </c>
      <c r="G15" s="10" t="str">
        <f ca="1">IFERROR(__xludf.DUMMYFUNCTION("""COMPUTED_VALUE"""),"PENITENCIARIA DE REEDUCACAO FEMININA MARIA JULIA MARANHAO")</f>
        <v>PENITENCIARIA DE REEDUCACAO FEMININA MARIA JULIA MARANHAO</v>
      </c>
      <c r="H15" s="11"/>
      <c r="I15" s="11" t="str">
        <f ca="1">IFERROR(__xludf.DUMMYFUNCTION("""COMPUTED_VALUE"""),"TARDE")</f>
        <v>TARDE</v>
      </c>
      <c r="J15" s="11" t="str">
        <f ca="1">IFERROR(__xludf.DUMMYFUNCTION("""COMPUTED_VALUE"""),"POSSE INVALIDADA")</f>
        <v>POSSE INVALIDADA</v>
      </c>
      <c r="K15" s="11" t="str">
        <f ca="1">IFERROR(__xludf.DUMMYFUNCTION("""COMPUTED_VALUE"""),"sr4ch3l@hotmail.com")</f>
        <v>sr4ch3l@hotmail.com</v>
      </c>
      <c r="L15" s="11" t="str">
        <f ca="1">IFERROR(__xludf.DUMMYFUNCTION("""COMPUTED_VALUE"""),"sr4ch3l3@gmail.com")</f>
        <v>sr4ch3l3@gmail.com</v>
      </c>
      <c r="M15" s="11" t="str">
        <f ca="1">IFERROR(__xludf.DUMMYFUNCTION("""COMPUTED_VALUE"""),"(83)98838-3086")</f>
        <v>(83)98838-3086</v>
      </c>
      <c r="N15" s="11" t="str">
        <f ca="1">IFERROR(__xludf.DUMMYFUNCTION("""COMPUTED_VALUE"""),"(83)98228-8415")</f>
        <v>(83)98228-8415</v>
      </c>
      <c r="O15" s="3"/>
    </row>
    <row r="16" spans="1:15" ht="37.5" customHeight="1" x14ac:dyDescent="0.25">
      <c r="A16" s="9" t="str">
        <f t="shared" ca="1" si="1"/>
        <v>JOAO PESSOA/ESCOLA MUNICIPAL LUIZA LIMA LOBO/NOITE</v>
      </c>
      <c r="B16" s="2" t="str">
        <f ca="1">IFERROR(__xludf.DUMMYFUNCTION("""COMPUTED_VALUE"""),"004/2025/060.681.394-25")</f>
        <v>004/2025/060.681.394-25</v>
      </c>
      <c r="C16" s="2" t="str">
        <f ca="1">IFERROR(__xludf.DUMMYFUNCTION("""COMPUTED_VALUE"""),"060.681.394-25")</f>
        <v>060.681.394-25</v>
      </c>
      <c r="D16" s="2" t="str">
        <f ca="1">IFERROR(__xludf.DUMMYFUNCTION("""COMPUTED_VALUE"""),"ANDERSON DUARTE DA SILVA")</f>
        <v>ANDERSON DUARTE DA SILVA</v>
      </c>
      <c r="E16" s="2" t="str">
        <f ca="1">IFERROR(__xludf.DUMMYFUNCTION("""COMPUTED_VALUE"""),"ORIENTADOR")</f>
        <v>ORIENTADOR</v>
      </c>
      <c r="F16" s="2" t="str">
        <f ca="1">IFERROR(__xludf.DUMMYFUNCTION("""COMPUTED_VALUE"""),"JOAO PESSOA")</f>
        <v>JOAO PESSOA</v>
      </c>
      <c r="G16" s="10" t="str">
        <f ca="1">IFERROR(__xludf.DUMMYFUNCTION("""COMPUTED_VALUE"""),"ESCOLA MUNICIPAL LUIZA LIMA LOBO")</f>
        <v>ESCOLA MUNICIPAL LUIZA LIMA LOBO</v>
      </c>
      <c r="H16" s="11"/>
      <c r="I16" s="11" t="str">
        <f ca="1">IFERROR(__xludf.DUMMYFUNCTION("""COMPUTED_VALUE"""),"NOITE")</f>
        <v>NOITE</v>
      </c>
      <c r="J16" s="11" t="str">
        <f ca="1">IFERROR(__xludf.DUMMYFUNCTION("""COMPUTED_VALUE"""),"DOCUMENTAÇÃO NÃO ENVIADA")</f>
        <v>DOCUMENTAÇÃO NÃO ENVIADA</v>
      </c>
      <c r="K16" s="11" t="str">
        <f ca="1">IFERROR(__xludf.DUMMYFUNCTION("""COMPUTED_VALUE"""),"andersonseb.ufpb@gmail.com")</f>
        <v>andersonseb.ufpb@gmail.com</v>
      </c>
      <c r="L16" s="11" t="str">
        <f ca="1">IFERROR(__xludf.DUMMYFUNCTION("""COMPUTED_VALUE"""),"andersonduarteufpb@gmail.com")</f>
        <v>andersonduarteufpb@gmail.com</v>
      </c>
      <c r="M16" s="11" t="str">
        <f ca="1">IFERROR(__xludf.DUMMYFUNCTION("""COMPUTED_VALUE"""),"(83)998188741")</f>
        <v>(83)998188741</v>
      </c>
      <c r="N16" s="11"/>
      <c r="O16" s="3"/>
    </row>
    <row r="17" spans="1:15" ht="37.5" customHeight="1" x14ac:dyDescent="0.25">
      <c r="A17" s="9" t="str">
        <f t="shared" ca="1" si="1"/>
        <v>JOAO PESSOA/INSTITUTO HUMANITAS- POLO UNICAPJP/TARDE</v>
      </c>
      <c r="B17" s="2" t="str">
        <f ca="1">IFERROR(__xludf.DUMMYFUNCTION("""COMPUTED_VALUE"""),"004/2025/893.666.464-68")</f>
        <v>004/2025/893.666.464-68</v>
      </c>
      <c r="C17" s="2" t="str">
        <f ca="1">IFERROR(__xludf.DUMMYFUNCTION("""COMPUTED_VALUE"""),"893.666.464-68")</f>
        <v>893.666.464-68</v>
      </c>
      <c r="D17" s="2" t="str">
        <f ca="1">IFERROR(__xludf.DUMMYFUNCTION("""COMPUTED_VALUE"""),"ALESSANDRA BASILIO DA SILVA")</f>
        <v>ALESSANDRA BASILIO DA SILVA</v>
      </c>
      <c r="E17" s="2" t="str">
        <f ca="1">IFERROR(__xludf.DUMMYFUNCTION("""COMPUTED_VALUE"""),"ORIENTADOR")</f>
        <v>ORIENTADOR</v>
      </c>
      <c r="F17" s="2" t="str">
        <f ca="1">IFERROR(__xludf.DUMMYFUNCTION("""COMPUTED_VALUE"""),"JOAO PESSOA")</f>
        <v>JOAO PESSOA</v>
      </c>
      <c r="G17" s="10" t="str">
        <f ca="1">IFERROR(__xludf.DUMMYFUNCTION("""COMPUTED_VALUE"""),"INSTITUTO HUMANITAS- POLO UNICAPJP")</f>
        <v>INSTITUTO HUMANITAS- POLO UNICAPJP</v>
      </c>
      <c r="H17" s="11"/>
      <c r="I17" s="11" t="str">
        <f ca="1">IFERROR(__xludf.DUMMYFUNCTION("""COMPUTED_VALUE"""),"TARDE")</f>
        <v>TARDE</v>
      </c>
      <c r="J17" s="11" t="str">
        <f ca="1">IFERROR(__xludf.DUMMYFUNCTION("""COMPUTED_VALUE"""),"POSSE VALIDADA")</f>
        <v>POSSE VALIDADA</v>
      </c>
      <c r="K17" s="11" t="str">
        <f ca="1">IFERROR(__xludf.DUMMYFUNCTION("""COMPUTED_VALUE"""),"basiliodasilva18@gmail.com")</f>
        <v>basiliodasilva18@gmail.com</v>
      </c>
      <c r="L17" s="11" t="str">
        <f ca="1">IFERROR(__xludf.DUMMYFUNCTION("""COMPUTED_VALUE"""),"ale07carioca@hotmail.com")</f>
        <v>ale07carioca@hotmail.com</v>
      </c>
      <c r="M17" s="11" t="str">
        <f ca="1">IFERROR(__xludf.DUMMYFUNCTION("""COMPUTED_VALUE"""),"(83)98127-7504")</f>
        <v>(83)98127-7504</v>
      </c>
      <c r="N17" s="11"/>
      <c r="O17" s="3"/>
    </row>
    <row r="18" spans="1:15" ht="37.5" customHeight="1" x14ac:dyDescent="0.25">
      <c r="A18" s="9" t="str">
        <f t="shared" ca="1" si="1"/>
        <v>JOAO PESSOA/ASSOCIACAO BENEFICENTE SAO JOSE/TARDE</v>
      </c>
      <c r="B18" s="2" t="str">
        <f ca="1">IFERROR(__xludf.DUMMYFUNCTION("""COMPUTED_VALUE"""),"004/2025/103.874.534-90")</f>
        <v>004/2025/103.874.534-90</v>
      </c>
      <c r="C18" s="2" t="str">
        <f ca="1">IFERROR(__xludf.DUMMYFUNCTION("""COMPUTED_VALUE"""),"103.874.534-90")</f>
        <v>103.874.534-90</v>
      </c>
      <c r="D18" s="2" t="str">
        <f ca="1">IFERROR(__xludf.DUMMYFUNCTION("""COMPUTED_VALUE"""),"JUCIARA NOARA SANTANA DE ARAUJO COSTA")</f>
        <v>JUCIARA NOARA SANTANA DE ARAUJO COSTA</v>
      </c>
      <c r="E18" s="2" t="str">
        <f ca="1">IFERROR(__xludf.DUMMYFUNCTION("""COMPUTED_VALUE"""),"ORIENTADOR")</f>
        <v>ORIENTADOR</v>
      </c>
      <c r="F18" s="2" t="str">
        <f ca="1">IFERROR(__xludf.DUMMYFUNCTION("""COMPUTED_VALUE"""),"JOAO PESSOA")</f>
        <v>JOAO PESSOA</v>
      </c>
      <c r="G18" s="10" t="str">
        <f ca="1">IFERROR(__xludf.DUMMYFUNCTION("""COMPUTED_VALUE"""),"ASSOCIACAO BENEFICENTE SAO JOSE")</f>
        <v>ASSOCIACAO BENEFICENTE SAO JOSE</v>
      </c>
      <c r="H18" s="11"/>
      <c r="I18" s="11" t="str">
        <f ca="1">IFERROR(__xludf.DUMMYFUNCTION("""COMPUTED_VALUE"""),"TARDE")</f>
        <v>TARDE</v>
      </c>
      <c r="J18" s="11" t="str">
        <f ca="1">IFERROR(__xludf.DUMMYFUNCTION("""COMPUTED_VALUE"""),"POSSE VALIDADA")</f>
        <v>POSSE VALIDADA</v>
      </c>
      <c r="K18" s="11" t="str">
        <f ca="1">IFERROR(__xludf.DUMMYFUNCTION("""COMPUTED_VALUE"""),"juciara.noara@gmail.com")</f>
        <v>juciara.noara@gmail.com</v>
      </c>
      <c r="L18" s="11" t="str">
        <f ca="1">IFERROR(__xludf.DUMMYFUNCTION("""COMPUTED_VALUE"""),"ciaraju@yahoo.com.br")</f>
        <v>ciaraju@yahoo.com.br</v>
      </c>
      <c r="M18" s="11" t="str">
        <f ca="1">IFERROR(__xludf.DUMMYFUNCTION("""COMPUTED_VALUE"""),"(83)98147-1482")</f>
        <v>(83)98147-1482</v>
      </c>
      <c r="N18" s="11"/>
      <c r="O18" s="3"/>
    </row>
    <row r="19" spans="1:15" ht="37.5" customHeight="1" x14ac:dyDescent="0.25">
      <c r="A19" s="9" t="str">
        <f t="shared" ca="1" si="1"/>
        <v>MARIZOPOLIS/ESCOLA MUNICIPAL VEREADOR JOAO GONCALVES DE SOUSA/NOITE</v>
      </c>
      <c r="B19" s="2" t="str">
        <f ca="1">IFERROR(__xludf.DUMMYFUNCTION("""COMPUTED_VALUE"""),"004/2025/657.706.842-91")</f>
        <v>004/2025/657.706.842-91</v>
      </c>
      <c r="C19" s="2" t="str">
        <f ca="1">IFERROR(__xludf.DUMMYFUNCTION("""COMPUTED_VALUE"""),"657.706.842-91")</f>
        <v>657.706.842-91</v>
      </c>
      <c r="D19" s="2" t="str">
        <f ca="1">IFERROR(__xludf.DUMMYFUNCTION("""COMPUTED_VALUE"""),"ALLAN PABLO DO NASCIMENTO LAMEIRA")</f>
        <v>ALLAN PABLO DO NASCIMENTO LAMEIRA</v>
      </c>
      <c r="E19" s="2" t="str">
        <f ca="1">IFERROR(__xludf.DUMMYFUNCTION("""COMPUTED_VALUE"""),"ORIENTADOR")</f>
        <v>ORIENTADOR</v>
      </c>
      <c r="F19" s="2" t="str">
        <f ca="1">IFERROR(__xludf.DUMMYFUNCTION("""COMPUTED_VALUE"""),"MARIZOPOLIS")</f>
        <v>MARIZOPOLIS</v>
      </c>
      <c r="G19" s="10" t="str">
        <f ca="1">IFERROR(__xludf.DUMMYFUNCTION("""COMPUTED_VALUE"""),"ESCOLA MUNICIPAL VEREADOR JOAO GONCALVES DE SOUSA")</f>
        <v>ESCOLA MUNICIPAL VEREADOR JOAO GONCALVES DE SOUSA</v>
      </c>
      <c r="H19" s="11"/>
      <c r="I19" s="11" t="str">
        <f ca="1">IFERROR(__xludf.DUMMYFUNCTION("""COMPUTED_VALUE"""),"NOITE")</f>
        <v>NOITE</v>
      </c>
      <c r="J19" s="11" t="str">
        <f ca="1">IFERROR(__xludf.DUMMYFUNCTION("""COMPUTED_VALUE"""),"POSSE VALIDADA")</f>
        <v>POSSE VALIDADA</v>
      </c>
      <c r="K19" s="11" t="str">
        <f ca="1">IFERROR(__xludf.DUMMYFUNCTION("""COMPUTED_VALUE"""),"allanpablolameira@gmail.com")</f>
        <v>allanpablolameira@gmail.com</v>
      </c>
      <c r="L19" s="11"/>
      <c r="M19" s="11" t="str">
        <f ca="1">IFERROR(__xludf.DUMMYFUNCTION("""COMPUTED_VALUE"""),"(83)98132-1099")</f>
        <v>(83)98132-1099</v>
      </c>
      <c r="N19" s="11" t="str">
        <f ca="1">IFERROR(__xludf.DUMMYFUNCTION("""COMPUTED_VALUE"""),"(83)98172-9357")</f>
        <v>(83)98172-9357</v>
      </c>
      <c r="O19" s="3"/>
    </row>
    <row r="20" spans="1:15" ht="37.5" customHeight="1" x14ac:dyDescent="0.25">
      <c r="A20" s="9" t="str">
        <f t="shared" ca="1" si="1"/>
        <v>PATOS/PRESIDIO REGIONAL FEMININO DE PATOS/TARDE</v>
      </c>
      <c r="B20" s="2" t="str">
        <f ca="1">IFERROR(__xludf.DUMMYFUNCTION("""COMPUTED_VALUE"""),"004/2025/058.669.844-23")</f>
        <v>004/2025/058.669.844-23</v>
      </c>
      <c r="C20" s="2" t="str">
        <f ca="1">IFERROR(__xludf.DUMMYFUNCTION("""COMPUTED_VALUE"""),"058.669.844-23")</f>
        <v>058.669.844-23</v>
      </c>
      <c r="D20" s="2" t="str">
        <f ca="1">IFERROR(__xludf.DUMMYFUNCTION("""COMPUTED_VALUE"""),"JORDANIA MARIA DE ARAUJO")</f>
        <v>JORDANIA MARIA DE ARAUJO</v>
      </c>
      <c r="E20" s="2" t="str">
        <f ca="1">IFERROR(__xludf.DUMMYFUNCTION("""COMPUTED_VALUE"""),"ORIENTADOR")</f>
        <v>ORIENTADOR</v>
      </c>
      <c r="F20" s="2" t="str">
        <f ca="1">IFERROR(__xludf.DUMMYFUNCTION("""COMPUTED_VALUE"""),"PATOS")</f>
        <v>PATOS</v>
      </c>
      <c r="G20" s="10" t="str">
        <f ca="1">IFERROR(__xludf.DUMMYFUNCTION("""COMPUTED_VALUE"""),"PRESIDIO REGIONAL FEMININO DE PATOS")</f>
        <v>PRESIDIO REGIONAL FEMININO DE PATOS</v>
      </c>
      <c r="H20" s="11"/>
      <c r="I20" s="11" t="str">
        <f ca="1">IFERROR(__xludf.DUMMYFUNCTION("""COMPUTED_VALUE"""),"TARDE")</f>
        <v>TARDE</v>
      </c>
      <c r="J20" s="11" t="str">
        <f ca="1">IFERROR(__xludf.DUMMYFUNCTION("""COMPUTED_VALUE"""),"DOCUMENTAÇÃO NÃO ENVIADA")</f>
        <v>DOCUMENTAÇÃO NÃO ENVIADA</v>
      </c>
      <c r="K20" s="11" t="str">
        <f ca="1">IFERROR(__xludf.DUMMYFUNCTION("""COMPUTED_VALUE"""),"jordaniasocial@gmail.com")</f>
        <v>jordaniasocial@gmail.com</v>
      </c>
      <c r="L20" s="11" t="str">
        <f ca="1">IFERROR(__xludf.DUMMYFUNCTION("""COMPUTED_VALUE"""),"jordaniamar@hotmail.com")</f>
        <v>jordaniamar@hotmail.com</v>
      </c>
      <c r="M20" s="11" t="str">
        <f ca="1">IFERROR(__xludf.DUMMYFUNCTION("""COMPUTED_VALUE"""),"(83)920013753")</f>
        <v>(83)920013753</v>
      </c>
      <c r="N20" s="11" t="str">
        <f ca="1">IFERROR(__xludf.DUMMYFUNCTION("""COMPUTED_VALUE"""),"(83)996748161")</f>
        <v>(83)996748161</v>
      </c>
      <c r="O20" s="3"/>
    </row>
    <row r="21" spans="1:15" ht="37.5" customHeight="1" x14ac:dyDescent="0.25">
      <c r="A21" s="9" t="str">
        <f t="shared" ca="1" si="1"/>
        <v>PILOES/EMEF BRAZ BARACUHY/NOITE</v>
      </c>
      <c r="B21" s="2" t="str">
        <f ca="1">IFERROR(__xludf.DUMMYFUNCTION("""COMPUTED_VALUE"""),"004/2025/024.084.476-90")</f>
        <v>004/2025/024.084.476-90</v>
      </c>
      <c r="C21" s="2" t="str">
        <f ca="1">IFERROR(__xludf.DUMMYFUNCTION("""COMPUTED_VALUE"""),"024.084.476-90")</f>
        <v>024.084.476-90</v>
      </c>
      <c r="D21" s="2" t="str">
        <f ca="1">IFERROR(__xludf.DUMMYFUNCTION("""COMPUTED_VALUE"""),"FRANCICLEIA DE FRANÇA RODRIGUES")</f>
        <v>FRANCICLEIA DE FRANÇA RODRIGUES</v>
      </c>
      <c r="E21" s="2" t="str">
        <f ca="1">IFERROR(__xludf.DUMMYFUNCTION("""COMPUTED_VALUE"""),"ORIENTADOR")</f>
        <v>ORIENTADOR</v>
      </c>
      <c r="F21" s="2" t="str">
        <f ca="1">IFERROR(__xludf.DUMMYFUNCTION("""COMPUTED_VALUE"""),"PILOES")</f>
        <v>PILOES</v>
      </c>
      <c r="G21" s="10" t="str">
        <f ca="1">IFERROR(__xludf.DUMMYFUNCTION("""COMPUTED_VALUE"""),"EMEF BRAZ BARACUHY")</f>
        <v>EMEF BRAZ BARACUHY</v>
      </c>
      <c r="H21" s="11"/>
      <c r="I21" s="11" t="str">
        <f ca="1">IFERROR(__xludf.DUMMYFUNCTION("""COMPUTED_VALUE"""),"NOITE")</f>
        <v>NOITE</v>
      </c>
      <c r="J21" s="11" t="str">
        <f ca="1">IFERROR(__xludf.DUMMYFUNCTION("""COMPUTED_VALUE"""),"DOCUMENTAÇÃO NÃO ENVIADA")</f>
        <v>DOCUMENTAÇÃO NÃO ENVIADA</v>
      </c>
      <c r="K21" s="11" t="str">
        <f ca="1">IFERROR(__xludf.DUMMYFUNCTION("""COMPUTED_VALUE"""),"francicleia.adv@gmail.com")</f>
        <v>francicleia.adv@gmail.com</v>
      </c>
      <c r="L21" s="11" t="str">
        <f ca="1">IFERROR(__xludf.DUMMYFUNCTION("""COMPUTED_VALUE"""),"franci.topificando@gmail.com")</f>
        <v>franci.topificando@gmail.com</v>
      </c>
      <c r="M21" s="11" t="str">
        <f ca="1">IFERROR(__xludf.DUMMYFUNCTION("""COMPUTED_VALUE"""),"(83)98889-8099")</f>
        <v>(83)98889-8099</v>
      </c>
      <c r="N21" s="11" t="str">
        <f ca="1">IFERROR(__xludf.DUMMYFUNCTION("""COMPUTED_VALUE"""),"(83)935002419")</f>
        <v>(83)935002419</v>
      </c>
      <c r="O21" s="3"/>
    </row>
    <row r="22" spans="1:15" ht="37.5" customHeight="1" x14ac:dyDescent="0.25">
      <c r="A22" s="9" t="str">
        <f t="shared" ca="1" si="1"/>
        <v>POMBAL/ESCOLA AMELIA MARIA DA LUZ/NOITE</v>
      </c>
      <c r="B22" s="2" t="str">
        <f ca="1">IFERROR(__xludf.DUMMYFUNCTION("""COMPUTED_VALUE"""),"004/2025/105.711.227-52")</f>
        <v>004/2025/105.711.227-52</v>
      </c>
      <c r="C22" s="2" t="str">
        <f ca="1">IFERROR(__xludf.DUMMYFUNCTION("""COMPUTED_VALUE"""),"105.711.227-52")</f>
        <v>105.711.227-52</v>
      </c>
      <c r="D22" s="2" t="str">
        <f ca="1">IFERROR(__xludf.DUMMYFUNCTION("""COMPUTED_VALUE"""),"SAINT CLAIR ALVES DE SOUSA")</f>
        <v>SAINT CLAIR ALVES DE SOUSA</v>
      </c>
      <c r="E22" s="2" t="str">
        <f ca="1">IFERROR(__xludf.DUMMYFUNCTION("""COMPUTED_VALUE"""),"ORIENTADOR")</f>
        <v>ORIENTADOR</v>
      </c>
      <c r="F22" s="2" t="str">
        <f ca="1">IFERROR(__xludf.DUMMYFUNCTION("""COMPUTED_VALUE"""),"POMBAL")</f>
        <v>POMBAL</v>
      </c>
      <c r="G22" s="10" t="str">
        <f ca="1">IFERROR(__xludf.DUMMYFUNCTION("""COMPUTED_VALUE"""),"ESCOLA AMELIA MARIA DA LUZ")</f>
        <v>ESCOLA AMELIA MARIA DA LUZ</v>
      </c>
      <c r="H22" s="11"/>
      <c r="I22" s="11" t="str">
        <f ca="1">IFERROR(__xludf.DUMMYFUNCTION("""COMPUTED_VALUE"""),"NOITE")</f>
        <v>NOITE</v>
      </c>
      <c r="J22" s="11" t="str">
        <f ca="1">IFERROR(__xludf.DUMMYFUNCTION("""COMPUTED_VALUE"""),"POSSE VALIDADA")</f>
        <v>POSSE VALIDADA</v>
      </c>
      <c r="K22" s="11" t="str">
        <f ca="1">IFERROR(__xludf.DUMMYFUNCTION("""COMPUTED_VALUE"""),"sclairbrito@gmail.com")</f>
        <v>sclairbrito@gmail.com</v>
      </c>
      <c r="L22" s="11"/>
      <c r="M22" s="11" t="str">
        <f ca="1">IFERROR(__xludf.DUMMYFUNCTION("""COMPUTED_VALUE"""),"(83)98101-9115")</f>
        <v>(83)98101-9115</v>
      </c>
      <c r="N22" s="11"/>
      <c r="O22" s="3"/>
    </row>
    <row r="23" spans="1:15" ht="37.5" customHeight="1" x14ac:dyDescent="0.25">
      <c r="A23" s="9" t="str">
        <f t="shared" ca="1" si="1"/>
        <v>POMBAL/ESCOLA AMELIA MARIA DA LUZ/NOITE</v>
      </c>
      <c r="B23" s="2" t="str">
        <f ca="1">IFERROR(__xludf.DUMMYFUNCTION("""COMPUTED_VALUE"""),"004/2025/094.202.504-07")</f>
        <v>004/2025/094.202.504-07</v>
      </c>
      <c r="C23" s="2" t="str">
        <f ca="1">IFERROR(__xludf.DUMMYFUNCTION("""COMPUTED_VALUE"""),"094.202.504-07")</f>
        <v>094.202.504-07</v>
      </c>
      <c r="D23" s="2" t="str">
        <f ca="1">IFERROR(__xludf.DUMMYFUNCTION("""COMPUTED_VALUE"""),"PABLO HENRIQUE ALMEIDA DA SILVA")</f>
        <v>PABLO HENRIQUE ALMEIDA DA SILVA</v>
      </c>
      <c r="E23" s="2" t="str">
        <f ca="1">IFERROR(__xludf.DUMMYFUNCTION("""COMPUTED_VALUE"""),"ORIENTADOR")</f>
        <v>ORIENTADOR</v>
      </c>
      <c r="F23" s="2" t="str">
        <f ca="1">IFERROR(__xludf.DUMMYFUNCTION("""COMPUTED_VALUE"""),"POMBAL")</f>
        <v>POMBAL</v>
      </c>
      <c r="G23" s="10" t="str">
        <f ca="1">IFERROR(__xludf.DUMMYFUNCTION("""COMPUTED_VALUE"""),"ESCOLA AMELIA MARIA DA LUZ")</f>
        <v>ESCOLA AMELIA MARIA DA LUZ</v>
      </c>
      <c r="H23" s="11"/>
      <c r="I23" s="11" t="str">
        <f ca="1">IFERROR(__xludf.DUMMYFUNCTION("""COMPUTED_VALUE"""),"NOITE")</f>
        <v>NOITE</v>
      </c>
      <c r="J23" s="11" t="str">
        <f ca="1">IFERROR(__xludf.DUMMYFUNCTION("""COMPUTED_VALUE"""),"POSSE VALIDADA")</f>
        <v>POSSE VALIDADA</v>
      </c>
      <c r="K23" s="11" t="str">
        <f ca="1">IFERROR(__xludf.DUMMYFUNCTION("""COMPUTED_VALUE"""),"psicologopablohenrique@gmail.com")</f>
        <v>psicologopablohenrique@gmail.com</v>
      </c>
      <c r="L23" s="11" t="str">
        <f ca="1">IFERROR(__xludf.DUMMYFUNCTION("""COMPUTED_VALUE"""),"ofcpablohenrique@gmail.com")</f>
        <v>ofcpablohenrique@gmail.com</v>
      </c>
      <c r="M23" s="11" t="str">
        <f ca="1">IFERROR(__xludf.DUMMYFUNCTION("""COMPUTED_VALUE"""),"(83)99654-2778")</f>
        <v>(83)99654-2778</v>
      </c>
      <c r="N23" s="11" t="str">
        <f ca="1">IFERROR(__xludf.DUMMYFUNCTION("""COMPUTED_VALUE"""),"(83)99945-9757")</f>
        <v>(83)99945-9757</v>
      </c>
      <c r="O23" s="3"/>
    </row>
    <row r="24" spans="1:15" ht="37.5" customHeight="1" x14ac:dyDescent="0.25">
      <c r="A24" s="9" t="str">
        <f t="shared" ca="1" si="1"/>
        <v>SAO FRANCISCO/EMEF. FRANCISCO SALES GADELHA DE OLIVEIRA/NOITE</v>
      </c>
      <c r="B24" s="2" t="str">
        <f ca="1">IFERROR(__xludf.DUMMYFUNCTION("""COMPUTED_VALUE"""),"004/2025/069.888.954-18")</f>
        <v>004/2025/069.888.954-18</v>
      </c>
      <c r="C24" s="2" t="str">
        <f ca="1">IFERROR(__xludf.DUMMYFUNCTION("""COMPUTED_VALUE"""),"069.888.954-18")</f>
        <v>069.888.954-18</v>
      </c>
      <c r="D24" s="2" t="str">
        <f ca="1">IFERROR(__xludf.DUMMYFUNCTION("""COMPUTED_VALUE"""),"THALES FABRICIO DA COSTA E SILVA")</f>
        <v>THALES FABRICIO DA COSTA E SILVA</v>
      </c>
      <c r="E24" s="2" t="str">
        <f ca="1">IFERROR(__xludf.DUMMYFUNCTION("""COMPUTED_VALUE"""),"ORIENTADOR")</f>
        <v>ORIENTADOR</v>
      </c>
      <c r="F24" s="2" t="str">
        <f ca="1">IFERROR(__xludf.DUMMYFUNCTION("""COMPUTED_VALUE"""),"SAO FRANCISCO")</f>
        <v>SAO FRANCISCO</v>
      </c>
      <c r="G24" s="10" t="str">
        <f ca="1">IFERROR(__xludf.DUMMYFUNCTION("""COMPUTED_VALUE"""),"EMEF. FRANCISCO SALES GADELHA DE OLIVEIRA")</f>
        <v>EMEF. FRANCISCO SALES GADELHA DE OLIVEIRA</v>
      </c>
      <c r="H24" s="11"/>
      <c r="I24" s="11" t="str">
        <f ca="1">IFERROR(__xludf.DUMMYFUNCTION("""COMPUTED_VALUE"""),"NOITE")</f>
        <v>NOITE</v>
      </c>
      <c r="J24" s="11" t="str">
        <f ca="1">IFERROR(__xludf.DUMMYFUNCTION("""COMPUTED_VALUE"""),"POSSE VALIDADA")</f>
        <v>POSSE VALIDADA</v>
      </c>
      <c r="K24" s="11" t="str">
        <f ca="1">IFERROR(__xludf.DUMMYFUNCTION("""COMPUTED_VALUE"""),"thalespsic@gmail.com")</f>
        <v>thalespsic@gmail.com</v>
      </c>
      <c r="L24" s="11" t="str">
        <f ca="1">IFERROR(__xludf.DUMMYFUNCTION("""COMPUTED_VALUE"""),"thalescostaprof@gmail.com")</f>
        <v>thalescostaprof@gmail.com</v>
      </c>
      <c r="M24" s="11" t="str">
        <f ca="1">IFERROR(__xludf.DUMMYFUNCTION("""COMPUTED_VALUE"""),"(84)98121-7035")</f>
        <v>(84)98121-7035</v>
      </c>
      <c r="N24" s="11"/>
      <c r="O24" s="3"/>
    </row>
    <row r="25" spans="1:15" ht="37.5" customHeight="1" x14ac:dyDescent="0.25">
      <c r="A25" s="9" t="str">
        <f t="shared" ca="1" si="1"/>
        <v>UIRAUNA/ECIT DR. JOSE DUARTE FILHO/NOITE</v>
      </c>
      <c r="B25" s="2" t="str">
        <f ca="1">IFERROR(__xludf.DUMMYFUNCTION("""COMPUTED_VALUE"""),"004/2025/073.240.544-04")</f>
        <v>004/2025/073.240.544-04</v>
      </c>
      <c r="C25" s="2" t="str">
        <f ca="1">IFERROR(__xludf.DUMMYFUNCTION("""COMPUTED_VALUE"""),"073.240.544-04")</f>
        <v>073.240.544-04</v>
      </c>
      <c r="D25" s="2" t="str">
        <f ca="1">IFERROR(__xludf.DUMMYFUNCTION("""COMPUTED_VALUE"""),"MICAELLA FORMIGA DANTAS SOBREIRA")</f>
        <v>MICAELLA FORMIGA DANTAS SOBREIRA</v>
      </c>
      <c r="E25" s="2" t="str">
        <f ca="1">IFERROR(__xludf.DUMMYFUNCTION("""COMPUTED_VALUE"""),"ORIENTADOR")</f>
        <v>ORIENTADOR</v>
      </c>
      <c r="F25" s="2" t="str">
        <f ca="1">IFERROR(__xludf.DUMMYFUNCTION("""COMPUTED_VALUE"""),"UIRAUNA")</f>
        <v>UIRAUNA</v>
      </c>
      <c r="G25" s="10" t="str">
        <f ca="1">IFERROR(__xludf.DUMMYFUNCTION("""COMPUTED_VALUE"""),"ECIT DR. JOSE DUARTE FILHO")</f>
        <v>ECIT DR. JOSE DUARTE FILHO</v>
      </c>
      <c r="H25" s="11"/>
      <c r="I25" s="11" t="str">
        <f ca="1">IFERROR(__xludf.DUMMYFUNCTION("""COMPUTED_VALUE"""),"NOITE")</f>
        <v>NOITE</v>
      </c>
      <c r="J25" s="11" t="str">
        <f ca="1">IFERROR(__xludf.DUMMYFUNCTION("""COMPUTED_VALUE"""),"POSSE VALIDADA")</f>
        <v>POSSE VALIDADA</v>
      </c>
      <c r="K25" s="11" t="str">
        <f ca="1">IFERROR(__xludf.DUMMYFUNCTION("""COMPUTED_VALUE"""),"caellaformiga@gmail.com")</f>
        <v>caellaformiga@gmail.com</v>
      </c>
      <c r="L25" s="11" t="str">
        <f ca="1">IFERROR(__xludf.DUMMYFUNCTION("""COMPUTED_VALUE"""),"micaelladantas@gmail.com")</f>
        <v>micaelladantas@gmail.com</v>
      </c>
      <c r="M25" s="11" t="str">
        <f ca="1">IFERROR(__xludf.DUMMYFUNCTION("""COMPUTED_VALUE"""),"(83)99626-4765")</f>
        <v>(83)99626-4765</v>
      </c>
      <c r="N25" s="11" t="str">
        <f ca="1">IFERROR(__xludf.DUMMYFUNCTION("""COMPUTED_VALUE"""),"(83)99838-8159")</f>
        <v>(83)99838-8159</v>
      </c>
      <c r="O25" s="3"/>
    </row>
    <row r="26" spans="1:15" ht="37.5" customHeight="1" x14ac:dyDescent="0.25">
      <c r="A26" s="9" t="str">
        <f t="shared" si="1"/>
        <v/>
      </c>
      <c r="B26" s="2"/>
      <c r="C26" s="2"/>
      <c r="D26" s="2"/>
      <c r="E26" s="2"/>
      <c r="F26" s="2"/>
      <c r="G26" s="10"/>
      <c r="H26" s="11"/>
      <c r="I26" s="11"/>
      <c r="J26" s="11"/>
      <c r="K26" s="11"/>
      <c r="L26" s="11"/>
      <c r="M26" s="11"/>
      <c r="N26" s="11"/>
      <c r="O26" s="3"/>
    </row>
    <row r="27" spans="1:15" ht="37.5" customHeight="1" x14ac:dyDescent="0.25">
      <c r="A27" s="9" t="str">
        <f t="shared" si="1"/>
        <v/>
      </c>
      <c r="B27" s="2"/>
      <c r="C27" s="2"/>
      <c r="D27" s="2"/>
      <c r="E27" s="2"/>
      <c r="F27" s="2"/>
      <c r="G27" s="10"/>
      <c r="H27" s="11"/>
      <c r="I27" s="11"/>
      <c r="J27" s="11"/>
      <c r="K27" s="11"/>
      <c r="L27" s="11"/>
      <c r="M27" s="11"/>
      <c r="N27" s="11"/>
      <c r="O27" s="3"/>
    </row>
    <row r="28" spans="1:15" ht="37.5" customHeight="1" x14ac:dyDescent="0.25">
      <c r="A28" s="9" t="str">
        <f t="shared" si="1"/>
        <v/>
      </c>
      <c r="B28" s="2"/>
      <c r="C28" s="2"/>
      <c r="D28" s="2"/>
      <c r="E28" s="2"/>
      <c r="F28" s="2"/>
      <c r="G28" s="10"/>
      <c r="H28" s="11"/>
      <c r="I28" s="11"/>
      <c r="J28" s="11"/>
      <c r="K28" s="11"/>
      <c r="L28" s="11"/>
      <c r="M28" s="11"/>
      <c r="N28" s="11"/>
      <c r="O28" s="3"/>
    </row>
    <row r="29" spans="1:15" ht="37.5" customHeight="1" x14ac:dyDescent="0.25">
      <c r="A29" s="9" t="str">
        <f t="shared" si="1"/>
        <v/>
      </c>
      <c r="B29" s="2"/>
      <c r="C29" s="2"/>
      <c r="D29" s="2"/>
      <c r="E29" s="2"/>
      <c r="F29" s="2"/>
      <c r="G29" s="10"/>
      <c r="H29" s="11"/>
      <c r="I29" s="11"/>
      <c r="J29" s="11"/>
      <c r="K29" s="11"/>
      <c r="L29" s="11"/>
      <c r="M29" s="11"/>
      <c r="N29" s="11"/>
      <c r="O29" s="3"/>
    </row>
    <row r="30" spans="1:15" ht="37.5" customHeight="1" x14ac:dyDescent="0.25">
      <c r="A30" s="9" t="str">
        <f t="shared" si="1"/>
        <v/>
      </c>
      <c r="B30" s="2"/>
      <c r="C30" s="2"/>
      <c r="D30" s="2"/>
      <c r="E30" s="2"/>
      <c r="F30" s="2"/>
      <c r="G30" s="10"/>
      <c r="H30" s="11"/>
      <c r="I30" s="11"/>
      <c r="J30" s="11"/>
      <c r="K30" s="11"/>
      <c r="L30" s="11"/>
      <c r="M30" s="11"/>
      <c r="N30" s="11"/>
      <c r="O30" s="3"/>
    </row>
    <row r="31" spans="1:15" ht="37.5" customHeight="1" x14ac:dyDescent="0.25">
      <c r="A31" s="9" t="str">
        <f t="shared" si="1"/>
        <v/>
      </c>
      <c r="B31" s="2"/>
      <c r="C31" s="2"/>
      <c r="D31" s="2"/>
      <c r="E31" s="2"/>
      <c r="F31" s="2"/>
      <c r="G31" s="10"/>
      <c r="H31" s="11"/>
      <c r="I31" s="11"/>
      <c r="J31" s="11"/>
      <c r="K31" s="11"/>
      <c r="L31" s="11"/>
      <c r="M31" s="11"/>
      <c r="N31" s="11"/>
      <c r="O31" s="3"/>
    </row>
    <row r="32" spans="1:15" ht="37.5" customHeight="1" x14ac:dyDescent="0.25">
      <c r="A32" s="9" t="str">
        <f t="shared" si="1"/>
        <v/>
      </c>
      <c r="B32" s="2"/>
      <c r="C32" s="2"/>
      <c r="D32" s="2"/>
      <c r="E32" s="2"/>
      <c r="F32" s="2"/>
      <c r="G32" s="10"/>
      <c r="H32" s="11"/>
      <c r="I32" s="11"/>
      <c r="J32" s="11"/>
      <c r="K32" s="11"/>
      <c r="L32" s="11"/>
      <c r="M32" s="11"/>
      <c r="N32" s="11"/>
      <c r="O32" s="3"/>
    </row>
    <row r="33" spans="1:15" ht="37.5" customHeight="1" x14ac:dyDescent="0.25">
      <c r="A33" s="9" t="str">
        <f t="shared" si="1"/>
        <v/>
      </c>
      <c r="B33" s="2"/>
      <c r="C33" s="2"/>
      <c r="D33" s="2"/>
      <c r="E33" s="2"/>
      <c r="F33" s="2"/>
      <c r="G33" s="10"/>
      <c r="H33" s="11"/>
      <c r="I33" s="11"/>
      <c r="J33" s="11"/>
      <c r="K33" s="11"/>
      <c r="L33" s="11"/>
      <c r="M33" s="11"/>
      <c r="N33" s="11"/>
      <c r="O33" s="3"/>
    </row>
    <row r="34" spans="1:15" ht="37.5" customHeight="1" x14ac:dyDescent="0.25">
      <c r="A34" s="9" t="str">
        <f t="shared" si="1"/>
        <v/>
      </c>
      <c r="B34" s="2"/>
      <c r="C34" s="2"/>
      <c r="D34" s="2"/>
      <c r="E34" s="2"/>
      <c r="F34" s="2"/>
      <c r="G34" s="10"/>
      <c r="H34" s="11"/>
      <c r="I34" s="11"/>
      <c r="J34" s="11"/>
      <c r="K34" s="11"/>
      <c r="L34" s="11"/>
      <c r="M34" s="11"/>
      <c r="N34" s="11"/>
      <c r="O34" s="3"/>
    </row>
    <row r="35" spans="1:15" ht="37.5" customHeight="1" x14ac:dyDescent="0.25">
      <c r="A35" s="9" t="str">
        <f t="shared" si="1"/>
        <v/>
      </c>
      <c r="B35" s="2"/>
      <c r="C35" s="2"/>
      <c r="D35" s="2"/>
      <c r="E35" s="2"/>
      <c r="F35" s="2"/>
      <c r="G35" s="10"/>
      <c r="H35" s="11"/>
      <c r="I35" s="11"/>
      <c r="J35" s="11"/>
      <c r="K35" s="11"/>
      <c r="L35" s="11"/>
      <c r="M35" s="11"/>
      <c r="N35" s="11"/>
      <c r="O35" s="3"/>
    </row>
    <row r="36" spans="1:15" ht="37.5" customHeight="1" x14ac:dyDescent="0.25">
      <c r="A36" s="9" t="str">
        <f t="shared" si="1"/>
        <v/>
      </c>
      <c r="B36" s="2"/>
      <c r="C36" s="2"/>
      <c r="D36" s="2"/>
      <c r="E36" s="2"/>
      <c r="F36" s="2"/>
      <c r="G36" s="10"/>
      <c r="H36" s="11"/>
      <c r="I36" s="11"/>
      <c r="J36" s="11"/>
      <c r="K36" s="11"/>
      <c r="L36" s="11"/>
      <c r="M36" s="11"/>
      <c r="N36" s="11"/>
      <c r="O36" s="3"/>
    </row>
    <row r="37" spans="1:15" ht="37.5" customHeight="1" x14ac:dyDescent="0.25">
      <c r="A37" s="9" t="str">
        <f t="shared" si="1"/>
        <v/>
      </c>
      <c r="B37" s="2"/>
      <c r="C37" s="2"/>
      <c r="D37" s="2"/>
      <c r="E37" s="2"/>
      <c r="F37" s="2"/>
      <c r="G37" s="10"/>
      <c r="H37" s="11"/>
      <c r="I37" s="11"/>
      <c r="J37" s="11"/>
      <c r="K37" s="11"/>
      <c r="L37" s="11"/>
      <c r="M37" s="11"/>
      <c r="N37" s="11"/>
      <c r="O37" s="3"/>
    </row>
    <row r="38" spans="1:15" ht="37.5" customHeight="1" x14ac:dyDescent="0.25">
      <c r="A38" s="9" t="str">
        <f t="shared" si="1"/>
        <v/>
      </c>
      <c r="B38" s="2"/>
      <c r="C38" s="2"/>
      <c r="D38" s="2"/>
      <c r="E38" s="2"/>
      <c r="F38" s="2"/>
      <c r="G38" s="10"/>
      <c r="H38" s="11"/>
      <c r="I38" s="11"/>
      <c r="J38" s="11"/>
      <c r="K38" s="11"/>
      <c r="L38" s="11"/>
      <c r="M38" s="11"/>
      <c r="N38" s="11"/>
      <c r="O38" s="3"/>
    </row>
    <row r="39" spans="1:15" ht="37.5" customHeight="1" x14ac:dyDescent="0.25">
      <c r="A39" s="9" t="str">
        <f t="shared" si="1"/>
        <v/>
      </c>
      <c r="B39" s="2"/>
      <c r="C39" s="2"/>
      <c r="D39" s="2"/>
      <c r="E39" s="2"/>
      <c r="F39" s="2"/>
      <c r="G39" s="10"/>
      <c r="H39" s="11"/>
      <c r="I39" s="11"/>
      <c r="J39" s="11"/>
      <c r="K39" s="11"/>
      <c r="L39" s="11"/>
      <c r="M39" s="11"/>
      <c r="N39" s="11"/>
      <c r="O39" s="3"/>
    </row>
    <row r="40" spans="1:15" ht="37.5" customHeight="1" x14ac:dyDescent="0.25">
      <c r="A40" s="9" t="str">
        <f t="shared" si="1"/>
        <v/>
      </c>
      <c r="B40" s="2"/>
      <c r="C40" s="2"/>
      <c r="D40" s="2"/>
      <c r="E40" s="2"/>
      <c r="F40" s="2"/>
      <c r="G40" s="10"/>
      <c r="H40" s="11"/>
      <c r="I40" s="11"/>
      <c r="J40" s="11"/>
      <c r="K40" s="11"/>
      <c r="L40" s="11"/>
      <c r="M40" s="11"/>
      <c r="N40" s="11"/>
      <c r="O40" s="3"/>
    </row>
    <row r="41" spans="1:15" ht="37.5" customHeight="1" x14ac:dyDescent="0.25">
      <c r="A41" s="9" t="str">
        <f t="shared" si="1"/>
        <v/>
      </c>
      <c r="B41" s="2"/>
      <c r="C41" s="2"/>
      <c r="D41" s="2"/>
      <c r="E41" s="2"/>
      <c r="F41" s="2"/>
      <c r="G41" s="10"/>
      <c r="H41" s="11"/>
      <c r="I41" s="11"/>
      <c r="J41" s="11"/>
      <c r="K41" s="11"/>
      <c r="L41" s="11"/>
      <c r="M41" s="11"/>
      <c r="N41" s="11"/>
      <c r="O41" s="3"/>
    </row>
    <row r="42" spans="1:15" ht="37.5" customHeight="1" x14ac:dyDescent="0.25">
      <c r="A42" s="9" t="str">
        <f t="shared" si="1"/>
        <v/>
      </c>
      <c r="B42" s="2"/>
      <c r="C42" s="2"/>
      <c r="D42" s="2"/>
      <c r="E42" s="2"/>
      <c r="F42" s="2"/>
      <c r="G42" s="10"/>
      <c r="H42" s="11"/>
      <c r="I42" s="11"/>
      <c r="J42" s="11"/>
      <c r="K42" s="11"/>
      <c r="L42" s="11"/>
      <c r="M42" s="11"/>
      <c r="N42" s="11"/>
      <c r="O42" s="3"/>
    </row>
    <row r="43" spans="1:15" ht="37.5" customHeight="1" x14ac:dyDescent="0.25">
      <c r="A43" s="9" t="str">
        <f t="shared" si="1"/>
        <v/>
      </c>
      <c r="B43" s="2"/>
      <c r="C43" s="2"/>
      <c r="D43" s="2"/>
      <c r="E43" s="2"/>
      <c r="F43" s="2"/>
      <c r="G43" s="10"/>
      <c r="H43" s="11"/>
      <c r="I43" s="11"/>
      <c r="J43" s="11"/>
      <c r="K43" s="11"/>
      <c r="L43" s="11"/>
      <c r="M43" s="11"/>
      <c r="N43" s="11"/>
      <c r="O43" s="3"/>
    </row>
    <row r="44" spans="1:15" ht="37.5" customHeight="1" x14ac:dyDescent="0.25">
      <c r="A44" s="9" t="str">
        <f t="shared" si="1"/>
        <v/>
      </c>
      <c r="B44" s="2"/>
      <c r="C44" s="2"/>
      <c r="D44" s="2"/>
      <c r="E44" s="2"/>
      <c r="F44" s="2"/>
      <c r="G44" s="10"/>
      <c r="H44" s="11"/>
      <c r="I44" s="11"/>
      <c r="J44" s="11"/>
      <c r="K44" s="11"/>
      <c r="L44" s="11"/>
      <c r="M44" s="11"/>
      <c r="N44" s="11"/>
      <c r="O44" s="3"/>
    </row>
    <row r="45" spans="1:15" ht="37.5" customHeight="1" x14ac:dyDescent="0.25">
      <c r="A45" s="9" t="str">
        <f t="shared" si="1"/>
        <v/>
      </c>
      <c r="B45" s="2"/>
      <c r="C45" s="2"/>
      <c r="D45" s="2"/>
      <c r="E45" s="2"/>
      <c r="F45" s="2"/>
      <c r="G45" s="10"/>
      <c r="H45" s="11"/>
      <c r="I45" s="11"/>
      <c r="J45" s="11"/>
      <c r="K45" s="11"/>
      <c r="L45" s="11"/>
      <c r="M45" s="11"/>
      <c r="N45" s="11"/>
      <c r="O45" s="3"/>
    </row>
    <row r="46" spans="1:15" ht="37.5" customHeight="1" x14ac:dyDescent="0.25">
      <c r="A46" s="9" t="str">
        <f t="shared" si="1"/>
        <v/>
      </c>
      <c r="B46" s="2"/>
      <c r="C46" s="2"/>
      <c r="D46" s="2"/>
      <c r="E46" s="2"/>
      <c r="F46" s="2"/>
      <c r="G46" s="10"/>
      <c r="H46" s="11"/>
      <c r="I46" s="11"/>
      <c r="J46" s="11"/>
      <c r="K46" s="11"/>
      <c r="L46" s="11"/>
      <c r="M46" s="11"/>
      <c r="N46" s="11"/>
      <c r="O46" s="3"/>
    </row>
    <row r="47" spans="1:15" ht="37.5" customHeight="1" x14ac:dyDescent="0.25">
      <c r="A47" s="9" t="str">
        <f t="shared" si="1"/>
        <v/>
      </c>
      <c r="B47" s="2"/>
      <c r="C47" s="2"/>
      <c r="D47" s="2"/>
      <c r="E47" s="2"/>
      <c r="F47" s="2"/>
      <c r="G47" s="10"/>
      <c r="H47" s="11"/>
      <c r="I47" s="11"/>
      <c r="J47" s="11"/>
      <c r="K47" s="11"/>
      <c r="L47" s="11"/>
      <c r="M47" s="11"/>
      <c r="N47" s="11"/>
      <c r="O47" s="3"/>
    </row>
    <row r="48" spans="1:15" ht="37.5" customHeight="1" x14ac:dyDescent="0.25">
      <c r="A48" s="9" t="str">
        <f t="shared" si="1"/>
        <v/>
      </c>
      <c r="B48" s="2"/>
      <c r="C48" s="2"/>
      <c r="D48" s="2"/>
      <c r="E48" s="2"/>
      <c r="F48" s="2"/>
      <c r="G48" s="10"/>
      <c r="H48" s="11"/>
      <c r="I48" s="11"/>
      <c r="J48" s="11"/>
      <c r="K48" s="11"/>
      <c r="L48" s="11"/>
      <c r="M48" s="11"/>
      <c r="N48" s="11"/>
      <c r="O48" s="3"/>
    </row>
    <row r="49" spans="1:15" ht="37.5" customHeight="1" x14ac:dyDescent="0.25">
      <c r="A49" s="9" t="str">
        <f t="shared" si="1"/>
        <v/>
      </c>
      <c r="B49" s="2"/>
      <c r="C49" s="2"/>
      <c r="D49" s="2"/>
      <c r="E49" s="2"/>
      <c r="F49" s="2"/>
      <c r="G49" s="10"/>
      <c r="H49" s="11"/>
      <c r="I49" s="11"/>
      <c r="J49" s="11"/>
      <c r="K49" s="11"/>
      <c r="L49" s="11"/>
      <c r="M49" s="11"/>
      <c r="N49" s="11"/>
      <c r="O49" s="3"/>
    </row>
    <row r="50" spans="1:15" ht="37.5" customHeight="1" x14ac:dyDescent="0.25">
      <c r="A50" s="9" t="str">
        <f t="shared" si="1"/>
        <v/>
      </c>
      <c r="B50" s="2"/>
      <c r="C50" s="2"/>
      <c r="D50" s="2"/>
      <c r="E50" s="2"/>
      <c r="F50" s="2"/>
      <c r="G50" s="10"/>
      <c r="H50" s="11"/>
      <c r="I50" s="11"/>
      <c r="J50" s="11"/>
      <c r="K50" s="11"/>
      <c r="L50" s="11"/>
      <c r="M50" s="11"/>
      <c r="N50" s="11"/>
      <c r="O50" s="3"/>
    </row>
    <row r="51" spans="1:15" ht="37.5" customHeight="1" x14ac:dyDescent="0.25">
      <c r="A51" s="9" t="str">
        <f t="shared" si="1"/>
        <v/>
      </c>
      <c r="B51" s="2"/>
      <c r="C51" s="2"/>
      <c r="D51" s="2"/>
      <c r="E51" s="2"/>
      <c r="F51" s="2"/>
      <c r="G51" s="10"/>
      <c r="H51" s="11"/>
      <c r="I51" s="11"/>
      <c r="J51" s="11"/>
      <c r="K51" s="11"/>
      <c r="L51" s="11"/>
      <c r="M51" s="11"/>
      <c r="N51" s="11"/>
      <c r="O51" s="3"/>
    </row>
    <row r="52" spans="1:15" ht="37.5" customHeight="1" x14ac:dyDescent="0.25">
      <c r="A52" s="9" t="str">
        <f t="shared" si="1"/>
        <v/>
      </c>
      <c r="B52" s="2"/>
      <c r="C52" s="2"/>
      <c r="D52" s="2"/>
      <c r="E52" s="2"/>
      <c r="F52" s="2"/>
      <c r="G52" s="10"/>
      <c r="H52" s="11"/>
      <c r="I52" s="11"/>
      <c r="J52" s="11"/>
      <c r="K52" s="11"/>
      <c r="L52" s="11"/>
      <c r="M52" s="11"/>
      <c r="N52" s="11"/>
      <c r="O52" s="3"/>
    </row>
    <row r="53" spans="1:15" ht="37.5" customHeight="1" x14ac:dyDescent="0.25">
      <c r="A53" s="9" t="str">
        <f t="shared" si="1"/>
        <v/>
      </c>
      <c r="B53" s="2"/>
      <c r="C53" s="2"/>
      <c r="D53" s="2"/>
      <c r="E53" s="2"/>
      <c r="F53" s="2"/>
      <c r="G53" s="10"/>
      <c r="H53" s="11"/>
      <c r="I53" s="11"/>
      <c r="J53" s="11"/>
      <c r="K53" s="11"/>
      <c r="L53" s="11"/>
      <c r="M53" s="11"/>
      <c r="N53" s="11"/>
      <c r="O53" s="3"/>
    </row>
    <row r="54" spans="1:15" ht="37.5" customHeight="1" x14ac:dyDescent="0.25">
      <c r="A54" s="9" t="str">
        <f t="shared" si="1"/>
        <v/>
      </c>
      <c r="B54" s="2"/>
      <c r="C54" s="2"/>
      <c r="D54" s="2"/>
      <c r="E54" s="2"/>
      <c r="F54" s="2"/>
      <c r="G54" s="10"/>
      <c r="H54" s="11"/>
      <c r="I54" s="11"/>
      <c r="J54" s="11"/>
      <c r="K54" s="11"/>
      <c r="L54" s="11"/>
      <c r="M54" s="11"/>
      <c r="N54" s="11"/>
      <c r="O54" s="3"/>
    </row>
    <row r="55" spans="1:15" ht="37.5" customHeight="1" x14ac:dyDescent="0.25">
      <c r="A55" s="9" t="str">
        <f t="shared" si="1"/>
        <v/>
      </c>
      <c r="B55" s="2"/>
      <c r="C55" s="2"/>
      <c r="D55" s="2"/>
      <c r="E55" s="2"/>
      <c r="F55" s="2"/>
      <c r="G55" s="10"/>
      <c r="H55" s="11"/>
      <c r="I55" s="11"/>
      <c r="J55" s="11"/>
      <c r="K55" s="11"/>
      <c r="L55" s="11"/>
      <c r="M55" s="11"/>
      <c r="N55" s="11"/>
      <c r="O55" s="3"/>
    </row>
    <row r="56" spans="1:15" ht="37.5" customHeight="1" x14ac:dyDescent="0.25">
      <c r="A56" s="9" t="str">
        <f t="shared" si="1"/>
        <v/>
      </c>
      <c r="B56" s="2"/>
      <c r="C56" s="2"/>
      <c r="D56" s="2"/>
      <c r="E56" s="2"/>
      <c r="F56" s="2"/>
      <c r="G56" s="10"/>
      <c r="H56" s="11"/>
      <c r="I56" s="11"/>
      <c r="J56" s="11"/>
      <c r="K56" s="11"/>
      <c r="L56" s="11"/>
      <c r="M56" s="11"/>
      <c r="N56" s="11"/>
      <c r="O56" s="3"/>
    </row>
    <row r="57" spans="1:15" ht="37.5" customHeight="1" x14ac:dyDescent="0.25">
      <c r="A57" s="9" t="str">
        <f t="shared" si="1"/>
        <v/>
      </c>
      <c r="B57" s="2"/>
      <c r="C57" s="2"/>
      <c r="D57" s="2"/>
      <c r="E57" s="2"/>
      <c r="F57" s="2"/>
      <c r="G57" s="10"/>
      <c r="H57" s="11"/>
      <c r="I57" s="11"/>
      <c r="J57" s="11"/>
      <c r="K57" s="11"/>
      <c r="L57" s="11"/>
      <c r="M57" s="11"/>
      <c r="N57" s="11"/>
      <c r="O57" s="3"/>
    </row>
    <row r="58" spans="1:15" ht="37.5" customHeight="1" x14ac:dyDescent="0.25">
      <c r="A58" s="9" t="str">
        <f t="shared" si="1"/>
        <v/>
      </c>
      <c r="B58" s="2"/>
      <c r="C58" s="2"/>
      <c r="D58" s="2"/>
      <c r="E58" s="2"/>
      <c r="F58" s="2"/>
      <c r="G58" s="10"/>
      <c r="H58" s="11"/>
      <c r="I58" s="11"/>
      <c r="J58" s="11"/>
      <c r="K58" s="11"/>
      <c r="L58" s="11"/>
      <c r="M58" s="11"/>
      <c r="N58" s="11"/>
      <c r="O58" s="3"/>
    </row>
    <row r="59" spans="1:15" ht="37.5" customHeight="1" x14ac:dyDescent="0.25">
      <c r="A59" s="9" t="str">
        <f t="shared" si="1"/>
        <v/>
      </c>
      <c r="B59" s="2"/>
      <c r="C59" s="2"/>
      <c r="D59" s="2"/>
      <c r="E59" s="2"/>
      <c r="F59" s="2"/>
      <c r="G59" s="10"/>
      <c r="H59" s="11"/>
      <c r="I59" s="11"/>
      <c r="J59" s="11"/>
      <c r="K59" s="11"/>
      <c r="L59" s="11"/>
      <c r="M59" s="11"/>
      <c r="N59" s="11"/>
      <c r="O59" s="3"/>
    </row>
    <row r="60" spans="1:15" ht="37.5" customHeight="1" x14ac:dyDescent="0.25">
      <c r="A60" s="9" t="str">
        <f t="shared" si="1"/>
        <v/>
      </c>
      <c r="B60" s="2"/>
      <c r="C60" s="2"/>
      <c r="D60" s="2"/>
      <c r="E60" s="2"/>
      <c r="F60" s="2"/>
      <c r="G60" s="10"/>
      <c r="H60" s="11"/>
      <c r="I60" s="11"/>
      <c r="J60" s="11"/>
      <c r="K60" s="11"/>
      <c r="L60" s="11"/>
      <c r="M60" s="11"/>
      <c r="N60" s="11"/>
      <c r="O60" s="3"/>
    </row>
    <row r="61" spans="1:15" ht="37.5" customHeight="1" x14ac:dyDescent="0.25">
      <c r="A61" s="9" t="str">
        <f t="shared" si="1"/>
        <v/>
      </c>
      <c r="B61" s="2"/>
      <c r="C61" s="2"/>
      <c r="D61" s="2"/>
      <c r="E61" s="2"/>
      <c r="F61" s="2"/>
      <c r="G61" s="10"/>
      <c r="H61" s="11"/>
      <c r="I61" s="11"/>
      <c r="J61" s="11"/>
      <c r="K61" s="11"/>
      <c r="L61" s="11"/>
      <c r="M61" s="11"/>
      <c r="N61" s="11"/>
      <c r="O61" s="3"/>
    </row>
    <row r="62" spans="1:15" ht="37.5" customHeight="1" x14ac:dyDescent="0.25">
      <c r="A62" s="9" t="str">
        <f t="shared" si="1"/>
        <v/>
      </c>
      <c r="B62" s="2"/>
      <c r="C62" s="2"/>
      <c r="D62" s="2"/>
      <c r="E62" s="2"/>
      <c r="F62" s="2"/>
      <c r="G62" s="10"/>
      <c r="H62" s="11"/>
      <c r="I62" s="11"/>
      <c r="J62" s="11"/>
      <c r="K62" s="11"/>
      <c r="L62" s="11"/>
      <c r="M62" s="11"/>
      <c r="N62" s="11"/>
      <c r="O62" s="3"/>
    </row>
    <row r="63" spans="1:15" ht="37.5" customHeight="1" x14ac:dyDescent="0.25">
      <c r="A63" s="9" t="str">
        <f t="shared" si="1"/>
        <v/>
      </c>
      <c r="B63" s="2"/>
      <c r="C63" s="2"/>
      <c r="D63" s="2"/>
      <c r="E63" s="2"/>
      <c r="F63" s="2"/>
      <c r="G63" s="10"/>
      <c r="H63" s="11"/>
      <c r="I63" s="11"/>
      <c r="J63" s="11"/>
      <c r="K63" s="11"/>
      <c r="L63" s="11"/>
      <c r="M63" s="11"/>
      <c r="N63" s="11"/>
      <c r="O63" s="3"/>
    </row>
    <row r="64" spans="1:15" ht="37.5" customHeight="1" x14ac:dyDescent="0.25">
      <c r="A64" s="9" t="str">
        <f t="shared" si="1"/>
        <v/>
      </c>
      <c r="B64" s="2"/>
      <c r="C64" s="2"/>
      <c r="D64" s="2"/>
      <c r="E64" s="2"/>
      <c r="F64" s="2"/>
      <c r="G64" s="10"/>
      <c r="H64" s="11"/>
      <c r="I64" s="11"/>
      <c r="J64" s="11"/>
      <c r="K64" s="11"/>
      <c r="L64" s="11"/>
      <c r="M64" s="11"/>
      <c r="N64" s="11"/>
      <c r="O64" s="3"/>
    </row>
    <row r="65" spans="1:15" ht="37.5" customHeight="1" x14ac:dyDescent="0.25">
      <c r="A65" s="9" t="str">
        <f t="shared" si="1"/>
        <v/>
      </c>
      <c r="B65" s="2"/>
      <c r="C65" s="2"/>
      <c r="D65" s="2"/>
      <c r="E65" s="2"/>
      <c r="F65" s="2"/>
      <c r="G65" s="10"/>
      <c r="H65" s="11"/>
      <c r="I65" s="11"/>
      <c r="J65" s="11"/>
      <c r="K65" s="11"/>
      <c r="L65" s="11"/>
      <c r="M65" s="11"/>
      <c r="N65" s="11"/>
      <c r="O65" s="3"/>
    </row>
    <row r="66" spans="1:15" ht="37.5" customHeight="1" x14ac:dyDescent="0.25">
      <c r="A66" s="9" t="str">
        <f t="shared" si="1"/>
        <v/>
      </c>
      <c r="B66" s="2"/>
      <c r="C66" s="2"/>
      <c r="D66" s="2"/>
      <c r="E66" s="2"/>
      <c r="F66" s="2"/>
      <c r="G66" s="10"/>
      <c r="H66" s="11"/>
      <c r="I66" s="11"/>
      <c r="J66" s="11"/>
      <c r="K66" s="11"/>
      <c r="L66" s="11"/>
      <c r="M66" s="11"/>
      <c r="N66" s="11"/>
      <c r="O66" s="3"/>
    </row>
    <row r="67" spans="1:15" ht="37.5" customHeight="1" x14ac:dyDescent="0.25">
      <c r="A67" s="9" t="str">
        <f t="shared" si="1"/>
        <v/>
      </c>
      <c r="B67" s="2"/>
      <c r="C67" s="2"/>
      <c r="D67" s="2"/>
      <c r="E67" s="2"/>
      <c r="F67" s="2"/>
      <c r="G67" s="10"/>
      <c r="H67" s="11"/>
      <c r="I67" s="11"/>
      <c r="J67" s="11"/>
      <c r="K67" s="11"/>
      <c r="L67" s="11"/>
      <c r="M67" s="11"/>
      <c r="N67" s="11"/>
      <c r="O67" s="3"/>
    </row>
    <row r="68" spans="1:15" ht="37.5" customHeight="1" x14ac:dyDescent="0.25">
      <c r="A68" s="9" t="str">
        <f t="shared" si="1"/>
        <v/>
      </c>
      <c r="B68" s="2"/>
      <c r="C68" s="2"/>
      <c r="D68" s="2"/>
      <c r="E68" s="2"/>
      <c r="F68" s="2"/>
      <c r="G68" s="10"/>
      <c r="H68" s="11"/>
      <c r="I68" s="11"/>
      <c r="J68" s="11"/>
      <c r="K68" s="11"/>
      <c r="L68" s="11"/>
      <c r="M68" s="11"/>
      <c r="N68" s="11"/>
      <c r="O68" s="3"/>
    </row>
    <row r="69" spans="1:15" ht="37.5" customHeight="1" x14ac:dyDescent="0.25">
      <c r="A69" s="9" t="str">
        <f t="shared" si="1"/>
        <v/>
      </c>
      <c r="B69" s="2"/>
      <c r="C69" s="2"/>
      <c r="D69" s="2"/>
      <c r="E69" s="2"/>
      <c r="F69" s="2"/>
      <c r="G69" s="10"/>
      <c r="H69" s="11"/>
      <c r="I69" s="11"/>
      <c r="J69" s="11"/>
      <c r="K69" s="11"/>
      <c r="L69" s="11"/>
      <c r="M69" s="11"/>
      <c r="N69" s="11"/>
      <c r="O69" s="3"/>
    </row>
    <row r="70" spans="1:15" ht="37.5" customHeight="1" x14ac:dyDescent="0.25">
      <c r="A70" s="9" t="str">
        <f t="shared" si="1"/>
        <v/>
      </c>
      <c r="B70" s="2"/>
      <c r="C70" s="2"/>
      <c r="D70" s="2"/>
      <c r="E70" s="2"/>
      <c r="F70" s="2"/>
      <c r="G70" s="10"/>
      <c r="H70" s="11"/>
      <c r="I70" s="11"/>
      <c r="J70" s="11"/>
      <c r="K70" s="11"/>
      <c r="L70" s="11"/>
      <c r="M70" s="11"/>
      <c r="N70" s="11"/>
      <c r="O70" s="3"/>
    </row>
    <row r="71" spans="1:15" ht="37.5" customHeight="1" x14ac:dyDescent="0.25">
      <c r="A71" s="9" t="str">
        <f t="shared" si="1"/>
        <v/>
      </c>
      <c r="B71" s="2"/>
      <c r="C71" s="2"/>
      <c r="D71" s="2"/>
      <c r="E71" s="2"/>
      <c r="F71" s="2"/>
      <c r="G71" s="10"/>
      <c r="H71" s="11"/>
      <c r="I71" s="11"/>
      <c r="J71" s="11"/>
      <c r="K71" s="11"/>
      <c r="L71" s="11"/>
      <c r="M71" s="11"/>
      <c r="N71" s="11"/>
      <c r="O71" s="3"/>
    </row>
    <row r="72" spans="1:15" ht="37.5" customHeight="1" x14ac:dyDescent="0.25">
      <c r="A72" s="9" t="str">
        <f t="shared" si="1"/>
        <v/>
      </c>
      <c r="B72" s="2"/>
      <c r="C72" s="2"/>
      <c r="D72" s="2"/>
      <c r="E72" s="2"/>
      <c r="F72" s="2"/>
      <c r="G72" s="10"/>
      <c r="H72" s="11"/>
      <c r="I72" s="11"/>
      <c r="J72" s="11"/>
      <c r="K72" s="11"/>
      <c r="L72" s="11"/>
      <c r="M72" s="11"/>
      <c r="N72" s="11"/>
      <c r="O72" s="3"/>
    </row>
    <row r="73" spans="1:15" ht="37.5" customHeight="1" x14ac:dyDescent="0.25">
      <c r="A73" s="9" t="str">
        <f t="shared" si="1"/>
        <v/>
      </c>
      <c r="B73" s="2"/>
      <c r="C73" s="2"/>
      <c r="D73" s="2"/>
      <c r="E73" s="2"/>
      <c r="F73" s="2"/>
      <c r="G73" s="10"/>
      <c r="H73" s="11"/>
      <c r="I73" s="11"/>
      <c r="J73" s="11"/>
      <c r="K73" s="11"/>
      <c r="L73" s="11"/>
      <c r="M73" s="11"/>
      <c r="N73" s="11"/>
      <c r="O73" s="3"/>
    </row>
    <row r="74" spans="1:15" ht="37.5" customHeight="1" x14ac:dyDescent="0.25">
      <c r="A74" s="9" t="str">
        <f t="shared" si="1"/>
        <v/>
      </c>
      <c r="B74" s="2"/>
      <c r="C74" s="2"/>
      <c r="D74" s="2"/>
      <c r="E74" s="2"/>
      <c r="F74" s="2"/>
      <c r="G74" s="10"/>
      <c r="H74" s="11"/>
      <c r="I74" s="11"/>
      <c r="J74" s="11"/>
      <c r="K74" s="11"/>
      <c r="L74" s="11"/>
      <c r="M74" s="11"/>
      <c r="N74" s="11"/>
      <c r="O74" s="3"/>
    </row>
    <row r="75" spans="1:15" ht="37.5" customHeight="1" x14ac:dyDescent="0.25">
      <c r="A75" s="9" t="str">
        <f t="shared" si="1"/>
        <v/>
      </c>
      <c r="B75" s="2"/>
      <c r="C75" s="2"/>
      <c r="D75" s="2"/>
      <c r="E75" s="2"/>
      <c r="F75" s="2"/>
      <c r="G75" s="10"/>
      <c r="H75" s="11"/>
      <c r="I75" s="11"/>
      <c r="J75" s="11"/>
      <c r="K75" s="11"/>
      <c r="L75" s="11"/>
      <c r="M75" s="11"/>
      <c r="N75" s="11"/>
      <c r="O75" s="3"/>
    </row>
    <row r="76" spans="1:15" ht="37.5" customHeight="1" x14ac:dyDescent="0.25">
      <c r="A76" s="9" t="str">
        <f t="shared" si="1"/>
        <v/>
      </c>
      <c r="B76" s="2"/>
      <c r="C76" s="2"/>
      <c r="D76" s="2"/>
      <c r="E76" s="2"/>
      <c r="F76" s="2"/>
      <c r="G76" s="10"/>
      <c r="H76" s="11"/>
      <c r="I76" s="11"/>
      <c r="J76" s="11"/>
      <c r="K76" s="11"/>
      <c r="L76" s="11"/>
      <c r="M76" s="11"/>
      <c r="N76" s="11"/>
      <c r="O76" s="3"/>
    </row>
    <row r="77" spans="1:15" ht="37.5" customHeight="1" x14ac:dyDescent="0.25">
      <c r="A77" s="9" t="str">
        <f t="shared" si="1"/>
        <v/>
      </c>
      <c r="B77" s="2"/>
      <c r="C77" s="2"/>
      <c r="D77" s="2"/>
      <c r="E77" s="2"/>
      <c r="F77" s="2"/>
      <c r="G77" s="10"/>
      <c r="H77" s="11"/>
      <c r="I77" s="11"/>
      <c r="J77" s="11"/>
      <c r="K77" s="11"/>
      <c r="L77" s="11"/>
      <c r="M77" s="11"/>
      <c r="N77" s="11"/>
      <c r="O77" s="3"/>
    </row>
    <row r="78" spans="1:15" ht="37.5" customHeight="1" x14ac:dyDescent="0.25">
      <c r="A78" s="9" t="str">
        <f t="shared" si="1"/>
        <v/>
      </c>
      <c r="B78" s="2"/>
      <c r="C78" s="2"/>
      <c r="D78" s="2"/>
      <c r="E78" s="2"/>
      <c r="F78" s="2"/>
      <c r="G78" s="10"/>
      <c r="H78" s="11"/>
      <c r="I78" s="11"/>
      <c r="J78" s="11"/>
      <c r="K78" s="11"/>
      <c r="L78" s="11"/>
      <c r="M78" s="11"/>
      <c r="N78" s="11"/>
      <c r="O78" s="3"/>
    </row>
    <row r="79" spans="1:15" ht="37.5" customHeight="1" x14ac:dyDescent="0.25">
      <c r="A79" s="9" t="str">
        <f t="shared" si="1"/>
        <v/>
      </c>
      <c r="B79" s="2"/>
      <c r="C79" s="2"/>
      <c r="D79" s="2"/>
      <c r="E79" s="2"/>
      <c r="F79" s="2"/>
      <c r="G79" s="10"/>
      <c r="H79" s="11"/>
      <c r="I79" s="11"/>
      <c r="J79" s="11"/>
      <c r="K79" s="11"/>
      <c r="L79" s="11"/>
      <c r="M79" s="11"/>
      <c r="N79" s="11"/>
      <c r="O79" s="3"/>
    </row>
    <row r="80" spans="1:15" ht="37.5" customHeight="1" x14ac:dyDescent="0.25">
      <c r="A80" s="9" t="str">
        <f t="shared" si="1"/>
        <v/>
      </c>
      <c r="B80" s="2"/>
      <c r="C80" s="2"/>
      <c r="D80" s="2"/>
      <c r="E80" s="2"/>
      <c r="F80" s="2"/>
      <c r="G80" s="10"/>
      <c r="H80" s="11"/>
      <c r="I80" s="11"/>
      <c r="J80" s="11"/>
      <c r="K80" s="11"/>
      <c r="L80" s="11"/>
      <c r="M80" s="11"/>
      <c r="N80" s="11"/>
      <c r="O80" s="3"/>
    </row>
    <row r="81" spans="1:15" ht="37.5" customHeight="1" x14ac:dyDescent="0.25">
      <c r="A81" s="9" t="str">
        <f t="shared" si="1"/>
        <v/>
      </c>
      <c r="B81" s="2"/>
      <c r="C81" s="2"/>
      <c r="D81" s="2"/>
      <c r="E81" s="2"/>
      <c r="F81" s="2"/>
      <c r="G81" s="10"/>
      <c r="H81" s="11"/>
      <c r="I81" s="11"/>
      <c r="J81" s="11"/>
      <c r="K81" s="11"/>
      <c r="L81" s="11"/>
      <c r="M81" s="11"/>
      <c r="N81" s="11"/>
      <c r="O81" s="3"/>
    </row>
    <row r="82" spans="1:15" ht="37.5" customHeight="1" x14ac:dyDescent="0.25">
      <c r="A82" s="9" t="str">
        <f t="shared" si="1"/>
        <v/>
      </c>
      <c r="B82" s="2"/>
      <c r="C82" s="2"/>
      <c r="D82" s="2"/>
      <c r="E82" s="2"/>
      <c r="F82" s="2"/>
      <c r="G82" s="10"/>
      <c r="H82" s="11"/>
      <c r="I82" s="11"/>
      <c r="J82" s="11"/>
      <c r="K82" s="11"/>
      <c r="L82" s="11"/>
      <c r="M82" s="11"/>
      <c r="N82" s="11"/>
      <c r="O82" s="3"/>
    </row>
    <row r="83" spans="1:15" ht="37.5" customHeight="1" x14ac:dyDescent="0.25">
      <c r="A83" s="9" t="str">
        <f t="shared" si="1"/>
        <v/>
      </c>
      <c r="B83" s="2"/>
      <c r="C83" s="2"/>
      <c r="D83" s="2"/>
      <c r="E83" s="2"/>
      <c r="F83" s="2"/>
      <c r="G83" s="10"/>
      <c r="H83" s="11"/>
      <c r="I83" s="11"/>
      <c r="J83" s="11"/>
      <c r="K83" s="11"/>
      <c r="L83" s="11"/>
      <c r="M83" s="11"/>
      <c r="N83" s="11"/>
      <c r="O83" s="3"/>
    </row>
    <row r="84" spans="1:15" ht="37.5" customHeight="1" x14ac:dyDescent="0.25">
      <c r="A84" s="9" t="str">
        <f t="shared" si="1"/>
        <v/>
      </c>
      <c r="B84" s="2"/>
      <c r="C84" s="2"/>
      <c r="D84" s="2"/>
      <c r="E84" s="2"/>
      <c r="F84" s="2"/>
      <c r="G84" s="10"/>
      <c r="H84" s="11"/>
      <c r="I84" s="11"/>
      <c r="J84" s="11"/>
      <c r="K84" s="11"/>
      <c r="L84" s="11"/>
      <c r="M84" s="11"/>
      <c r="N84" s="11"/>
      <c r="O84" s="3"/>
    </row>
    <row r="85" spans="1:15" ht="37.5" customHeight="1" x14ac:dyDescent="0.25">
      <c r="A85" s="9" t="str">
        <f t="shared" si="1"/>
        <v/>
      </c>
      <c r="B85" s="2"/>
      <c r="C85" s="2"/>
      <c r="D85" s="2"/>
      <c r="E85" s="2"/>
      <c r="F85" s="2"/>
      <c r="G85" s="10"/>
      <c r="H85" s="11"/>
      <c r="I85" s="11"/>
      <c r="J85" s="11"/>
      <c r="K85" s="11"/>
      <c r="L85" s="11"/>
      <c r="M85" s="11"/>
      <c r="N85" s="11"/>
      <c r="O85" s="3"/>
    </row>
    <row r="86" spans="1:15" ht="37.5" customHeight="1" x14ac:dyDescent="0.25">
      <c r="A86" s="9" t="str">
        <f t="shared" si="1"/>
        <v/>
      </c>
      <c r="B86" s="2"/>
      <c r="C86" s="2"/>
      <c r="D86" s="2"/>
      <c r="E86" s="2"/>
      <c r="F86" s="2"/>
      <c r="G86" s="10"/>
      <c r="H86" s="11"/>
      <c r="I86" s="11"/>
      <c r="J86" s="11"/>
      <c r="K86" s="11"/>
      <c r="L86" s="11"/>
      <c r="M86" s="11"/>
      <c r="N86" s="11"/>
      <c r="O86" s="3"/>
    </row>
    <row r="87" spans="1:15" ht="37.5" customHeight="1" x14ac:dyDescent="0.25">
      <c r="A87" s="9" t="str">
        <f t="shared" si="1"/>
        <v/>
      </c>
      <c r="B87" s="2"/>
      <c r="C87" s="2"/>
      <c r="D87" s="2"/>
      <c r="E87" s="2"/>
      <c r="F87" s="2"/>
      <c r="G87" s="10"/>
      <c r="H87" s="11"/>
      <c r="I87" s="11"/>
      <c r="J87" s="11"/>
      <c r="K87" s="11"/>
      <c r="L87" s="11"/>
      <c r="M87" s="11"/>
      <c r="N87" s="11"/>
      <c r="O87" s="3"/>
    </row>
    <row r="88" spans="1:15" ht="37.5" customHeight="1" x14ac:dyDescent="0.25">
      <c r="A88" s="9" t="str">
        <f t="shared" si="1"/>
        <v/>
      </c>
      <c r="B88" s="2"/>
      <c r="C88" s="2"/>
      <c r="D88" s="2"/>
      <c r="E88" s="2"/>
      <c r="F88" s="2"/>
      <c r="G88" s="10"/>
      <c r="H88" s="11"/>
      <c r="I88" s="11"/>
      <c r="J88" s="11"/>
      <c r="K88" s="11"/>
      <c r="L88" s="11"/>
      <c r="M88" s="11"/>
      <c r="N88" s="11"/>
      <c r="O88" s="3"/>
    </row>
    <row r="89" spans="1:15" ht="37.5" customHeight="1" x14ac:dyDescent="0.25">
      <c r="A89" s="9" t="str">
        <f t="shared" si="1"/>
        <v/>
      </c>
      <c r="B89" s="2"/>
      <c r="C89" s="2"/>
      <c r="D89" s="2"/>
      <c r="E89" s="2"/>
      <c r="F89" s="2"/>
      <c r="G89" s="10"/>
      <c r="H89" s="11"/>
      <c r="I89" s="11"/>
      <c r="J89" s="11"/>
      <c r="K89" s="11"/>
      <c r="L89" s="11"/>
      <c r="M89" s="11"/>
      <c r="N89" s="11"/>
      <c r="O89" s="3"/>
    </row>
    <row r="90" spans="1:15" ht="37.5" customHeight="1" x14ac:dyDescent="0.25">
      <c r="A90" s="9" t="str">
        <f t="shared" si="1"/>
        <v/>
      </c>
      <c r="B90" s="2"/>
      <c r="C90" s="2"/>
      <c r="D90" s="2"/>
      <c r="E90" s="2"/>
      <c r="F90" s="2"/>
      <c r="G90" s="10"/>
      <c r="H90" s="11"/>
      <c r="I90" s="11"/>
      <c r="J90" s="11"/>
      <c r="K90" s="11"/>
      <c r="L90" s="11"/>
      <c r="M90" s="11"/>
      <c r="N90" s="11"/>
      <c r="O90" s="3"/>
    </row>
    <row r="91" spans="1:15" ht="37.5" customHeight="1" x14ac:dyDescent="0.25">
      <c r="A91" s="9" t="str">
        <f t="shared" si="1"/>
        <v/>
      </c>
      <c r="B91" s="2"/>
      <c r="C91" s="2"/>
      <c r="D91" s="2"/>
      <c r="E91" s="2"/>
      <c r="F91" s="2"/>
      <c r="G91" s="10"/>
      <c r="H91" s="11"/>
      <c r="I91" s="11"/>
      <c r="J91" s="11"/>
      <c r="K91" s="11"/>
      <c r="L91" s="11"/>
      <c r="M91" s="11"/>
      <c r="N91" s="11"/>
      <c r="O91" s="3"/>
    </row>
    <row r="92" spans="1:15" ht="37.5" customHeight="1" x14ac:dyDescent="0.25">
      <c r="A92" s="9" t="str">
        <f t="shared" si="1"/>
        <v/>
      </c>
      <c r="B92" s="2"/>
      <c r="C92" s="2"/>
      <c r="D92" s="2"/>
      <c r="E92" s="2"/>
      <c r="F92" s="2"/>
      <c r="G92" s="10"/>
      <c r="H92" s="11"/>
      <c r="I92" s="11"/>
      <c r="J92" s="11"/>
      <c r="K92" s="11"/>
      <c r="L92" s="11"/>
      <c r="M92" s="11"/>
      <c r="N92" s="11"/>
      <c r="O92" s="3"/>
    </row>
    <row r="93" spans="1:15" ht="37.5" customHeight="1" x14ac:dyDescent="0.25">
      <c r="A93" s="9" t="str">
        <f t="shared" si="1"/>
        <v/>
      </c>
      <c r="B93" s="2"/>
      <c r="C93" s="2"/>
      <c r="D93" s="2"/>
      <c r="E93" s="2"/>
      <c r="F93" s="2"/>
      <c r="G93" s="10"/>
      <c r="H93" s="11"/>
      <c r="I93" s="11"/>
      <c r="J93" s="11"/>
      <c r="K93" s="11"/>
      <c r="L93" s="11"/>
      <c r="M93" s="11"/>
      <c r="N93" s="11"/>
      <c r="O93" s="3"/>
    </row>
    <row r="94" spans="1:15" ht="37.5" customHeight="1" x14ac:dyDescent="0.25">
      <c r="A94" s="9" t="str">
        <f t="shared" si="1"/>
        <v/>
      </c>
      <c r="B94" s="2"/>
      <c r="C94" s="2"/>
      <c r="D94" s="2"/>
      <c r="E94" s="2"/>
      <c r="F94" s="2"/>
      <c r="G94" s="10"/>
      <c r="H94" s="11"/>
      <c r="I94" s="11"/>
      <c r="J94" s="11"/>
      <c r="K94" s="11"/>
      <c r="L94" s="11"/>
      <c r="M94" s="11"/>
      <c r="N94" s="11"/>
      <c r="O94" s="3"/>
    </row>
    <row r="95" spans="1:15" ht="37.5" customHeight="1" x14ac:dyDescent="0.25">
      <c r="A95" s="9" t="str">
        <f t="shared" si="1"/>
        <v/>
      </c>
      <c r="B95" s="2"/>
      <c r="C95" s="2"/>
      <c r="D95" s="2"/>
      <c r="E95" s="2"/>
      <c r="F95" s="2"/>
      <c r="G95" s="10"/>
      <c r="H95" s="11"/>
      <c r="I95" s="11"/>
      <c r="J95" s="11"/>
      <c r="K95" s="11"/>
      <c r="L95" s="11"/>
      <c r="M95" s="11"/>
      <c r="N95" s="11"/>
      <c r="O95" s="3"/>
    </row>
    <row r="96" spans="1:15" ht="37.5" customHeight="1" x14ac:dyDescent="0.25">
      <c r="A96" s="9" t="str">
        <f t="shared" si="1"/>
        <v/>
      </c>
      <c r="B96" s="2"/>
      <c r="C96" s="2"/>
      <c r="D96" s="2"/>
      <c r="E96" s="2"/>
      <c r="F96" s="2"/>
      <c r="G96" s="10"/>
      <c r="H96" s="11"/>
      <c r="I96" s="11"/>
      <c r="J96" s="11"/>
      <c r="K96" s="11"/>
      <c r="L96" s="11"/>
      <c r="M96" s="11"/>
      <c r="N96" s="11"/>
      <c r="O96" s="3"/>
    </row>
    <row r="97" spans="1:15" ht="37.5" customHeight="1" x14ac:dyDescent="0.25">
      <c r="A97" s="9" t="str">
        <f t="shared" si="1"/>
        <v/>
      </c>
      <c r="B97" s="2"/>
      <c r="C97" s="2"/>
      <c r="D97" s="2"/>
      <c r="E97" s="2"/>
      <c r="F97" s="2"/>
      <c r="G97" s="10"/>
      <c r="H97" s="11"/>
      <c r="I97" s="11"/>
      <c r="J97" s="11"/>
      <c r="K97" s="11"/>
      <c r="L97" s="11"/>
      <c r="M97" s="11"/>
      <c r="N97" s="11"/>
      <c r="O97" s="3"/>
    </row>
    <row r="98" spans="1:15" ht="37.5" customHeight="1" x14ac:dyDescent="0.25">
      <c r="A98" s="9" t="str">
        <f t="shared" si="1"/>
        <v/>
      </c>
      <c r="B98" s="2"/>
      <c r="C98" s="2"/>
      <c r="D98" s="2"/>
      <c r="E98" s="2"/>
      <c r="F98" s="2"/>
      <c r="G98" s="10"/>
      <c r="H98" s="11"/>
      <c r="I98" s="11"/>
      <c r="J98" s="11"/>
      <c r="K98" s="11"/>
      <c r="L98" s="11"/>
      <c r="M98" s="11"/>
      <c r="N98" s="11"/>
      <c r="O98" s="3"/>
    </row>
    <row r="99" spans="1:15" ht="37.5" customHeight="1" x14ac:dyDescent="0.25">
      <c r="A99" s="9" t="str">
        <f t="shared" si="1"/>
        <v/>
      </c>
      <c r="B99" s="2"/>
      <c r="C99" s="2"/>
      <c r="D99" s="2"/>
      <c r="E99" s="2"/>
      <c r="F99" s="2"/>
      <c r="G99" s="10"/>
      <c r="H99" s="11"/>
      <c r="I99" s="11"/>
      <c r="J99" s="11"/>
      <c r="K99" s="11"/>
      <c r="L99" s="11"/>
      <c r="M99" s="11"/>
      <c r="N99" s="11"/>
      <c r="O99" s="3"/>
    </row>
    <row r="100" spans="1:15" ht="37.5" customHeight="1" x14ac:dyDescent="0.25">
      <c r="A100" s="9" t="str">
        <f t="shared" si="1"/>
        <v/>
      </c>
      <c r="B100" s="2"/>
      <c r="C100" s="2"/>
      <c r="D100" s="2"/>
      <c r="E100" s="2"/>
      <c r="F100" s="2"/>
      <c r="G100" s="10"/>
      <c r="H100" s="11"/>
      <c r="I100" s="11"/>
      <c r="J100" s="11"/>
      <c r="K100" s="11"/>
      <c r="L100" s="11"/>
      <c r="M100" s="11"/>
      <c r="N100" s="11"/>
      <c r="O100" s="3"/>
    </row>
    <row r="101" spans="1:15" ht="37.5" customHeight="1" x14ac:dyDescent="0.25">
      <c r="A101" s="9" t="str">
        <f t="shared" si="1"/>
        <v/>
      </c>
      <c r="B101" s="2"/>
      <c r="C101" s="2"/>
      <c r="D101" s="2"/>
      <c r="E101" s="2"/>
      <c r="F101" s="2"/>
      <c r="G101" s="10"/>
      <c r="H101" s="11"/>
      <c r="I101" s="11"/>
      <c r="J101" s="11"/>
      <c r="K101" s="11"/>
      <c r="L101" s="11"/>
      <c r="M101" s="11"/>
      <c r="N101" s="11"/>
      <c r="O101" s="3"/>
    </row>
    <row r="102" spans="1:15" ht="37.5" customHeight="1" x14ac:dyDescent="0.25">
      <c r="A102" s="9" t="str">
        <f t="shared" si="1"/>
        <v/>
      </c>
      <c r="B102" s="2"/>
      <c r="C102" s="2"/>
      <c r="D102" s="2"/>
      <c r="E102" s="2"/>
      <c r="F102" s="2"/>
      <c r="G102" s="10"/>
      <c r="H102" s="11"/>
      <c r="I102" s="11"/>
      <c r="J102" s="11"/>
      <c r="K102" s="11"/>
      <c r="L102" s="11"/>
      <c r="M102" s="11"/>
      <c r="N102" s="11"/>
      <c r="O102" s="3"/>
    </row>
    <row r="103" spans="1:15" ht="37.5" customHeight="1" x14ac:dyDescent="0.25">
      <c r="A103" s="9" t="str">
        <f t="shared" si="1"/>
        <v/>
      </c>
      <c r="B103" s="2"/>
      <c r="C103" s="2"/>
      <c r="D103" s="2"/>
      <c r="E103" s="2"/>
      <c r="F103" s="2"/>
      <c r="G103" s="10"/>
      <c r="H103" s="11"/>
      <c r="I103" s="11"/>
      <c r="J103" s="11"/>
      <c r="K103" s="11"/>
      <c r="L103" s="11"/>
      <c r="M103" s="11"/>
      <c r="N103" s="11"/>
      <c r="O103" s="3"/>
    </row>
    <row r="104" spans="1:15" ht="37.5" customHeight="1" x14ac:dyDescent="0.25">
      <c r="A104" s="9" t="str">
        <f t="shared" si="1"/>
        <v/>
      </c>
      <c r="B104" s="2"/>
      <c r="C104" s="2"/>
      <c r="D104" s="2"/>
      <c r="E104" s="2"/>
      <c r="F104" s="2"/>
      <c r="G104" s="10"/>
      <c r="H104" s="11"/>
      <c r="I104" s="11"/>
      <c r="J104" s="11"/>
      <c r="K104" s="11"/>
      <c r="L104" s="11"/>
      <c r="M104" s="11"/>
      <c r="N104" s="11"/>
      <c r="O104" s="3"/>
    </row>
    <row r="105" spans="1:15" ht="37.5" customHeight="1" x14ac:dyDescent="0.25">
      <c r="A105" s="9" t="str">
        <f t="shared" si="1"/>
        <v/>
      </c>
      <c r="B105" s="2"/>
      <c r="C105" s="2"/>
      <c r="D105" s="2"/>
      <c r="E105" s="2"/>
      <c r="F105" s="2"/>
      <c r="G105" s="10"/>
      <c r="H105" s="11"/>
      <c r="I105" s="11"/>
      <c r="J105" s="11"/>
      <c r="K105" s="11"/>
      <c r="L105" s="11"/>
      <c r="M105" s="11"/>
      <c r="N105" s="11"/>
      <c r="O105" s="3"/>
    </row>
    <row r="106" spans="1:15" ht="37.5" customHeight="1" x14ac:dyDescent="0.25">
      <c r="A106" s="9" t="str">
        <f t="shared" si="1"/>
        <v/>
      </c>
      <c r="B106" s="2"/>
      <c r="C106" s="2"/>
      <c r="D106" s="2"/>
      <c r="E106" s="2"/>
      <c r="F106" s="2"/>
      <c r="G106" s="10"/>
      <c r="H106" s="11"/>
      <c r="I106" s="11"/>
      <c r="J106" s="11"/>
      <c r="K106" s="11"/>
      <c r="L106" s="11"/>
      <c r="M106" s="11"/>
      <c r="N106" s="11"/>
      <c r="O106" s="3"/>
    </row>
    <row r="107" spans="1:15" ht="37.5" customHeight="1" x14ac:dyDescent="0.25">
      <c r="A107" s="9" t="str">
        <f t="shared" si="1"/>
        <v/>
      </c>
      <c r="B107" s="2"/>
      <c r="C107" s="2"/>
      <c r="D107" s="2"/>
      <c r="E107" s="2"/>
      <c r="F107" s="2"/>
      <c r="G107" s="10"/>
      <c r="H107" s="11"/>
      <c r="I107" s="11"/>
      <c r="J107" s="11"/>
      <c r="K107" s="11"/>
      <c r="L107" s="11"/>
      <c r="M107" s="11"/>
      <c r="N107" s="11"/>
      <c r="O107" s="3"/>
    </row>
    <row r="108" spans="1:15" ht="37.5" customHeight="1" x14ac:dyDescent="0.25">
      <c r="A108" s="9" t="str">
        <f t="shared" si="1"/>
        <v/>
      </c>
      <c r="B108" s="2"/>
      <c r="C108" s="2"/>
      <c r="D108" s="2"/>
      <c r="E108" s="2"/>
      <c r="F108" s="2"/>
      <c r="G108" s="10"/>
      <c r="H108" s="11"/>
      <c r="I108" s="11"/>
      <c r="J108" s="11"/>
      <c r="K108" s="11"/>
      <c r="L108" s="11"/>
      <c r="M108" s="11"/>
      <c r="N108" s="11"/>
      <c r="O108" s="3"/>
    </row>
    <row r="109" spans="1:15" ht="37.5" customHeight="1" x14ac:dyDescent="0.25">
      <c r="A109" s="9" t="str">
        <f t="shared" si="1"/>
        <v/>
      </c>
      <c r="B109" s="2"/>
      <c r="C109" s="2"/>
      <c r="D109" s="2"/>
      <c r="E109" s="2"/>
      <c r="F109" s="2"/>
      <c r="G109" s="10"/>
      <c r="H109" s="11"/>
      <c r="I109" s="11"/>
      <c r="J109" s="11"/>
      <c r="K109" s="11"/>
      <c r="L109" s="11"/>
      <c r="M109" s="11"/>
      <c r="N109" s="11"/>
      <c r="O109" s="3"/>
    </row>
    <row r="110" spans="1:15" ht="37.5" customHeight="1" x14ac:dyDescent="0.25">
      <c r="A110" s="9" t="str">
        <f t="shared" si="1"/>
        <v/>
      </c>
      <c r="B110" s="2"/>
      <c r="C110" s="2"/>
      <c r="D110" s="2"/>
      <c r="E110" s="2"/>
      <c r="F110" s="2"/>
      <c r="G110" s="10"/>
      <c r="H110" s="11"/>
      <c r="I110" s="11"/>
      <c r="J110" s="11"/>
      <c r="K110" s="11"/>
      <c r="L110" s="11"/>
      <c r="M110" s="11"/>
      <c r="N110" s="11"/>
      <c r="O110" s="3"/>
    </row>
    <row r="111" spans="1:15" ht="37.5" customHeight="1" x14ac:dyDescent="0.25">
      <c r="A111" s="9" t="str">
        <f t="shared" si="1"/>
        <v/>
      </c>
      <c r="B111" s="2"/>
      <c r="C111" s="2"/>
      <c r="D111" s="2"/>
      <c r="E111" s="2"/>
      <c r="F111" s="2"/>
      <c r="G111" s="10"/>
      <c r="H111" s="11"/>
      <c r="I111" s="11"/>
      <c r="J111" s="11"/>
      <c r="K111" s="11"/>
      <c r="L111" s="11"/>
      <c r="M111" s="11"/>
      <c r="N111" s="11"/>
      <c r="O111" s="3"/>
    </row>
    <row r="112" spans="1:15" ht="37.5" customHeight="1" x14ac:dyDescent="0.25">
      <c r="A112" s="9" t="str">
        <f t="shared" si="1"/>
        <v/>
      </c>
      <c r="B112" s="2"/>
      <c r="C112" s="2"/>
      <c r="D112" s="2"/>
      <c r="E112" s="2"/>
      <c r="F112" s="2"/>
      <c r="G112" s="10"/>
      <c r="H112" s="11"/>
      <c r="I112" s="11"/>
      <c r="J112" s="11"/>
      <c r="K112" s="11"/>
      <c r="L112" s="11"/>
      <c r="M112" s="11"/>
      <c r="N112" s="11"/>
      <c r="O112" s="3"/>
    </row>
    <row r="113" spans="1:15" ht="37.5" customHeight="1" x14ac:dyDescent="0.25">
      <c r="A113" s="9" t="str">
        <f t="shared" si="1"/>
        <v/>
      </c>
      <c r="B113" s="2"/>
      <c r="C113" s="2"/>
      <c r="D113" s="2"/>
      <c r="E113" s="2"/>
      <c r="F113" s="2"/>
      <c r="G113" s="10"/>
      <c r="H113" s="11"/>
      <c r="I113" s="11"/>
      <c r="J113" s="11"/>
      <c r="K113" s="11"/>
      <c r="L113" s="11"/>
      <c r="M113" s="11"/>
      <c r="N113" s="11"/>
      <c r="O113" s="3"/>
    </row>
    <row r="114" spans="1:15" ht="37.5" customHeight="1" x14ac:dyDescent="0.25">
      <c r="A114" s="9" t="str">
        <f t="shared" si="1"/>
        <v/>
      </c>
      <c r="B114" s="2"/>
      <c r="C114" s="2"/>
      <c r="D114" s="2"/>
      <c r="E114" s="2"/>
      <c r="F114" s="2"/>
      <c r="G114" s="10"/>
      <c r="H114" s="11"/>
      <c r="I114" s="11"/>
      <c r="J114" s="11"/>
      <c r="K114" s="11"/>
      <c r="L114" s="11"/>
      <c r="M114" s="11"/>
      <c r="N114" s="11"/>
      <c r="O114" s="3"/>
    </row>
    <row r="115" spans="1:15" ht="37.5" customHeight="1" x14ac:dyDescent="0.25">
      <c r="A115" s="9" t="str">
        <f t="shared" si="1"/>
        <v/>
      </c>
      <c r="B115" s="2"/>
      <c r="C115" s="2"/>
      <c r="D115" s="2"/>
      <c r="E115" s="2"/>
      <c r="F115" s="2"/>
      <c r="G115" s="10"/>
      <c r="H115" s="11"/>
      <c r="I115" s="11"/>
      <c r="J115" s="11"/>
      <c r="K115" s="11"/>
      <c r="L115" s="11"/>
      <c r="M115" s="11"/>
      <c r="N115" s="11"/>
      <c r="O115" s="3"/>
    </row>
    <row r="116" spans="1:15" ht="37.5" customHeight="1" x14ac:dyDescent="0.25">
      <c r="A116" s="9" t="str">
        <f t="shared" si="1"/>
        <v/>
      </c>
      <c r="B116" s="2"/>
      <c r="C116" s="2"/>
      <c r="D116" s="2"/>
      <c r="E116" s="2"/>
      <c r="F116" s="2"/>
      <c r="G116" s="10"/>
      <c r="H116" s="11"/>
      <c r="I116" s="11"/>
      <c r="J116" s="11"/>
      <c r="K116" s="11"/>
      <c r="L116" s="11"/>
      <c r="M116" s="11"/>
      <c r="N116" s="11"/>
      <c r="O116" s="3"/>
    </row>
    <row r="117" spans="1:15" ht="37.5" customHeight="1" x14ac:dyDescent="0.25">
      <c r="A117" s="9" t="str">
        <f t="shared" si="1"/>
        <v/>
      </c>
      <c r="B117" s="2"/>
      <c r="C117" s="2"/>
      <c r="D117" s="2"/>
      <c r="E117" s="2"/>
      <c r="F117" s="2"/>
      <c r="G117" s="10"/>
      <c r="H117" s="11"/>
      <c r="I117" s="11"/>
      <c r="J117" s="11"/>
      <c r="K117" s="11"/>
      <c r="L117" s="11"/>
      <c r="M117" s="11"/>
      <c r="N117" s="11"/>
      <c r="O117" s="3"/>
    </row>
    <row r="118" spans="1:15" ht="37.5" customHeight="1" x14ac:dyDescent="0.25">
      <c r="A118" s="9" t="str">
        <f t="shared" si="1"/>
        <v/>
      </c>
      <c r="B118" s="2"/>
      <c r="C118" s="2"/>
      <c r="D118" s="2"/>
      <c r="E118" s="2"/>
      <c r="F118" s="2"/>
      <c r="G118" s="10"/>
      <c r="H118" s="11"/>
      <c r="I118" s="11"/>
      <c r="J118" s="11"/>
      <c r="K118" s="11"/>
      <c r="L118" s="11"/>
      <c r="M118" s="11"/>
      <c r="N118" s="11"/>
      <c r="O118" s="3"/>
    </row>
    <row r="119" spans="1:15" ht="37.5" customHeight="1" x14ac:dyDescent="0.25">
      <c r="A119" s="9" t="str">
        <f t="shared" si="1"/>
        <v/>
      </c>
      <c r="B119" s="2"/>
      <c r="C119" s="2"/>
      <c r="D119" s="2"/>
      <c r="E119" s="2"/>
      <c r="F119" s="2"/>
      <c r="G119" s="10"/>
      <c r="H119" s="11"/>
      <c r="I119" s="11"/>
      <c r="J119" s="11"/>
      <c r="K119" s="11"/>
      <c r="L119" s="11"/>
      <c r="M119" s="11"/>
      <c r="N119" s="11"/>
      <c r="O119" s="3"/>
    </row>
    <row r="120" spans="1:15" ht="37.5" customHeight="1" x14ac:dyDescent="0.25">
      <c r="A120" s="9" t="str">
        <f t="shared" si="1"/>
        <v/>
      </c>
      <c r="B120" s="2"/>
      <c r="C120" s="2"/>
      <c r="D120" s="2"/>
      <c r="E120" s="2"/>
      <c r="F120" s="2"/>
      <c r="G120" s="10"/>
      <c r="H120" s="11"/>
      <c r="I120" s="11"/>
      <c r="J120" s="11"/>
      <c r="K120" s="11"/>
      <c r="L120" s="11"/>
      <c r="M120" s="11"/>
      <c r="N120" s="11"/>
      <c r="O120" s="3"/>
    </row>
    <row r="121" spans="1:15" ht="37.5" customHeight="1" x14ac:dyDescent="0.25">
      <c r="A121" s="9" t="str">
        <f t="shared" si="1"/>
        <v/>
      </c>
      <c r="B121" s="2"/>
      <c r="C121" s="2"/>
      <c r="D121" s="2"/>
      <c r="E121" s="2"/>
      <c r="F121" s="2"/>
      <c r="G121" s="10"/>
      <c r="H121" s="11"/>
      <c r="I121" s="11"/>
      <c r="J121" s="11"/>
      <c r="K121" s="11"/>
      <c r="L121" s="11"/>
      <c r="M121" s="11"/>
      <c r="N121" s="11"/>
      <c r="O121" s="3"/>
    </row>
    <row r="122" spans="1:15" ht="37.5" customHeight="1" x14ac:dyDescent="0.25">
      <c r="A122" s="9" t="str">
        <f t="shared" si="1"/>
        <v/>
      </c>
      <c r="B122" s="2"/>
      <c r="C122" s="2"/>
      <c r="D122" s="2"/>
      <c r="E122" s="2"/>
      <c r="F122" s="2"/>
      <c r="G122" s="10"/>
      <c r="H122" s="11"/>
      <c r="I122" s="11"/>
      <c r="J122" s="11"/>
      <c r="K122" s="11"/>
      <c r="L122" s="11"/>
      <c r="M122" s="11"/>
      <c r="N122" s="11"/>
      <c r="O122" s="3"/>
    </row>
    <row r="123" spans="1:15" ht="37.5" customHeight="1" x14ac:dyDescent="0.25">
      <c r="A123" s="9" t="str">
        <f t="shared" si="1"/>
        <v/>
      </c>
      <c r="B123" s="2"/>
      <c r="C123" s="2"/>
      <c r="D123" s="2"/>
      <c r="E123" s="2"/>
      <c r="F123" s="2"/>
      <c r="G123" s="10"/>
      <c r="H123" s="11"/>
      <c r="I123" s="11"/>
      <c r="J123" s="11"/>
      <c r="K123" s="11"/>
      <c r="L123" s="11"/>
      <c r="M123" s="11"/>
      <c r="N123" s="11"/>
      <c r="O123" s="3"/>
    </row>
    <row r="124" spans="1:15" ht="37.5" customHeight="1" x14ac:dyDescent="0.25">
      <c r="A124" s="9" t="str">
        <f t="shared" si="1"/>
        <v/>
      </c>
      <c r="B124" s="2"/>
      <c r="C124" s="2"/>
      <c r="D124" s="2"/>
      <c r="E124" s="2"/>
      <c r="F124" s="2"/>
      <c r="G124" s="10"/>
      <c r="H124" s="11"/>
      <c r="I124" s="11"/>
      <c r="J124" s="11"/>
      <c r="K124" s="11"/>
      <c r="L124" s="11"/>
      <c r="M124" s="11"/>
      <c r="N124" s="11"/>
      <c r="O124" s="3"/>
    </row>
    <row r="125" spans="1:15" ht="37.5" customHeight="1" x14ac:dyDescent="0.25">
      <c r="A125" s="9" t="str">
        <f t="shared" si="1"/>
        <v/>
      </c>
      <c r="B125" s="2"/>
      <c r="C125" s="2"/>
      <c r="D125" s="2"/>
      <c r="E125" s="2"/>
      <c r="F125" s="2"/>
      <c r="G125" s="10"/>
      <c r="H125" s="11"/>
      <c r="I125" s="11"/>
      <c r="J125" s="11"/>
      <c r="K125" s="11"/>
      <c r="L125" s="11"/>
      <c r="M125" s="11"/>
      <c r="N125" s="11"/>
      <c r="O125" s="3"/>
    </row>
    <row r="126" spans="1:15" ht="37.5" customHeight="1" x14ac:dyDescent="0.25">
      <c r="A126" s="9" t="str">
        <f t="shared" si="1"/>
        <v/>
      </c>
      <c r="B126" s="2"/>
      <c r="C126" s="2"/>
      <c r="D126" s="2"/>
      <c r="E126" s="2"/>
      <c r="F126" s="2"/>
      <c r="G126" s="10"/>
      <c r="H126" s="11"/>
      <c r="I126" s="11"/>
      <c r="J126" s="11"/>
      <c r="K126" s="11"/>
      <c r="L126" s="11"/>
      <c r="M126" s="11"/>
      <c r="N126" s="11"/>
      <c r="O126" s="3"/>
    </row>
    <row r="127" spans="1:15" ht="37.5" customHeight="1" x14ac:dyDescent="0.25">
      <c r="A127" s="9" t="str">
        <f t="shared" si="1"/>
        <v/>
      </c>
      <c r="B127" s="2"/>
      <c r="C127" s="2"/>
      <c r="D127" s="2"/>
      <c r="E127" s="2"/>
      <c r="F127" s="2"/>
      <c r="G127" s="10"/>
      <c r="H127" s="11"/>
      <c r="I127" s="11"/>
      <c r="J127" s="11"/>
      <c r="K127" s="11"/>
      <c r="L127" s="11"/>
      <c r="M127" s="11"/>
      <c r="N127" s="11"/>
      <c r="O127" s="3"/>
    </row>
    <row r="128" spans="1:15" ht="37.5" customHeight="1" x14ac:dyDescent="0.25">
      <c r="A128" s="9" t="str">
        <f t="shared" si="1"/>
        <v/>
      </c>
      <c r="B128" s="2"/>
      <c r="C128" s="2"/>
      <c r="D128" s="2"/>
      <c r="E128" s="2"/>
      <c r="F128" s="2"/>
      <c r="G128" s="10"/>
      <c r="H128" s="11"/>
      <c r="I128" s="11"/>
      <c r="J128" s="11"/>
      <c r="K128" s="11"/>
      <c r="L128" s="11"/>
      <c r="M128" s="11"/>
      <c r="N128" s="11"/>
      <c r="O128" s="3"/>
    </row>
    <row r="129" spans="1:15" ht="37.5" customHeight="1" x14ac:dyDescent="0.25">
      <c r="A129" s="9" t="str">
        <f t="shared" si="1"/>
        <v/>
      </c>
      <c r="B129" s="2"/>
      <c r="C129" s="2"/>
      <c r="D129" s="2"/>
      <c r="E129" s="2"/>
      <c r="F129" s="2"/>
      <c r="G129" s="10"/>
      <c r="H129" s="11"/>
      <c r="I129" s="11"/>
      <c r="J129" s="11"/>
      <c r="K129" s="11"/>
      <c r="L129" s="11"/>
      <c r="M129" s="11"/>
      <c r="N129" s="11"/>
      <c r="O129" s="3"/>
    </row>
    <row r="130" spans="1:15" ht="37.5" customHeight="1" x14ac:dyDescent="0.25">
      <c r="A130" s="9" t="str">
        <f t="shared" si="1"/>
        <v/>
      </c>
      <c r="B130" s="2"/>
      <c r="C130" s="2"/>
      <c r="D130" s="2"/>
      <c r="E130" s="2"/>
      <c r="F130" s="2"/>
      <c r="G130" s="10"/>
      <c r="H130" s="11"/>
      <c r="I130" s="11"/>
      <c r="J130" s="11"/>
      <c r="K130" s="11"/>
      <c r="L130" s="11"/>
      <c r="M130" s="11"/>
      <c r="N130" s="11"/>
      <c r="O130" s="3"/>
    </row>
    <row r="131" spans="1:15" ht="37.5" customHeight="1" x14ac:dyDescent="0.25">
      <c r="A131" s="9" t="str">
        <f t="shared" si="1"/>
        <v/>
      </c>
      <c r="B131" s="2"/>
      <c r="C131" s="2"/>
      <c r="D131" s="2"/>
      <c r="E131" s="2"/>
      <c r="F131" s="2"/>
      <c r="G131" s="10"/>
      <c r="H131" s="11"/>
      <c r="I131" s="11"/>
      <c r="J131" s="11"/>
      <c r="K131" s="11"/>
      <c r="L131" s="11"/>
      <c r="M131" s="11"/>
      <c r="N131" s="11"/>
      <c r="O131" s="3"/>
    </row>
    <row r="132" spans="1:15" ht="37.5" customHeight="1" x14ac:dyDescent="0.25">
      <c r="A132" s="9" t="str">
        <f t="shared" si="1"/>
        <v/>
      </c>
      <c r="B132" s="2"/>
      <c r="C132" s="2"/>
      <c r="D132" s="2"/>
      <c r="E132" s="2"/>
      <c r="F132" s="2"/>
      <c r="G132" s="10"/>
      <c r="H132" s="11"/>
      <c r="I132" s="11"/>
      <c r="J132" s="11"/>
      <c r="K132" s="11"/>
      <c r="L132" s="11"/>
      <c r="M132" s="11"/>
      <c r="N132" s="11"/>
      <c r="O132" s="3"/>
    </row>
    <row r="133" spans="1:15" ht="37.5" customHeight="1" x14ac:dyDescent="0.25">
      <c r="A133" s="9" t="str">
        <f t="shared" si="1"/>
        <v/>
      </c>
      <c r="B133" s="2"/>
      <c r="C133" s="2"/>
      <c r="D133" s="2"/>
      <c r="E133" s="2"/>
      <c r="F133" s="2"/>
      <c r="G133" s="10"/>
      <c r="H133" s="11"/>
      <c r="I133" s="11"/>
      <c r="J133" s="11"/>
      <c r="K133" s="11"/>
      <c r="L133" s="11"/>
      <c r="M133" s="11"/>
      <c r="N133" s="11"/>
      <c r="O133" s="3"/>
    </row>
    <row r="134" spans="1:15" ht="37.5" customHeight="1" x14ac:dyDescent="0.25">
      <c r="A134" s="9" t="str">
        <f t="shared" si="1"/>
        <v/>
      </c>
      <c r="B134" s="2"/>
      <c r="C134" s="2"/>
      <c r="D134" s="2"/>
      <c r="E134" s="2"/>
      <c r="F134" s="2"/>
      <c r="G134" s="10"/>
      <c r="H134" s="11"/>
      <c r="I134" s="11"/>
      <c r="J134" s="11"/>
      <c r="K134" s="11"/>
      <c r="L134" s="11"/>
      <c r="M134" s="11"/>
      <c r="N134" s="11"/>
      <c r="O134" s="3"/>
    </row>
    <row r="135" spans="1:15" ht="37.5" customHeight="1" x14ac:dyDescent="0.25">
      <c r="A135" s="9" t="str">
        <f t="shared" si="1"/>
        <v/>
      </c>
      <c r="B135" s="2"/>
      <c r="C135" s="2"/>
      <c r="D135" s="2"/>
      <c r="E135" s="2"/>
      <c r="F135" s="2"/>
      <c r="G135" s="10"/>
      <c r="H135" s="11"/>
      <c r="I135" s="11"/>
      <c r="J135" s="11"/>
      <c r="K135" s="11"/>
      <c r="L135" s="11"/>
      <c r="M135" s="11"/>
      <c r="N135" s="11"/>
      <c r="O135" s="3"/>
    </row>
    <row r="136" spans="1:15" ht="37.5" customHeight="1" x14ac:dyDescent="0.25">
      <c r="A136" s="9" t="str">
        <f t="shared" si="1"/>
        <v/>
      </c>
      <c r="B136" s="2"/>
      <c r="C136" s="2"/>
      <c r="D136" s="2"/>
      <c r="E136" s="2"/>
      <c r="F136" s="2"/>
      <c r="G136" s="10"/>
      <c r="H136" s="11"/>
      <c r="I136" s="11"/>
      <c r="J136" s="11"/>
      <c r="K136" s="11"/>
      <c r="L136" s="11"/>
      <c r="M136" s="11"/>
      <c r="N136" s="11"/>
      <c r="O136" s="3"/>
    </row>
    <row r="137" spans="1:15" ht="37.5" customHeight="1" x14ac:dyDescent="0.25">
      <c r="A137" s="9" t="str">
        <f t="shared" si="1"/>
        <v/>
      </c>
      <c r="B137" s="2"/>
      <c r="C137" s="2"/>
      <c r="D137" s="2"/>
      <c r="E137" s="2"/>
      <c r="F137" s="2"/>
      <c r="G137" s="10"/>
      <c r="H137" s="11"/>
      <c r="I137" s="11"/>
      <c r="J137" s="11"/>
      <c r="K137" s="11"/>
      <c r="L137" s="11"/>
      <c r="M137" s="11"/>
      <c r="N137" s="11"/>
      <c r="O137" s="3"/>
    </row>
    <row r="138" spans="1:15" ht="37.5" customHeight="1" x14ac:dyDescent="0.25">
      <c r="A138" s="9" t="str">
        <f t="shared" si="1"/>
        <v/>
      </c>
      <c r="B138" s="2"/>
      <c r="C138" s="2"/>
      <c r="D138" s="2"/>
      <c r="E138" s="2"/>
      <c r="F138" s="2"/>
      <c r="G138" s="10"/>
      <c r="H138" s="11"/>
      <c r="I138" s="11"/>
      <c r="J138" s="11"/>
      <c r="K138" s="11"/>
      <c r="L138" s="11"/>
      <c r="M138" s="11"/>
      <c r="N138" s="11"/>
      <c r="O138" s="3"/>
    </row>
    <row r="139" spans="1:15" ht="37.5" customHeight="1" x14ac:dyDescent="0.25">
      <c r="A139" s="9" t="str">
        <f t="shared" si="1"/>
        <v/>
      </c>
      <c r="B139" s="2"/>
      <c r="C139" s="2"/>
      <c r="D139" s="2"/>
      <c r="E139" s="2"/>
      <c r="F139" s="2"/>
      <c r="G139" s="10"/>
      <c r="H139" s="11"/>
      <c r="I139" s="11"/>
      <c r="J139" s="11"/>
      <c r="K139" s="11"/>
      <c r="L139" s="11"/>
      <c r="M139" s="11"/>
      <c r="N139" s="11"/>
      <c r="O139" s="3"/>
    </row>
    <row r="140" spans="1:15" ht="37.5" customHeight="1" x14ac:dyDescent="0.25">
      <c r="A140" s="9" t="str">
        <f t="shared" si="1"/>
        <v/>
      </c>
      <c r="B140" s="2"/>
      <c r="C140" s="2"/>
      <c r="D140" s="2"/>
      <c r="E140" s="2"/>
      <c r="F140" s="2"/>
      <c r="G140" s="10"/>
      <c r="H140" s="11"/>
      <c r="I140" s="11"/>
      <c r="J140" s="11"/>
      <c r="K140" s="11"/>
      <c r="L140" s="11"/>
      <c r="M140" s="11"/>
      <c r="N140" s="11"/>
      <c r="O140" s="3"/>
    </row>
    <row r="141" spans="1:15" ht="37.5" customHeight="1" x14ac:dyDescent="0.25">
      <c r="A141" s="9" t="str">
        <f t="shared" si="1"/>
        <v/>
      </c>
      <c r="B141" s="2"/>
      <c r="C141" s="2"/>
      <c r="D141" s="2"/>
      <c r="E141" s="2"/>
      <c r="F141" s="2"/>
      <c r="G141" s="10"/>
      <c r="H141" s="11"/>
      <c r="I141" s="11"/>
      <c r="J141" s="11"/>
      <c r="K141" s="11"/>
      <c r="L141" s="11"/>
      <c r="M141" s="11"/>
      <c r="N141" s="11"/>
      <c r="O141" s="3"/>
    </row>
    <row r="142" spans="1:15" ht="37.5" customHeight="1" x14ac:dyDescent="0.25">
      <c r="A142" s="9" t="str">
        <f t="shared" si="1"/>
        <v/>
      </c>
      <c r="B142" s="2"/>
      <c r="C142" s="2"/>
      <c r="D142" s="2"/>
      <c r="E142" s="2"/>
      <c r="F142" s="2"/>
      <c r="G142" s="10"/>
      <c r="H142" s="11"/>
      <c r="I142" s="11"/>
      <c r="J142" s="11"/>
      <c r="K142" s="11"/>
      <c r="L142" s="11"/>
      <c r="M142" s="11"/>
      <c r="N142" s="11"/>
      <c r="O142" s="3"/>
    </row>
    <row r="143" spans="1:15" ht="37.5" customHeight="1" x14ac:dyDescent="0.25">
      <c r="A143" s="9" t="str">
        <f t="shared" si="1"/>
        <v/>
      </c>
      <c r="B143" s="2"/>
      <c r="C143" s="2"/>
      <c r="D143" s="2"/>
      <c r="E143" s="2"/>
      <c r="F143" s="2"/>
      <c r="G143" s="10"/>
      <c r="H143" s="11"/>
      <c r="I143" s="11"/>
      <c r="J143" s="11"/>
      <c r="K143" s="11"/>
      <c r="L143" s="11"/>
      <c r="M143" s="11"/>
      <c r="N143" s="11"/>
      <c r="O143" s="3"/>
    </row>
    <row r="144" spans="1:15" ht="37.5" customHeight="1" x14ac:dyDescent="0.25">
      <c r="A144" s="9" t="str">
        <f t="shared" si="1"/>
        <v/>
      </c>
      <c r="B144" s="2"/>
      <c r="C144" s="2"/>
      <c r="D144" s="2"/>
      <c r="E144" s="2"/>
      <c r="F144" s="2"/>
      <c r="G144" s="10"/>
      <c r="H144" s="11"/>
      <c r="I144" s="11"/>
      <c r="J144" s="11"/>
      <c r="K144" s="11"/>
      <c r="L144" s="11"/>
      <c r="M144" s="11"/>
      <c r="N144" s="11"/>
      <c r="O144" s="3"/>
    </row>
    <row r="145" spans="1:15" ht="37.5" customHeight="1" x14ac:dyDescent="0.25">
      <c r="A145" s="9" t="str">
        <f t="shared" si="1"/>
        <v/>
      </c>
      <c r="B145" s="2"/>
      <c r="C145" s="2"/>
      <c r="D145" s="2"/>
      <c r="E145" s="2"/>
      <c r="F145" s="2"/>
      <c r="G145" s="10"/>
      <c r="H145" s="11"/>
      <c r="I145" s="11"/>
      <c r="J145" s="11"/>
      <c r="K145" s="11"/>
      <c r="L145" s="11"/>
      <c r="M145" s="11"/>
      <c r="N145" s="11"/>
      <c r="O145" s="3"/>
    </row>
    <row r="146" spans="1:15" ht="37.5" customHeight="1" x14ac:dyDescent="0.25">
      <c r="A146" s="9" t="str">
        <f t="shared" si="1"/>
        <v/>
      </c>
      <c r="B146" s="2"/>
      <c r="C146" s="2"/>
      <c r="D146" s="2"/>
      <c r="E146" s="2"/>
      <c r="F146" s="2"/>
      <c r="G146" s="10"/>
      <c r="H146" s="11"/>
      <c r="I146" s="11"/>
      <c r="J146" s="11"/>
      <c r="K146" s="11"/>
      <c r="L146" s="11"/>
      <c r="M146" s="11"/>
      <c r="N146" s="11"/>
      <c r="O146" s="3"/>
    </row>
    <row r="147" spans="1:15" ht="37.5" customHeight="1" x14ac:dyDescent="0.25">
      <c r="A147" s="9" t="str">
        <f t="shared" si="1"/>
        <v/>
      </c>
      <c r="B147" s="2"/>
      <c r="C147" s="2"/>
      <c r="D147" s="2"/>
      <c r="E147" s="2"/>
      <c r="F147" s="2"/>
      <c r="G147" s="10"/>
      <c r="H147" s="11"/>
      <c r="I147" s="11"/>
      <c r="J147" s="11"/>
      <c r="K147" s="11"/>
      <c r="L147" s="11"/>
      <c r="M147" s="11"/>
      <c r="N147" s="11"/>
      <c r="O147" s="3"/>
    </row>
    <row r="148" spans="1:15" ht="37.5" customHeight="1" x14ac:dyDescent="0.25">
      <c r="A148" s="9" t="str">
        <f t="shared" si="1"/>
        <v/>
      </c>
      <c r="B148" s="2"/>
      <c r="C148" s="2"/>
      <c r="D148" s="2"/>
      <c r="E148" s="2"/>
      <c r="F148" s="2"/>
      <c r="G148" s="10"/>
      <c r="H148" s="11"/>
      <c r="I148" s="11"/>
      <c r="J148" s="11"/>
      <c r="K148" s="11"/>
      <c r="L148" s="11"/>
      <c r="M148" s="11"/>
      <c r="N148" s="11"/>
      <c r="O148" s="3"/>
    </row>
    <row r="149" spans="1:15" ht="37.5" customHeight="1" x14ac:dyDescent="0.25">
      <c r="A149" s="9" t="str">
        <f t="shared" si="1"/>
        <v/>
      </c>
      <c r="B149" s="2"/>
      <c r="C149" s="2"/>
      <c r="D149" s="2"/>
      <c r="E149" s="2"/>
      <c r="F149" s="2"/>
      <c r="G149" s="10"/>
      <c r="H149" s="11"/>
      <c r="I149" s="11"/>
      <c r="J149" s="11"/>
      <c r="K149" s="11"/>
      <c r="L149" s="11"/>
      <c r="M149" s="11"/>
      <c r="N149" s="11"/>
      <c r="O149" s="3"/>
    </row>
    <row r="150" spans="1:15" ht="37.5" customHeight="1" x14ac:dyDescent="0.25">
      <c r="A150" s="9" t="str">
        <f t="shared" si="1"/>
        <v/>
      </c>
      <c r="B150" s="2"/>
      <c r="C150" s="2"/>
      <c r="D150" s="2"/>
      <c r="E150" s="2"/>
      <c r="F150" s="2"/>
      <c r="G150" s="10"/>
      <c r="H150" s="11"/>
      <c r="I150" s="11"/>
      <c r="J150" s="11"/>
      <c r="K150" s="11"/>
      <c r="L150" s="11"/>
      <c r="M150" s="11"/>
      <c r="N150" s="11"/>
      <c r="O150" s="3"/>
    </row>
    <row r="151" spans="1:15" ht="37.5" customHeight="1" x14ac:dyDescent="0.25">
      <c r="A151" s="9" t="str">
        <f t="shared" si="1"/>
        <v/>
      </c>
      <c r="B151" s="2"/>
      <c r="C151" s="2"/>
      <c r="D151" s="2"/>
      <c r="E151" s="2"/>
      <c r="F151" s="2"/>
      <c r="G151" s="10"/>
      <c r="H151" s="11"/>
      <c r="I151" s="11"/>
      <c r="J151" s="11"/>
      <c r="K151" s="11"/>
      <c r="L151" s="11"/>
      <c r="M151" s="11"/>
      <c r="N151" s="11"/>
      <c r="O151" s="3"/>
    </row>
    <row r="152" spans="1:15" ht="37.5" customHeight="1" x14ac:dyDescent="0.25">
      <c r="A152" s="9" t="str">
        <f t="shared" si="1"/>
        <v/>
      </c>
      <c r="B152" s="2"/>
      <c r="C152" s="2"/>
      <c r="D152" s="2"/>
      <c r="E152" s="2"/>
      <c r="F152" s="2"/>
      <c r="G152" s="10"/>
      <c r="H152" s="11"/>
      <c r="I152" s="11"/>
      <c r="J152" s="11"/>
      <c r="K152" s="11"/>
      <c r="L152" s="11"/>
      <c r="M152" s="11"/>
      <c r="N152" s="11"/>
      <c r="O152" s="3"/>
    </row>
    <row r="153" spans="1:15" ht="37.5" customHeight="1" x14ac:dyDescent="0.25">
      <c r="A153" s="9" t="str">
        <f t="shared" si="1"/>
        <v/>
      </c>
      <c r="B153" s="2"/>
      <c r="C153" s="2"/>
      <c r="D153" s="2"/>
      <c r="E153" s="2"/>
      <c r="F153" s="2"/>
      <c r="G153" s="10"/>
      <c r="H153" s="11"/>
      <c r="I153" s="11"/>
      <c r="J153" s="11"/>
      <c r="K153" s="11"/>
      <c r="L153" s="11"/>
      <c r="M153" s="11"/>
      <c r="N153" s="11"/>
      <c r="O153" s="3"/>
    </row>
    <row r="154" spans="1:15" ht="37.5" customHeight="1" x14ac:dyDescent="0.25">
      <c r="A154" s="9" t="str">
        <f t="shared" si="1"/>
        <v/>
      </c>
      <c r="B154" s="2"/>
      <c r="C154" s="2"/>
      <c r="D154" s="2"/>
      <c r="E154" s="2"/>
      <c r="F154" s="2"/>
      <c r="G154" s="10"/>
      <c r="H154" s="11"/>
      <c r="I154" s="11"/>
      <c r="J154" s="11"/>
      <c r="K154" s="11"/>
      <c r="L154" s="11"/>
      <c r="M154" s="11"/>
      <c r="N154" s="11"/>
      <c r="O154" s="3"/>
    </row>
    <row r="155" spans="1:15" ht="37.5" customHeight="1" x14ac:dyDescent="0.25">
      <c r="A155" s="9" t="str">
        <f t="shared" si="1"/>
        <v/>
      </c>
      <c r="B155" s="2"/>
      <c r="C155" s="2"/>
      <c r="D155" s="2"/>
      <c r="E155" s="2"/>
      <c r="F155" s="2"/>
      <c r="G155" s="10"/>
      <c r="H155" s="11"/>
      <c r="I155" s="11"/>
      <c r="J155" s="11"/>
      <c r="K155" s="11"/>
      <c r="L155" s="11"/>
      <c r="M155" s="11"/>
      <c r="N155" s="11"/>
      <c r="O155" s="3"/>
    </row>
    <row r="156" spans="1:15" ht="37.5" customHeight="1" x14ac:dyDescent="0.25">
      <c r="A156" s="9" t="str">
        <f t="shared" si="1"/>
        <v/>
      </c>
      <c r="B156" s="2"/>
      <c r="C156" s="2"/>
      <c r="D156" s="2"/>
      <c r="E156" s="2"/>
      <c r="F156" s="2"/>
      <c r="G156" s="10"/>
      <c r="H156" s="11"/>
      <c r="I156" s="11"/>
      <c r="J156" s="11"/>
      <c r="K156" s="11"/>
      <c r="L156" s="11"/>
      <c r="M156" s="11"/>
      <c r="N156" s="11"/>
      <c r="O156" s="3"/>
    </row>
    <row r="157" spans="1:15" ht="37.5" customHeight="1" x14ac:dyDescent="0.25">
      <c r="A157" s="9" t="str">
        <f t="shared" si="1"/>
        <v/>
      </c>
      <c r="B157" s="2"/>
      <c r="C157" s="2"/>
      <c r="D157" s="2"/>
      <c r="E157" s="2"/>
      <c r="F157" s="2"/>
      <c r="G157" s="10"/>
      <c r="H157" s="11"/>
      <c r="I157" s="11"/>
      <c r="J157" s="11"/>
      <c r="K157" s="11"/>
      <c r="L157" s="11"/>
      <c r="M157" s="11"/>
      <c r="N157" s="11"/>
      <c r="O157" s="3"/>
    </row>
    <row r="158" spans="1:15" ht="37.5" customHeight="1" x14ac:dyDescent="0.25">
      <c r="A158" s="9" t="str">
        <f t="shared" si="1"/>
        <v/>
      </c>
      <c r="B158" s="2"/>
      <c r="C158" s="2"/>
      <c r="D158" s="2"/>
      <c r="E158" s="2"/>
      <c r="F158" s="2"/>
      <c r="G158" s="10"/>
      <c r="H158" s="11"/>
      <c r="I158" s="11"/>
      <c r="J158" s="11"/>
      <c r="K158" s="11"/>
      <c r="L158" s="11"/>
      <c r="M158" s="11"/>
      <c r="N158" s="11"/>
      <c r="O158" s="3"/>
    </row>
    <row r="159" spans="1:15" ht="37.5" customHeight="1" x14ac:dyDescent="0.25">
      <c r="A159" s="9" t="str">
        <f t="shared" si="1"/>
        <v/>
      </c>
      <c r="B159" s="2"/>
      <c r="C159" s="2"/>
      <c r="D159" s="2"/>
      <c r="E159" s="2"/>
      <c r="F159" s="2"/>
      <c r="G159" s="10"/>
      <c r="H159" s="11"/>
      <c r="I159" s="11"/>
      <c r="J159" s="11"/>
      <c r="K159" s="11"/>
      <c r="L159" s="11"/>
      <c r="M159" s="11"/>
      <c r="N159" s="11"/>
      <c r="O159" s="3"/>
    </row>
    <row r="160" spans="1:15" ht="37.5" customHeight="1" x14ac:dyDescent="0.25">
      <c r="A160" s="9" t="str">
        <f t="shared" si="1"/>
        <v/>
      </c>
      <c r="B160" s="2"/>
      <c r="C160" s="2"/>
      <c r="D160" s="2"/>
      <c r="E160" s="2"/>
      <c r="F160" s="2"/>
      <c r="G160" s="10"/>
      <c r="H160" s="11"/>
      <c r="I160" s="11"/>
      <c r="J160" s="11"/>
      <c r="K160" s="11"/>
      <c r="L160" s="11"/>
      <c r="M160" s="11"/>
      <c r="N160" s="11"/>
      <c r="O160" s="3"/>
    </row>
    <row r="161" spans="1:15" ht="37.5" customHeight="1" x14ac:dyDescent="0.25">
      <c r="A161" s="9" t="str">
        <f t="shared" si="1"/>
        <v/>
      </c>
      <c r="B161" s="2"/>
      <c r="C161" s="2"/>
      <c r="D161" s="2"/>
      <c r="E161" s="2"/>
      <c r="F161" s="2"/>
      <c r="G161" s="10"/>
      <c r="H161" s="11"/>
      <c r="I161" s="11"/>
      <c r="J161" s="11"/>
      <c r="K161" s="11"/>
      <c r="L161" s="11"/>
      <c r="M161" s="11"/>
      <c r="N161" s="11"/>
      <c r="O161" s="3"/>
    </row>
    <row r="162" spans="1:15" ht="37.5" customHeight="1" x14ac:dyDescent="0.25">
      <c r="A162" s="9" t="str">
        <f t="shared" si="1"/>
        <v/>
      </c>
      <c r="B162" s="2"/>
      <c r="C162" s="2"/>
      <c r="D162" s="2"/>
      <c r="E162" s="2"/>
      <c r="F162" s="2"/>
      <c r="G162" s="10"/>
      <c r="H162" s="11"/>
      <c r="I162" s="11"/>
      <c r="J162" s="11"/>
      <c r="K162" s="11"/>
      <c r="L162" s="11"/>
      <c r="M162" s="11"/>
      <c r="N162" s="11"/>
      <c r="O162" s="3"/>
    </row>
    <row r="163" spans="1:15" ht="37.5" customHeight="1" x14ac:dyDescent="0.25">
      <c r="A163" s="9" t="str">
        <f t="shared" si="1"/>
        <v/>
      </c>
      <c r="B163" s="2"/>
      <c r="C163" s="2"/>
      <c r="D163" s="2"/>
      <c r="E163" s="2"/>
      <c r="F163" s="2"/>
      <c r="G163" s="10"/>
      <c r="H163" s="11"/>
      <c r="I163" s="11"/>
      <c r="J163" s="11"/>
      <c r="K163" s="11"/>
      <c r="L163" s="11"/>
      <c r="M163" s="11"/>
      <c r="N163" s="11"/>
      <c r="O163" s="3"/>
    </row>
    <row r="164" spans="1:15" ht="37.5" customHeight="1" x14ac:dyDescent="0.25">
      <c r="A164" s="9" t="str">
        <f t="shared" si="1"/>
        <v/>
      </c>
      <c r="B164" s="2"/>
      <c r="C164" s="2"/>
      <c r="D164" s="2"/>
      <c r="E164" s="2"/>
      <c r="F164" s="2"/>
      <c r="G164" s="10"/>
      <c r="H164" s="11"/>
      <c r="I164" s="11"/>
      <c r="J164" s="11"/>
      <c r="K164" s="11"/>
      <c r="L164" s="11"/>
      <c r="M164" s="11"/>
      <c r="N164" s="11"/>
      <c r="O164" s="3"/>
    </row>
    <row r="165" spans="1:15" ht="37.5" customHeight="1" x14ac:dyDescent="0.25">
      <c r="A165" s="9" t="str">
        <f t="shared" si="1"/>
        <v/>
      </c>
      <c r="B165" s="2"/>
      <c r="C165" s="2"/>
      <c r="D165" s="2"/>
      <c r="E165" s="2"/>
      <c r="F165" s="2"/>
      <c r="G165" s="10"/>
      <c r="H165" s="11"/>
      <c r="I165" s="11"/>
      <c r="J165" s="11"/>
      <c r="K165" s="11"/>
      <c r="L165" s="11"/>
      <c r="M165" s="11"/>
      <c r="N165" s="11"/>
      <c r="O165" s="3"/>
    </row>
    <row r="166" spans="1:15" ht="37.5" customHeight="1" x14ac:dyDescent="0.25">
      <c r="A166" s="9" t="str">
        <f t="shared" si="1"/>
        <v/>
      </c>
      <c r="B166" s="2"/>
      <c r="C166" s="2"/>
      <c r="D166" s="2"/>
      <c r="E166" s="2"/>
      <c r="F166" s="2"/>
      <c r="G166" s="10"/>
      <c r="H166" s="11"/>
      <c r="I166" s="11"/>
      <c r="J166" s="11"/>
      <c r="K166" s="11"/>
      <c r="L166" s="11"/>
      <c r="M166" s="11"/>
      <c r="N166" s="11"/>
      <c r="O166" s="3"/>
    </row>
    <row r="167" spans="1:15" ht="37.5" customHeight="1" x14ac:dyDescent="0.25">
      <c r="A167" s="9" t="str">
        <f t="shared" si="1"/>
        <v/>
      </c>
      <c r="B167" s="2"/>
      <c r="C167" s="2"/>
      <c r="D167" s="2"/>
      <c r="E167" s="2"/>
      <c r="F167" s="2"/>
      <c r="G167" s="10"/>
      <c r="H167" s="11"/>
      <c r="I167" s="11"/>
      <c r="J167" s="11"/>
      <c r="K167" s="11"/>
      <c r="L167" s="11"/>
      <c r="M167" s="11"/>
      <c r="N167" s="11"/>
      <c r="O167" s="3"/>
    </row>
    <row r="168" spans="1:15" ht="37.5" customHeight="1" x14ac:dyDescent="0.25">
      <c r="A168" s="9" t="str">
        <f t="shared" si="1"/>
        <v/>
      </c>
      <c r="B168" s="2"/>
      <c r="C168" s="2"/>
      <c r="D168" s="2"/>
      <c r="E168" s="2"/>
      <c r="F168" s="2"/>
      <c r="G168" s="10"/>
      <c r="H168" s="11"/>
      <c r="I168" s="11"/>
      <c r="J168" s="11"/>
      <c r="K168" s="11"/>
      <c r="L168" s="11"/>
      <c r="M168" s="11"/>
      <c r="N168" s="11"/>
      <c r="O168" s="3"/>
    </row>
    <row r="169" spans="1:15" ht="37.5" customHeight="1" x14ac:dyDescent="0.25">
      <c r="A169" s="9" t="str">
        <f t="shared" si="1"/>
        <v/>
      </c>
      <c r="B169" s="2"/>
      <c r="C169" s="2"/>
      <c r="D169" s="2"/>
      <c r="E169" s="2"/>
      <c r="F169" s="2"/>
      <c r="G169" s="10"/>
      <c r="H169" s="11"/>
      <c r="I169" s="11"/>
      <c r="J169" s="11"/>
      <c r="K169" s="11"/>
      <c r="L169" s="11"/>
      <c r="M169" s="11"/>
      <c r="N169" s="11"/>
      <c r="O169" s="3"/>
    </row>
    <row r="170" spans="1:15" ht="37.5" customHeight="1" x14ac:dyDescent="0.25">
      <c r="A170" s="9" t="str">
        <f t="shared" si="1"/>
        <v/>
      </c>
      <c r="B170" s="2"/>
      <c r="C170" s="2"/>
      <c r="D170" s="2"/>
      <c r="E170" s="2"/>
      <c r="F170" s="2"/>
      <c r="G170" s="10"/>
      <c r="H170" s="11"/>
      <c r="I170" s="11"/>
      <c r="J170" s="11"/>
      <c r="K170" s="11"/>
      <c r="L170" s="11"/>
      <c r="M170" s="11"/>
      <c r="N170" s="11"/>
      <c r="O170" s="3"/>
    </row>
    <row r="171" spans="1:15" ht="37.5" customHeight="1" x14ac:dyDescent="0.25">
      <c r="A171" s="9" t="str">
        <f t="shared" si="1"/>
        <v/>
      </c>
      <c r="B171" s="2"/>
      <c r="C171" s="2"/>
      <c r="D171" s="2"/>
      <c r="E171" s="2"/>
      <c r="F171" s="2"/>
      <c r="G171" s="10"/>
      <c r="H171" s="11"/>
      <c r="I171" s="11"/>
      <c r="J171" s="11"/>
      <c r="K171" s="11"/>
      <c r="L171" s="11"/>
      <c r="M171" s="11"/>
      <c r="N171" s="11"/>
      <c r="O171" s="3"/>
    </row>
    <row r="172" spans="1:15" ht="37.5" customHeight="1" x14ac:dyDescent="0.25">
      <c r="A172" s="9" t="str">
        <f t="shared" si="1"/>
        <v/>
      </c>
      <c r="B172" s="2"/>
      <c r="C172" s="2"/>
      <c r="D172" s="2"/>
      <c r="E172" s="2"/>
      <c r="F172" s="2"/>
      <c r="G172" s="10"/>
      <c r="H172" s="11"/>
      <c r="I172" s="11"/>
      <c r="J172" s="11"/>
      <c r="K172" s="11"/>
      <c r="L172" s="11"/>
      <c r="M172" s="11"/>
      <c r="N172" s="11"/>
      <c r="O172" s="3"/>
    </row>
    <row r="173" spans="1:15" ht="37.5" customHeight="1" x14ac:dyDescent="0.25">
      <c r="A173" s="9" t="str">
        <f t="shared" si="1"/>
        <v/>
      </c>
      <c r="B173" s="2"/>
      <c r="C173" s="2"/>
      <c r="D173" s="2"/>
      <c r="E173" s="2"/>
      <c r="F173" s="2"/>
      <c r="G173" s="10"/>
      <c r="H173" s="11"/>
      <c r="I173" s="11"/>
      <c r="J173" s="11"/>
      <c r="K173" s="11"/>
      <c r="L173" s="11"/>
      <c r="M173" s="11"/>
      <c r="N173" s="11"/>
      <c r="O173" s="3"/>
    </row>
    <row r="174" spans="1:15" ht="37.5" customHeight="1" x14ac:dyDescent="0.25">
      <c r="A174" s="9" t="str">
        <f t="shared" si="1"/>
        <v/>
      </c>
      <c r="B174" s="2"/>
      <c r="C174" s="2"/>
      <c r="D174" s="2"/>
      <c r="E174" s="2"/>
      <c r="F174" s="2"/>
      <c r="G174" s="10"/>
      <c r="H174" s="11"/>
      <c r="I174" s="11"/>
      <c r="J174" s="11"/>
      <c r="K174" s="11"/>
      <c r="L174" s="11"/>
      <c r="M174" s="11"/>
      <c r="N174" s="11"/>
      <c r="O174" s="3"/>
    </row>
    <row r="175" spans="1:15" ht="37.5" customHeight="1" x14ac:dyDescent="0.25">
      <c r="A175" s="9" t="str">
        <f t="shared" si="1"/>
        <v/>
      </c>
      <c r="B175" s="2"/>
      <c r="C175" s="2"/>
      <c r="D175" s="2"/>
      <c r="E175" s="2"/>
      <c r="F175" s="2"/>
      <c r="G175" s="10"/>
      <c r="H175" s="11"/>
      <c r="I175" s="11"/>
      <c r="J175" s="11"/>
      <c r="K175" s="11"/>
      <c r="L175" s="11"/>
      <c r="M175" s="11"/>
      <c r="N175" s="11"/>
      <c r="O175" s="3"/>
    </row>
    <row r="176" spans="1:15" ht="37.5" customHeight="1" x14ac:dyDescent="0.25">
      <c r="A176" s="9" t="str">
        <f t="shared" si="1"/>
        <v/>
      </c>
      <c r="B176" s="2"/>
      <c r="C176" s="2"/>
      <c r="D176" s="2"/>
      <c r="E176" s="2"/>
      <c r="F176" s="2"/>
      <c r="G176" s="10"/>
      <c r="H176" s="11"/>
      <c r="I176" s="11"/>
      <c r="J176" s="11"/>
      <c r="K176" s="11"/>
      <c r="L176" s="11"/>
      <c r="M176" s="11"/>
      <c r="N176" s="11"/>
      <c r="O176" s="3"/>
    </row>
    <row r="177" spans="1:15" ht="37.5" customHeight="1" x14ac:dyDescent="0.25">
      <c r="A177" s="9" t="str">
        <f t="shared" si="1"/>
        <v/>
      </c>
      <c r="B177" s="2"/>
      <c r="C177" s="2"/>
      <c r="D177" s="2"/>
      <c r="E177" s="2"/>
      <c r="F177" s="2"/>
      <c r="G177" s="10"/>
      <c r="H177" s="11"/>
      <c r="I177" s="11"/>
      <c r="J177" s="11"/>
      <c r="K177" s="11"/>
      <c r="L177" s="11"/>
      <c r="M177" s="11"/>
      <c r="N177" s="11"/>
      <c r="O177" s="3"/>
    </row>
    <row r="178" spans="1:15" ht="37.5" customHeight="1" x14ac:dyDescent="0.25">
      <c r="A178" s="9" t="str">
        <f t="shared" si="1"/>
        <v/>
      </c>
      <c r="B178" s="2"/>
      <c r="C178" s="2"/>
      <c r="D178" s="2"/>
      <c r="E178" s="2"/>
      <c r="F178" s="2"/>
      <c r="G178" s="10"/>
      <c r="H178" s="11"/>
      <c r="I178" s="11"/>
      <c r="J178" s="11"/>
      <c r="K178" s="11"/>
      <c r="L178" s="11"/>
      <c r="M178" s="11"/>
      <c r="N178" s="11"/>
      <c r="O178" s="3"/>
    </row>
    <row r="179" spans="1:15" ht="37.5" customHeight="1" x14ac:dyDescent="0.25">
      <c r="A179" s="9" t="str">
        <f t="shared" si="1"/>
        <v/>
      </c>
      <c r="B179" s="2"/>
      <c r="C179" s="2"/>
      <c r="D179" s="2"/>
      <c r="E179" s="2"/>
      <c r="F179" s="2"/>
      <c r="G179" s="10"/>
      <c r="H179" s="11"/>
      <c r="I179" s="11"/>
      <c r="J179" s="11"/>
      <c r="K179" s="11"/>
      <c r="L179" s="11"/>
      <c r="M179" s="11"/>
      <c r="N179" s="11"/>
      <c r="O179" s="3"/>
    </row>
    <row r="180" spans="1:15" ht="37.5" customHeight="1" x14ac:dyDescent="0.25">
      <c r="A180" s="9" t="str">
        <f t="shared" si="1"/>
        <v/>
      </c>
      <c r="B180" s="2"/>
      <c r="C180" s="2"/>
      <c r="D180" s="2"/>
      <c r="E180" s="2"/>
      <c r="F180" s="2"/>
      <c r="G180" s="10"/>
      <c r="H180" s="11"/>
      <c r="I180" s="11"/>
      <c r="J180" s="11"/>
      <c r="K180" s="11"/>
      <c r="L180" s="11"/>
      <c r="M180" s="11"/>
      <c r="N180" s="11"/>
      <c r="O180" s="3"/>
    </row>
    <row r="181" spans="1:15" ht="37.5" customHeight="1" x14ac:dyDescent="0.25">
      <c r="A181" s="9" t="str">
        <f t="shared" si="1"/>
        <v/>
      </c>
      <c r="B181" s="2"/>
      <c r="C181" s="2"/>
      <c r="D181" s="2"/>
      <c r="E181" s="2"/>
      <c r="F181" s="2"/>
      <c r="G181" s="10"/>
      <c r="H181" s="11"/>
      <c r="I181" s="11"/>
      <c r="J181" s="11"/>
      <c r="K181" s="11"/>
      <c r="L181" s="11"/>
      <c r="M181" s="11"/>
      <c r="N181" s="11"/>
      <c r="O181" s="3"/>
    </row>
    <row r="182" spans="1:15" ht="37.5" customHeight="1" x14ac:dyDescent="0.25">
      <c r="A182" s="9" t="str">
        <f t="shared" si="1"/>
        <v/>
      </c>
      <c r="B182" s="2"/>
      <c r="C182" s="2"/>
      <c r="D182" s="2"/>
      <c r="E182" s="2"/>
      <c r="F182" s="2"/>
      <c r="G182" s="10"/>
      <c r="H182" s="11"/>
      <c r="I182" s="11"/>
      <c r="J182" s="11"/>
      <c r="K182" s="11"/>
      <c r="L182" s="11"/>
      <c r="M182" s="11"/>
      <c r="N182" s="11"/>
      <c r="O182" s="3"/>
    </row>
    <row r="183" spans="1:15" ht="37.5" customHeight="1" x14ac:dyDescent="0.25">
      <c r="A183" s="9" t="str">
        <f t="shared" si="1"/>
        <v/>
      </c>
      <c r="B183" s="2"/>
      <c r="C183" s="2"/>
      <c r="D183" s="2"/>
      <c r="E183" s="2"/>
      <c r="F183" s="2"/>
      <c r="G183" s="10"/>
      <c r="H183" s="11"/>
      <c r="I183" s="11"/>
      <c r="J183" s="11"/>
      <c r="K183" s="11"/>
      <c r="L183" s="11"/>
      <c r="M183" s="11"/>
      <c r="N183" s="11"/>
      <c r="O183" s="3"/>
    </row>
    <row r="184" spans="1:15" ht="37.5" customHeight="1" x14ac:dyDescent="0.25">
      <c r="A184" s="9" t="str">
        <f t="shared" si="1"/>
        <v/>
      </c>
      <c r="B184" s="2"/>
      <c r="C184" s="2"/>
      <c r="D184" s="2"/>
      <c r="E184" s="2"/>
      <c r="F184" s="2"/>
      <c r="G184" s="10"/>
      <c r="H184" s="11"/>
      <c r="I184" s="11"/>
      <c r="J184" s="11"/>
      <c r="K184" s="11"/>
      <c r="L184" s="11"/>
      <c r="M184" s="11"/>
      <c r="N184" s="11"/>
      <c r="O184" s="3"/>
    </row>
    <row r="185" spans="1:15" ht="37.5" customHeight="1" x14ac:dyDescent="0.25">
      <c r="A185" s="9" t="str">
        <f t="shared" si="1"/>
        <v/>
      </c>
      <c r="B185" s="2"/>
      <c r="C185" s="2"/>
      <c r="D185" s="2"/>
      <c r="E185" s="2"/>
      <c r="F185" s="2"/>
      <c r="G185" s="10"/>
      <c r="H185" s="11"/>
      <c r="I185" s="11"/>
      <c r="J185" s="11"/>
      <c r="K185" s="11"/>
      <c r="L185" s="11"/>
      <c r="M185" s="11"/>
      <c r="N185" s="11"/>
      <c r="O185" s="3"/>
    </row>
    <row r="186" spans="1:15" ht="37.5" customHeight="1" x14ac:dyDescent="0.25">
      <c r="A186" s="9" t="str">
        <f t="shared" si="1"/>
        <v/>
      </c>
      <c r="B186" s="2"/>
      <c r="C186" s="2"/>
      <c r="D186" s="2"/>
      <c r="E186" s="2"/>
      <c r="F186" s="2"/>
      <c r="G186" s="10"/>
      <c r="H186" s="11"/>
      <c r="I186" s="11"/>
      <c r="J186" s="11"/>
      <c r="K186" s="11"/>
      <c r="L186" s="11"/>
      <c r="M186" s="11"/>
      <c r="N186" s="11"/>
      <c r="O186" s="3"/>
    </row>
    <row r="187" spans="1:15" ht="37.5" customHeight="1" x14ac:dyDescent="0.25">
      <c r="A187" s="9" t="str">
        <f t="shared" si="1"/>
        <v/>
      </c>
      <c r="B187" s="2"/>
      <c r="C187" s="2"/>
      <c r="D187" s="2"/>
      <c r="E187" s="2"/>
      <c r="F187" s="2"/>
      <c r="G187" s="10"/>
      <c r="H187" s="11"/>
      <c r="I187" s="11"/>
      <c r="J187" s="11"/>
      <c r="K187" s="11"/>
      <c r="L187" s="11"/>
      <c r="M187" s="11"/>
      <c r="N187" s="11"/>
      <c r="O187" s="3"/>
    </row>
    <row r="188" spans="1:15" ht="37.5" customHeight="1" x14ac:dyDescent="0.25">
      <c r="A188" s="9" t="str">
        <f t="shared" si="1"/>
        <v/>
      </c>
      <c r="B188" s="2"/>
      <c r="C188" s="2"/>
      <c r="D188" s="2"/>
      <c r="E188" s="2"/>
      <c r="F188" s="2"/>
      <c r="G188" s="10"/>
      <c r="H188" s="11"/>
      <c r="I188" s="11"/>
      <c r="J188" s="11"/>
      <c r="K188" s="11"/>
      <c r="L188" s="11"/>
      <c r="M188" s="11"/>
      <c r="N188" s="11"/>
      <c r="O188" s="3"/>
    </row>
    <row r="189" spans="1:15" ht="37.5" customHeight="1" x14ac:dyDescent="0.25">
      <c r="A189" s="9" t="str">
        <f t="shared" si="1"/>
        <v/>
      </c>
      <c r="B189" s="2"/>
      <c r="C189" s="2"/>
      <c r="D189" s="2"/>
      <c r="E189" s="2"/>
      <c r="F189" s="2"/>
      <c r="G189" s="10"/>
      <c r="H189" s="11"/>
      <c r="I189" s="11"/>
      <c r="J189" s="11"/>
      <c r="K189" s="11"/>
      <c r="L189" s="11"/>
      <c r="M189" s="11"/>
      <c r="N189" s="11"/>
      <c r="O189" s="3"/>
    </row>
    <row r="190" spans="1:15" ht="37.5" customHeight="1" x14ac:dyDescent="0.25">
      <c r="A190" s="9" t="str">
        <f t="shared" si="1"/>
        <v/>
      </c>
      <c r="B190" s="2"/>
      <c r="C190" s="2"/>
      <c r="D190" s="2"/>
      <c r="E190" s="2"/>
      <c r="F190" s="2"/>
      <c r="G190" s="10"/>
      <c r="H190" s="11"/>
      <c r="I190" s="11"/>
      <c r="J190" s="11"/>
      <c r="K190" s="11"/>
      <c r="L190" s="11"/>
      <c r="M190" s="11"/>
      <c r="N190" s="11"/>
      <c r="O190" s="3"/>
    </row>
    <row r="191" spans="1:15" ht="37.5" customHeight="1" x14ac:dyDescent="0.25">
      <c r="A191" s="9" t="str">
        <f t="shared" si="1"/>
        <v/>
      </c>
      <c r="B191" s="2"/>
      <c r="C191" s="2"/>
      <c r="D191" s="2"/>
      <c r="E191" s="2"/>
      <c r="F191" s="2"/>
      <c r="G191" s="10"/>
      <c r="H191" s="11"/>
      <c r="I191" s="11"/>
      <c r="J191" s="11"/>
      <c r="K191" s="11"/>
      <c r="L191" s="11"/>
      <c r="M191" s="11"/>
      <c r="N191" s="11"/>
      <c r="O191" s="3"/>
    </row>
    <row r="192" spans="1:15" ht="37.5" customHeight="1" x14ac:dyDescent="0.25">
      <c r="A192" s="9" t="str">
        <f t="shared" si="1"/>
        <v/>
      </c>
      <c r="B192" s="2"/>
      <c r="C192" s="2"/>
      <c r="D192" s="2"/>
      <c r="E192" s="2"/>
      <c r="F192" s="2"/>
      <c r="G192" s="10"/>
      <c r="H192" s="11"/>
      <c r="I192" s="11"/>
      <c r="J192" s="11"/>
      <c r="K192" s="11"/>
      <c r="L192" s="11"/>
      <c r="M192" s="11"/>
      <c r="N192" s="11"/>
      <c r="O192" s="3"/>
    </row>
    <row r="193" spans="1:15" ht="37.5" customHeight="1" x14ac:dyDescent="0.25">
      <c r="A193" s="9" t="str">
        <f t="shared" si="1"/>
        <v/>
      </c>
      <c r="B193" s="2"/>
      <c r="C193" s="2"/>
      <c r="D193" s="2"/>
      <c r="E193" s="2"/>
      <c r="F193" s="2"/>
      <c r="G193" s="10"/>
      <c r="H193" s="11"/>
      <c r="I193" s="11"/>
      <c r="J193" s="11"/>
      <c r="K193" s="11"/>
      <c r="L193" s="11"/>
      <c r="M193" s="11"/>
      <c r="N193" s="11"/>
      <c r="O193" s="3"/>
    </row>
    <row r="194" spans="1:15" ht="37.5" customHeight="1" x14ac:dyDescent="0.25">
      <c r="A194" s="9" t="str">
        <f t="shared" si="1"/>
        <v/>
      </c>
      <c r="B194" s="2"/>
      <c r="C194" s="2"/>
      <c r="D194" s="2"/>
      <c r="E194" s="2"/>
      <c r="F194" s="2"/>
      <c r="G194" s="10"/>
      <c r="H194" s="11"/>
      <c r="I194" s="11"/>
      <c r="J194" s="11"/>
      <c r="K194" s="11"/>
      <c r="L194" s="11"/>
      <c r="M194" s="11"/>
      <c r="N194" s="11"/>
      <c r="O194" s="3"/>
    </row>
    <row r="195" spans="1:15" ht="37.5" customHeight="1" x14ac:dyDescent="0.25">
      <c r="A195" s="9" t="str">
        <f t="shared" si="1"/>
        <v/>
      </c>
      <c r="B195" s="2"/>
      <c r="C195" s="2"/>
      <c r="D195" s="2"/>
      <c r="E195" s="2"/>
      <c r="F195" s="2"/>
      <c r="G195" s="10"/>
      <c r="H195" s="11"/>
      <c r="I195" s="11"/>
      <c r="J195" s="11"/>
      <c r="K195" s="11"/>
      <c r="L195" s="11"/>
      <c r="M195" s="11"/>
      <c r="N195" s="11"/>
      <c r="O195" s="3"/>
    </row>
    <row r="196" spans="1:15" ht="37.5" customHeight="1" x14ac:dyDescent="0.25">
      <c r="A196" s="9" t="str">
        <f t="shared" si="1"/>
        <v/>
      </c>
      <c r="B196" s="2"/>
      <c r="C196" s="2"/>
      <c r="D196" s="2"/>
      <c r="E196" s="2"/>
      <c r="F196" s="2"/>
      <c r="G196" s="10"/>
      <c r="H196" s="11"/>
      <c r="I196" s="11"/>
      <c r="J196" s="11"/>
      <c r="K196" s="11"/>
      <c r="L196" s="11"/>
      <c r="M196" s="11"/>
      <c r="N196" s="11"/>
      <c r="O196" s="3"/>
    </row>
    <row r="197" spans="1:15" ht="37.5" customHeight="1" x14ac:dyDescent="0.25">
      <c r="A197" s="9" t="str">
        <f t="shared" si="1"/>
        <v/>
      </c>
      <c r="B197" s="2"/>
      <c r="C197" s="2"/>
      <c r="D197" s="2"/>
      <c r="E197" s="2"/>
      <c r="F197" s="2"/>
      <c r="G197" s="10"/>
      <c r="H197" s="11"/>
      <c r="I197" s="11"/>
      <c r="J197" s="11"/>
      <c r="K197" s="11"/>
      <c r="L197" s="11"/>
      <c r="M197" s="11"/>
      <c r="N197" s="11"/>
      <c r="O197" s="3"/>
    </row>
    <row r="198" spans="1:15" ht="37.5" customHeight="1" x14ac:dyDescent="0.25">
      <c r="A198" s="9" t="str">
        <f t="shared" si="1"/>
        <v/>
      </c>
      <c r="B198" s="2"/>
      <c r="C198" s="2"/>
      <c r="D198" s="2"/>
      <c r="E198" s="2"/>
      <c r="F198" s="2"/>
      <c r="G198" s="10"/>
      <c r="H198" s="11"/>
      <c r="I198" s="11"/>
      <c r="J198" s="11"/>
      <c r="K198" s="11"/>
      <c r="L198" s="11"/>
      <c r="M198" s="11"/>
      <c r="N198" s="11"/>
      <c r="O198" s="3"/>
    </row>
    <row r="199" spans="1:15" ht="37.5" customHeight="1" x14ac:dyDescent="0.25">
      <c r="A199" s="9" t="str">
        <f t="shared" si="1"/>
        <v/>
      </c>
      <c r="B199" s="2"/>
      <c r="C199" s="2"/>
      <c r="D199" s="2"/>
      <c r="E199" s="2"/>
      <c r="F199" s="2"/>
      <c r="G199" s="10"/>
      <c r="H199" s="11"/>
      <c r="I199" s="11"/>
      <c r="J199" s="11"/>
      <c r="K199" s="11"/>
      <c r="L199" s="11"/>
      <c r="M199" s="11"/>
      <c r="N199" s="11"/>
      <c r="O199" s="3"/>
    </row>
    <row r="200" spans="1:15" ht="37.5" customHeight="1" x14ac:dyDescent="0.25">
      <c r="A200" s="9" t="str">
        <f t="shared" si="1"/>
        <v/>
      </c>
      <c r="B200" s="2"/>
      <c r="C200" s="2"/>
      <c r="D200" s="2"/>
      <c r="E200" s="2"/>
      <c r="F200" s="2"/>
      <c r="G200" s="10"/>
      <c r="H200" s="11"/>
      <c r="I200" s="11"/>
      <c r="J200" s="11"/>
      <c r="K200" s="11"/>
      <c r="L200" s="11"/>
      <c r="M200" s="11"/>
      <c r="N200" s="11"/>
      <c r="O200" s="3"/>
    </row>
    <row r="201" spans="1:15" ht="37.5" customHeight="1" x14ac:dyDescent="0.25">
      <c r="A201" s="9" t="str">
        <f t="shared" si="1"/>
        <v/>
      </c>
      <c r="B201" s="2"/>
      <c r="C201" s="2"/>
      <c r="D201" s="2"/>
      <c r="E201" s="2"/>
      <c r="F201" s="2"/>
      <c r="G201" s="10"/>
      <c r="H201" s="11"/>
      <c r="I201" s="11"/>
      <c r="J201" s="11"/>
      <c r="K201" s="11"/>
      <c r="L201" s="11"/>
      <c r="M201" s="11"/>
      <c r="N201" s="11"/>
      <c r="O201" s="3"/>
    </row>
    <row r="202" spans="1:15" ht="37.5" customHeight="1" x14ac:dyDescent="0.25">
      <c r="A202" s="9" t="str">
        <f t="shared" si="1"/>
        <v/>
      </c>
      <c r="B202" s="2"/>
      <c r="C202" s="2"/>
      <c r="D202" s="2"/>
      <c r="E202" s="2"/>
      <c r="F202" s="2"/>
      <c r="G202" s="10"/>
      <c r="H202" s="11"/>
      <c r="I202" s="11"/>
      <c r="J202" s="11"/>
      <c r="K202" s="11"/>
      <c r="L202" s="11"/>
      <c r="M202" s="11"/>
      <c r="N202" s="11"/>
      <c r="O202" s="3"/>
    </row>
    <row r="203" spans="1:15" ht="37.5" customHeight="1" x14ac:dyDescent="0.25">
      <c r="A203" s="9" t="str">
        <f t="shared" si="1"/>
        <v/>
      </c>
      <c r="B203" s="2"/>
      <c r="C203" s="2"/>
      <c r="D203" s="2"/>
      <c r="E203" s="2"/>
      <c r="F203" s="2"/>
      <c r="G203" s="10"/>
      <c r="H203" s="11"/>
      <c r="I203" s="11"/>
      <c r="J203" s="11"/>
      <c r="K203" s="11"/>
      <c r="L203" s="11"/>
      <c r="M203" s="11"/>
      <c r="N203" s="11"/>
      <c r="O203" s="3"/>
    </row>
    <row r="204" spans="1:15" ht="37.5" customHeight="1" x14ac:dyDescent="0.25">
      <c r="A204" s="9" t="str">
        <f t="shared" si="1"/>
        <v/>
      </c>
      <c r="B204" s="2"/>
      <c r="C204" s="2"/>
      <c r="D204" s="2"/>
      <c r="E204" s="2"/>
      <c r="F204" s="2"/>
      <c r="G204" s="10"/>
      <c r="H204" s="11"/>
      <c r="I204" s="11"/>
      <c r="J204" s="11"/>
      <c r="K204" s="11"/>
      <c r="L204" s="11"/>
      <c r="M204" s="11"/>
      <c r="N204" s="11"/>
      <c r="O204" s="3"/>
    </row>
    <row r="205" spans="1:15" ht="37.5" customHeight="1" x14ac:dyDescent="0.25">
      <c r="A205" s="9" t="str">
        <f t="shared" si="1"/>
        <v/>
      </c>
      <c r="B205" s="2"/>
      <c r="C205" s="2"/>
      <c r="D205" s="2"/>
      <c r="E205" s="2"/>
      <c r="F205" s="2"/>
      <c r="G205" s="10"/>
      <c r="H205" s="11"/>
      <c r="I205" s="11"/>
      <c r="J205" s="11"/>
      <c r="K205" s="11"/>
      <c r="L205" s="11"/>
      <c r="M205" s="11"/>
      <c r="N205" s="11"/>
      <c r="O205" s="3"/>
    </row>
    <row r="206" spans="1:15" ht="37.5" customHeight="1" x14ac:dyDescent="0.25">
      <c r="A206" s="9" t="str">
        <f t="shared" si="1"/>
        <v/>
      </c>
      <c r="B206" s="2"/>
      <c r="C206" s="2"/>
      <c r="D206" s="2"/>
      <c r="E206" s="2"/>
      <c r="F206" s="2"/>
      <c r="G206" s="10"/>
      <c r="H206" s="11"/>
      <c r="I206" s="11"/>
      <c r="J206" s="11"/>
      <c r="K206" s="11"/>
      <c r="L206" s="11"/>
      <c r="M206" s="11"/>
      <c r="N206" s="11"/>
      <c r="O206" s="3"/>
    </row>
    <row r="207" spans="1:15" ht="37.5" customHeight="1" x14ac:dyDescent="0.25">
      <c r="A207" s="9" t="str">
        <f t="shared" si="1"/>
        <v/>
      </c>
      <c r="B207" s="2"/>
      <c r="C207" s="2"/>
      <c r="D207" s="2"/>
      <c r="E207" s="2"/>
      <c r="F207" s="2"/>
      <c r="G207" s="10"/>
      <c r="H207" s="11"/>
      <c r="I207" s="11"/>
      <c r="J207" s="11"/>
      <c r="K207" s="11"/>
      <c r="L207" s="11"/>
      <c r="M207" s="11"/>
      <c r="N207" s="11"/>
      <c r="O207" s="3"/>
    </row>
    <row r="208" spans="1:15" ht="37.5" customHeight="1" x14ac:dyDescent="0.25">
      <c r="A208" s="9" t="str">
        <f t="shared" si="1"/>
        <v/>
      </c>
      <c r="B208" s="2"/>
      <c r="C208" s="2"/>
      <c r="D208" s="2"/>
      <c r="E208" s="2"/>
      <c r="F208" s="2"/>
      <c r="G208" s="10"/>
      <c r="H208" s="11"/>
      <c r="I208" s="11"/>
      <c r="J208" s="11"/>
      <c r="K208" s="11"/>
      <c r="L208" s="11"/>
      <c r="M208" s="11"/>
      <c r="N208" s="11"/>
      <c r="O208" s="3"/>
    </row>
    <row r="209" spans="1:15" ht="37.5" customHeight="1" x14ac:dyDescent="0.25">
      <c r="A209" s="9" t="str">
        <f t="shared" si="1"/>
        <v/>
      </c>
      <c r="B209" s="2"/>
      <c r="C209" s="2"/>
      <c r="D209" s="2"/>
      <c r="E209" s="2"/>
      <c r="F209" s="2"/>
      <c r="G209" s="10"/>
      <c r="H209" s="11"/>
      <c r="I209" s="11"/>
      <c r="J209" s="11"/>
      <c r="K209" s="11"/>
      <c r="L209" s="11"/>
      <c r="M209" s="11"/>
      <c r="N209" s="11"/>
      <c r="O209" s="3"/>
    </row>
    <row r="210" spans="1:15" ht="37.5" customHeight="1" x14ac:dyDescent="0.25">
      <c r="A210" s="9" t="str">
        <f t="shared" si="1"/>
        <v/>
      </c>
      <c r="B210" s="2"/>
      <c r="C210" s="2"/>
      <c r="D210" s="2"/>
      <c r="E210" s="2"/>
      <c r="F210" s="2"/>
      <c r="G210" s="10"/>
      <c r="H210" s="11"/>
      <c r="I210" s="11"/>
      <c r="J210" s="11"/>
      <c r="K210" s="11"/>
      <c r="L210" s="11"/>
      <c r="M210" s="11"/>
      <c r="N210" s="11"/>
      <c r="O210" s="3"/>
    </row>
    <row r="211" spans="1:15" ht="37.5" customHeight="1" x14ac:dyDescent="0.25">
      <c r="A211" s="9" t="str">
        <f t="shared" si="1"/>
        <v/>
      </c>
      <c r="B211" s="2"/>
      <c r="C211" s="2"/>
      <c r="D211" s="2"/>
      <c r="E211" s="2"/>
      <c r="F211" s="2"/>
      <c r="G211" s="10"/>
      <c r="H211" s="11"/>
      <c r="I211" s="11"/>
      <c r="J211" s="11"/>
      <c r="K211" s="11"/>
      <c r="L211" s="11"/>
      <c r="M211" s="11"/>
      <c r="N211" s="11"/>
      <c r="O211" s="3"/>
    </row>
    <row r="212" spans="1:15" ht="37.5" customHeight="1" x14ac:dyDescent="0.25">
      <c r="A212" s="9" t="str">
        <f t="shared" si="1"/>
        <v/>
      </c>
      <c r="B212" s="2"/>
      <c r="C212" s="2"/>
      <c r="D212" s="2"/>
      <c r="E212" s="2"/>
      <c r="F212" s="2"/>
      <c r="G212" s="10"/>
      <c r="H212" s="11"/>
      <c r="I212" s="11"/>
      <c r="J212" s="11"/>
      <c r="K212" s="11"/>
      <c r="L212" s="11"/>
      <c r="M212" s="11"/>
      <c r="N212" s="11"/>
      <c r="O212" s="3"/>
    </row>
    <row r="213" spans="1:15" ht="37.5" customHeight="1" x14ac:dyDescent="0.25">
      <c r="A213" s="9" t="str">
        <f t="shared" si="1"/>
        <v/>
      </c>
      <c r="B213" s="2"/>
      <c r="C213" s="2"/>
      <c r="D213" s="2"/>
      <c r="E213" s="2"/>
      <c r="F213" s="2"/>
      <c r="G213" s="10"/>
      <c r="H213" s="11"/>
      <c r="I213" s="11"/>
      <c r="J213" s="11"/>
      <c r="K213" s="11"/>
      <c r="L213" s="11"/>
      <c r="M213" s="11"/>
      <c r="N213" s="11"/>
      <c r="O213" s="3"/>
    </row>
    <row r="214" spans="1:15" ht="37.5" customHeight="1" x14ac:dyDescent="0.25">
      <c r="A214" s="9" t="str">
        <f t="shared" si="1"/>
        <v/>
      </c>
      <c r="B214" s="2"/>
      <c r="C214" s="2"/>
      <c r="D214" s="2"/>
      <c r="E214" s="2"/>
      <c r="F214" s="2"/>
      <c r="G214" s="10"/>
      <c r="H214" s="11"/>
      <c r="I214" s="11"/>
      <c r="J214" s="11"/>
      <c r="K214" s="11"/>
      <c r="L214" s="11"/>
      <c r="M214" s="11"/>
      <c r="N214" s="11"/>
      <c r="O214" s="3"/>
    </row>
    <row r="215" spans="1:15" ht="37.5" customHeight="1" x14ac:dyDescent="0.25">
      <c r="A215" s="9" t="str">
        <f t="shared" si="1"/>
        <v/>
      </c>
      <c r="B215" s="2"/>
      <c r="C215" s="2"/>
      <c r="D215" s="2"/>
      <c r="E215" s="2"/>
      <c r="F215" s="2"/>
      <c r="G215" s="10"/>
      <c r="H215" s="11"/>
      <c r="I215" s="11"/>
      <c r="J215" s="11"/>
      <c r="K215" s="11"/>
      <c r="L215" s="11"/>
      <c r="M215" s="11"/>
      <c r="N215" s="11"/>
      <c r="O215" s="3"/>
    </row>
    <row r="216" spans="1:15" ht="37.5" customHeight="1" x14ac:dyDescent="0.25">
      <c r="A216" s="9" t="str">
        <f t="shared" si="1"/>
        <v/>
      </c>
      <c r="B216" s="2"/>
      <c r="C216" s="2"/>
      <c r="D216" s="2"/>
      <c r="E216" s="2"/>
      <c r="F216" s="2"/>
      <c r="G216" s="10"/>
      <c r="H216" s="11"/>
      <c r="I216" s="11"/>
      <c r="J216" s="11"/>
      <c r="K216" s="11"/>
      <c r="L216" s="11"/>
      <c r="M216" s="11"/>
      <c r="N216" s="11"/>
      <c r="O216" s="3"/>
    </row>
    <row r="217" spans="1:15" ht="37.5" customHeight="1" x14ac:dyDescent="0.25">
      <c r="A217" s="9" t="str">
        <f t="shared" si="1"/>
        <v/>
      </c>
      <c r="B217" s="2"/>
      <c r="C217" s="2"/>
      <c r="D217" s="2"/>
      <c r="E217" s="2"/>
      <c r="F217" s="2"/>
      <c r="G217" s="10"/>
      <c r="H217" s="11"/>
      <c r="I217" s="11"/>
      <c r="J217" s="11"/>
      <c r="K217" s="11"/>
      <c r="L217" s="11"/>
      <c r="M217" s="11"/>
      <c r="N217" s="11"/>
      <c r="O217" s="3"/>
    </row>
    <row r="218" spans="1:15" ht="37.5" customHeight="1" x14ac:dyDescent="0.25">
      <c r="A218" s="9" t="str">
        <f t="shared" si="1"/>
        <v/>
      </c>
      <c r="B218" s="2"/>
      <c r="C218" s="2"/>
      <c r="D218" s="2"/>
      <c r="E218" s="2"/>
      <c r="F218" s="2"/>
      <c r="G218" s="10"/>
      <c r="H218" s="11"/>
      <c r="I218" s="11"/>
      <c r="J218" s="11"/>
      <c r="K218" s="11"/>
      <c r="L218" s="11"/>
      <c r="M218" s="11"/>
      <c r="N218" s="11"/>
      <c r="O218" s="3"/>
    </row>
    <row r="219" spans="1:15" ht="37.5" customHeight="1" x14ac:dyDescent="0.25">
      <c r="A219" s="9" t="str">
        <f t="shared" si="1"/>
        <v/>
      </c>
      <c r="B219" s="2"/>
      <c r="C219" s="2"/>
      <c r="D219" s="2"/>
      <c r="E219" s="2"/>
      <c r="F219" s="2"/>
      <c r="G219" s="10"/>
      <c r="H219" s="11"/>
      <c r="I219" s="11"/>
      <c r="J219" s="11"/>
      <c r="K219" s="11"/>
      <c r="L219" s="11"/>
      <c r="M219" s="11"/>
      <c r="N219" s="11"/>
      <c r="O219" s="3"/>
    </row>
    <row r="220" spans="1:15" ht="37.5" customHeight="1" x14ac:dyDescent="0.25">
      <c r="A220" s="9" t="str">
        <f t="shared" si="1"/>
        <v/>
      </c>
      <c r="B220" s="2"/>
      <c r="C220" s="2"/>
      <c r="D220" s="2"/>
      <c r="E220" s="2"/>
      <c r="F220" s="2"/>
      <c r="G220" s="10"/>
      <c r="H220" s="11"/>
      <c r="I220" s="11"/>
      <c r="J220" s="11"/>
      <c r="K220" s="11"/>
      <c r="L220" s="11"/>
      <c r="M220" s="11"/>
      <c r="N220" s="11"/>
      <c r="O220" s="3"/>
    </row>
    <row r="221" spans="1:15" ht="37.5" customHeight="1" x14ac:dyDescent="0.25">
      <c r="A221" s="9" t="str">
        <f t="shared" si="1"/>
        <v/>
      </c>
      <c r="B221" s="2"/>
      <c r="C221" s="2"/>
      <c r="D221" s="2"/>
      <c r="E221" s="2"/>
      <c r="F221" s="2"/>
      <c r="G221" s="10"/>
      <c r="H221" s="11"/>
      <c r="I221" s="11"/>
      <c r="J221" s="11"/>
      <c r="K221" s="11"/>
      <c r="L221" s="11"/>
      <c r="M221" s="11"/>
      <c r="N221" s="11"/>
      <c r="O221" s="3"/>
    </row>
    <row r="222" spans="1:15" ht="37.5" customHeight="1" x14ac:dyDescent="0.25">
      <c r="A222" s="9" t="str">
        <f t="shared" si="1"/>
        <v/>
      </c>
      <c r="B222" s="2"/>
      <c r="C222" s="2"/>
      <c r="D222" s="2"/>
      <c r="E222" s="2"/>
      <c r="F222" s="2"/>
      <c r="G222" s="10"/>
      <c r="H222" s="11"/>
      <c r="I222" s="11"/>
      <c r="J222" s="11"/>
      <c r="K222" s="11"/>
      <c r="L222" s="11"/>
      <c r="M222" s="11"/>
      <c r="N222" s="11"/>
      <c r="O222" s="3"/>
    </row>
    <row r="223" spans="1:15" ht="37.5" customHeight="1" x14ac:dyDescent="0.25">
      <c r="A223" s="9" t="str">
        <f t="shared" si="1"/>
        <v/>
      </c>
      <c r="B223" s="2"/>
      <c r="C223" s="2"/>
      <c r="D223" s="2"/>
      <c r="E223" s="2"/>
      <c r="F223" s="2"/>
      <c r="G223" s="10"/>
      <c r="H223" s="11"/>
      <c r="I223" s="11"/>
      <c r="J223" s="11"/>
      <c r="K223" s="11"/>
      <c r="L223" s="11"/>
      <c r="M223" s="11"/>
      <c r="N223" s="11"/>
      <c r="O223" s="3"/>
    </row>
    <row r="224" spans="1:15" ht="37.5" customHeight="1" x14ac:dyDescent="0.25">
      <c r="A224" s="9" t="str">
        <f t="shared" si="1"/>
        <v/>
      </c>
      <c r="B224" s="2"/>
      <c r="C224" s="2"/>
      <c r="D224" s="2"/>
      <c r="E224" s="2"/>
      <c r="F224" s="2"/>
      <c r="G224" s="10"/>
      <c r="H224" s="11"/>
      <c r="I224" s="11"/>
      <c r="J224" s="11"/>
      <c r="K224" s="11"/>
      <c r="L224" s="11"/>
      <c r="M224" s="11"/>
      <c r="N224" s="11"/>
      <c r="O224" s="3"/>
    </row>
    <row r="225" spans="1:15" ht="37.5" customHeight="1" x14ac:dyDescent="0.25">
      <c r="A225" s="9" t="str">
        <f t="shared" si="1"/>
        <v/>
      </c>
      <c r="B225" s="2"/>
      <c r="C225" s="2"/>
      <c r="D225" s="2"/>
      <c r="E225" s="2"/>
      <c r="F225" s="2"/>
      <c r="G225" s="10"/>
      <c r="H225" s="11"/>
      <c r="I225" s="11"/>
      <c r="J225" s="11"/>
      <c r="K225" s="11"/>
      <c r="L225" s="11"/>
      <c r="M225" s="11"/>
      <c r="N225" s="11"/>
      <c r="O225" s="3"/>
    </row>
    <row r="226" spans="1:15" ht="37.5" customHeight="1" x14ac:dyDescent="0.25">
      <c r="A226" s="9" t="str">
        <f t="shared" si="1"/>
        <v/>
      </c>
      <c r="B226" s="2"/>
      <c r="C226" s="2"/>
      <c r="D226" s="2"/>
      <c r="E226" s="2"/>
      <c r="F226" s="2"/>
      <c r="G226" s="10"/>
      <c r="H226" s="11"/>
      <c r="I226" s="11"/>
      <c r="J226" s="11"/>
      <c r="K226" s="11"/>
      <c r="L226" s="11"/>
      <c r="M226" s="11"/>
      <c r="N226" s="11"/>
      <c r="O226" s="3"/>
    </row>
    <row r="227" spans="1:15" ht="37.5" customHeight="1" x14ac:dyDescent="0.25">
      <c r="A227" s="9" t="str">
        <f t="shared" si="1"/>
        <v/>
      </c>
      <c r="B227" s="2"/>
      <c r="C227" s="2"/>
      <c r="D227" s="2"/>
      <c r="E227" s="2"/>
      <c r="F227" s="2"/>
      <c r="G227" s="10"/>
      <c r="H227" s="11"/>
      <c r="I227" s="11"/>
      <c r="J227" s="11"/>
      <c r="K227" s="11"/>
      <c r="L227" s="11"/>
      <c r="M227" s="11"/>
      <c r="N227" s="11"/>
      <c r="O227" s="3"/>
    </row>
    <row r="228" spans="1:15" ht="37.5" customHeight="1" x14ac:dyDescent="0.25">
      <c r="A228" s="9" t="str">
        <f t="shared" si="1"/>
        <v/>
      </c>
      <c r="B228" s="2"/>
      <c r="C228" s="2"/>
      <c r="D228" s="2"/>
      <c r="E228" s="2"/>
      <c r="F228" s="2"/>
      <c r="G228" s="10"/>
      <c r="H228" s="11"/>
      <c r="I228" s="11"/>
      <c r="J228" s="11"/>
      <c r="K228" s="11"/>
      <c r="L228" s="11"/>
      <c r="M228" s="11"/>
      <c r="N228" s="11"/>
      <c r="O228" s="3"/>
    </row>
    <row r="229" spans="1:15" ht="37.5" customHeight="1" x14ac:dyDescent="0.25">
      <c r="A229" s="9" t="str">
        <f t="shared" si="1"/>
        <v/>
      </c>
      <c r="B229" s="2"/>
      <c r="C229" s="2"/>
      <c r="D229" s="2"/>
      <c r="E229" s="2"/>
      <c r="F229" s="2"/>
      <c r="G229" s="10"/>
      <c r="H229" s="11"/>
      <c r="I229" s="11"/>
      <c r="J229" s="11"/>
      <c r="K229" s="11"/>
      <c r="L229" s="11"/>
      <c r="M229" s="11"/>
      <c r="N229" s="11"/>
      <c r="O229" s="3"/>
    </row>
    <row r="230" spans="1:15" ht="37.5" customHeight="1" x14ac:dyDescent="0.25">
      <c r="A230" s="9" t="str">
        <f t="shared" si="1"/>
        <v/>
      </c>
      <c r="B230" s="2"/>
      <c r="C230" s="2"/>
      <c r="D230" s="2"/>
      <c r="E230" s="2"/>
      <c r="F230" s="2"/>
      <c r="G230" s="10"/>
      <c r="H230" s="11"/>
      <c r="I230" s="11"/>
      <c r="J230" s="11"/>
      <c r="K230" s="11"/>
      <c r="L230" s="11"/>
      <c r="M230" s="11"/>
      <c r="N230" s="11"/>
      <c r="O230" s="3"/>
    </row>
    <row r="231" spans="1:15" ht="37.5" customHeight="1" x14ac:dyDescent="0.25">
      <c r="A231" s="9" t="str">
        <f t="shared" si="1"/>
        <v/>
      </c>
      <c r="B231" s="2"/>
      <c r="C231" s="2"/>
      <c r="D231" s="2"/>
      <c r="E231" s="2"/>
      <c r="F231" s="2"/>
      <c r="G231" s="10"/>
      <c r="H231" s="11"/>
      <c r="I231" s="11"/>
      <c r="J231" s="11"/>
      <c r="K231" s="11"/>
      <c r="L231" s="11"/>
      <c r="M231" s="11"/>
      <c r="N231" s="11"/>
      <c r="O231" s="3"/>
    </row>
    <row r="232" spans="1:15" ht="37.5" customHeight="1" x14ac:dyDescent="0.25">
      <c r="A232" s="9" t="str">
        <f t="shared" si="1"/>
        <v/>
      </c>
      <c r="B232" s="2"/>
      <c r="C232" s="2"/>
      <c r="D232" s="2"/>
      <c r="E232" s="2"/>
      <c r="F232" s="2"/>
      <c r="G232" s="10"/>
      <c r="H232" s="11"/>
      <c r="I232" s="11"/>
      <c r="J232" s="11"/>
      <c r="K232" s="11"/>
      <c r="L232" s="11"/>
      <c r="M232" s="11"/>
      <c r="N232" s="11"/>
      <c r="O232" s="3"/>
    </row>
    <row r="233" spans="1:15" ht="37.5" customHeight="1" x14ac:dyDescent="0.25">
      <c r="A233" s="9" t="str">
        <f t="shared" si="1"/>
        <v/>
      </c>
      <c r="B233" s="2"/>
      <c r="C233" s="2"/>
      <c r="D233" s="2"/>
      <c r="E233" s="2"/>
      <c r="F233" s="2"/>
      <c r="G233" s="10"/>
      <c r="H233" s="11"/>
      <c r="I233" s="11"/>
      <c r="J233" s="11"/>
      <c r="K233" s="11"/>
      <c r="L233" s="11"/>
      <c r="M233" s="11"/>
      <c r="N233" s="11"/>
      <c r="O233" s="3"/>
    </row>
    <row r="234" spans="1:15" ht="37.5" customHeight="1" x14ac:dyDescent="0.25">
      <c r="A234" s="9" t="str">
        <f t="shared" si="1"/>
        <v/>
      </c>
      <c r="B234" s="2"/>
      <c r="C234" s="2"/>
      <c r="D234" s="2"/>
      <c r="E234" s="2"/>
      <c r="F234" s="2"/>
      <c r="G234" s="10"/>
      <c r="H234" s="11"/>
      <c r="I234" s="11"/>
      <c r="J234" s="11"/>
      <c r="K234" s="11"/>
      <c r="L234" s="11"/>
      <c r="M234" s="11"/>
      <c r="N234" s="11"/>
      <c r="O234" s="3"/>
    </row>
    <row r="235" spans="1:15" ht="37.5" customHeight="1" x14ac:dyDescent="0.25">
      <c r="A235" s="9" t="str">
        <f t="shared" si="1"/>
        <v/>
      </c>
      <c r="B235" s="2"/>
      <c r="C235" s="2"/>
      <c r="D235" s="2"/>
      <c r="E235" s="2"/>
      <c r="F235" s="2"/>
      <c r="G235" s="10"/>
      <c r="H235" s="11"/>
      <c r="I235" s="11"/>
      <c r="J235" s="11"/>
      <c r="K235" s="11"/>
      <c r="L235" s="11"/>
      <c r="M235" s="11"/>
      <c r="N235" s="11"/>
      <c r="O235" s="3"/>
    </row>
    <row r="236" spans="1:15" ht="37.5" customHeight="1" x14ac:dyDescent="0.25">
      <c r="A236" s="9" t="str">
        <f t="shared" si="1"/>
        <v/>
      </c>
      <c r="B236" s="2"/>
      <c r="C236" s="2"/>
      <c r="D236" s="2"/>
      <c r="E236" s="2"/>
      <c r="F236" s="2"/>
      <c r="G236" s="10"/>
      <c r="H236" s="11"/>
      <c r="I236" s="11"/>
      <c r="J236" s="11"/>
      <c r="K236" s="11"/>
      <c r="L236" s="11"/>
      <c r="M236" s="11"/>
      <c r="N236" s="11"/>
      <c r="O236" s="3"/>
    </row>
    <row r="237" spans="1:15" ht="37.5" customHeight="1" x14ac:dyDescent="0.25">
      <c r="A237" s="9" t="str">
        <f t="shared" si="1"/>
        <v/>
      </c>
      <c r="B237" s="2"/>
      <c r="C237" s="2"/>
      <c r="D237" s="2"/>
      <c r="E237" s="2"/>
      <c r="F237" s="2"/>
      <c r="G237" s="10"/>
      <c r="H237" s="11"/>
      <c r="I237" s="11"/>
      <c r="J237" s="11"/>
      <c r="K237" s="11"/>
      <c r="L237" s="11"/>
      <c r="M237" s="11"/>
      <c r="N237" s="11"/>
      <c r="O237" s="3"/>
    </row>
    <row r="238" spans="1:15" ht="37.5" customHeight="1" x14ac:dyDescent="0.25">
      <c r="A238" s="9" t="str">
        <f t="shared" si="1"/>
        <v/>
      </c>
      <c r="B238" s="2"/>
      <c r="C238" s="2"/>
      <c r="D238" s="2"/>
      <c r="E238" s="2"/>
      <c r="F238" s="2"/>
      <c r="G238" s="10"/>
      <c r="H238" s="11"/>
      <c r="I238" s="11"/>
      <c r="J238" s="11"/>
      <c r="K238" s="11"/>
      <c r="L238" s="11"/>
      <c r="M238" s="11"/>
      <c r="N238" s="11"/>
      <c r="O238" s="3"/>
    </row>
    <row r="239" spans="1:15" ht="37.5" customHeight="1" x14ac:dyDescent="0.25">
      <c r="A239" s="9" t="str">
        <f t="shared" si="1"/>
        <v/>
      </c>
      <c r="B239" s="2"/>
      <c r="C239" s="2"/>
      <c r="D239" s="2"/>
      <c r="E239" s="2"/>
      <c r="F239" s="2"/>
      <c r="G239" s="10"/>
      <c r="H239" s="11"/>
      <c r="I239" s="11"/>
      <c r="J239" s="11"/>
      <c r="K239" s="11"/>
      <c r="L239" s="11"/>
      <c r="M239" s="11"/>
      <c r="N239" s="11"/>
      <c r="O239" s="3"/>
    </row>
    <row r="240" spans="1:15" ht="37.5" customHeight="1" x14ac:dyDescent="0.25">
      <c r="A240" s="9" t="str">
        <f t="shared" si="1"/>
        <v/>
      </c>
      <c r="B240" s="2"/>
      <c r="C240" s="2"/>
      <c r="D240" s="2"/>
      <c r="E240" s="2"/>
      <c r="F240" s="2"/>
      <c r="G240" s="10"/>
      <c r="H240" s="11"/>
      <c r="I240" s="11"/>
      <c r="J240" s="11"/>
      <c r="K240" s="11"/>
      <c r="L240" s="11"/>
      <c r="M240" s="11"/>
      <c r="N240" s="11"/>
      <c r="O240" s="3"/>
    </row>
    <row r="241" spans="1:15" ht="37.5" customHeight="1" x14ac:dyDescent="0.25">
      <c r="A241" s="9" t="str">
        <f t="shared" si="1"/>
        <v/>
      </c>
      <c r="B241" s="2"/>
      <c r="C241" s="2"/>
      <c r="D241" s="2"/>
      <c r="E241" s="2"/>
      <c r="F241" s="2"/>
      <c r="G241" s="10"/>
      <c r="H241" s="11"/>
      <c r="I241" s="11"/>
      <c r="J241" s="11"/>
      <c r="K241" s="11"/>
      <c r="L241" s="11"/>
      <c r="M241" s="11"/>
      <c r="N241" s="11"/>
      <c r="O241" s="3"/>
    </row>
    <row r="242" spans="1:15" ht="37.5" customHeight="1" x14ac:dyDescent="0.25">
      <c r="A242" s="9" t="str">
        <f t="shared" si="1"/>
        <v/>
      </c>
      <c r="B242" s="2"/>
      <c r="C242" s="2"/>
      <c r="D242" s="2"/>
      <c r="E242" s="2"/>
      <c r="F242" s="2"/>
      <c r="G242" s="10"/>
      <c r="H242" s="11"/>
      <c r="I242" s="11"/>
      <c r="J242" s="11"/>
      <c r="K242" s="11"/>
      <c r="L242" s="11"/>
      <c r="M242" s="11"/>
      <c r="N242" s="11"/>
      <c r="O242" s="3"/>
    </row>
    <row r="243" spans="1:15" ht="37.5" customHeight="1" x14ac:dyDescent="0.25">
      <c r="A243" s="9" t="str">
        <f t="shared" si="1"/>
        <v/>
      </c>
      <c r="B243" s="2"/>
      <c r="C243" s="2"/>
      <c r="D243" s="2"/>
      <c r="E243" s="2"/>
      <c r="F243" s="2"/>
      <c r="G243" s="10"/>
      <c r="H243" s="11"/>
      <c r="I243" s="11"/>
      <c r="J243" s="11"/>
      <c r="K243" s="11"/>
      <c r="L243" s="11"/>
      <c r="M243" s="11"/>
      <c r="N243" s="11"/>
      <c r="O243" s="3"/>
    </row>
    <row r="244" spans="1:15" ht="37.5" customHeight="1" x14ac:dyDescent="0.25">
      <c r="A244" s="9" t="str">
        <f t="shared" si="1"/>
        <v/>
      </c>
      <c r="B244" s="2"/>
      <c r="C244" s="2"/>
      <c r="D244" s="2"/>
      <c r="E244" s="2"/>
      <c r="F244" s="2"/>
      <c r="G244" s="10"/>
      <c r="H244" s="11"/>
      <c r="I244" s="11"/>
      <c r="J244" s="11"/>
      <c r="K244" s="11"/>
      <c r="L244" s="11"/>
      <c r="M244" s="11"/>
      <c r="N244" s="11"/>
      <c r="O244" s="3"/>
    </row>
    <row r="245" spans="1:15" ht="37.5" customHeight="1" x14ac:dyDescent="0.25">
      <c r="A245" s="9" t="str">
        <f t="shared" si="1"/>
        <v/>
      </c>
      <c r="B245" s="2"/>
      <c r="C245" s="2"/>
      <c r="D245" s="2"/>
      <c r="E245" s="2"/>
      <c r="F245" s="2"/>
      <c r="G245" s="10"/>
      <c r="H245" s="11"/>
      <c r="I245" s="11"/>
      <c r="J245" s="11"/>
      <c r="K245" s="11"/>
      <c r="L245" s="11"/>
      <c r="M245" s="11"/>
      <c r="N245" s="11"/>
      <c r="O245" s="3"/>
    </row>
    <row r="246" spans="1:15" ht="37.5" customHeight="1" x14ac:dyDescent="0.25">
      <c r="A246" s="9" t="str">
        <f t="shared" si="1"/>
        <v/>
      </c>
      <c r="B246" s="2"/>
      <c r="C246" s="2"/>
      <c r="D246" s="2"/>
      <c r="E246" s="2"/>
      <c r="F246" s="2"/>
      <c r="G246" s="10"/>
      <c r="H246" s="11"/>
      <c r="I246" s="11"/>
      <c r="J246" s="11"/>
      <c r="K246" s="11"/>
      <c r="L246" s="11"/>
      <c r="M246" s="11"/>
      <c r="N246" s="11"/>
      <c r="O246" s="3"/>
    </row>
    <row r="247" spans="1:15" ht="37.5" customHeight="1" x14ac:dyDescent="0.25">
      <c r="A247" s="9" t="str">
        <f t="shared" si="1"/>
        <v/>
      </c>
      <c r="B247" s="2"/>
      <c r="C247" s="2"/>
      <c r="D247" s="2"/>
      <c r="E247" s="2"/>
      <c r="F247" s="2"/>
      <c r="G247" s="10"/>
      <c r="H247" s="11"/>
      <c r="I247" s="11"/>
      <c r="J247" s="11"/>
      <c r="K247" s="11"/>
      <c r="L247" s="11"/>
      <c r="M247" s="11"/>
      <c r="N247" s="11"/>
      <c r="O247" s="3"/>
    </row>
    <row r="248" spans="1:15" ht="37.5" customHeight="1" x14ac:dyDescent="0.25">
      <c r="A248" s="9" t="str">
        <f t="shared" si="1"/>
        <v/>
      </c>
      <c r="B248" s="2"/>
      <c r="C248" s="2"/>
      <c r="D248" s="2"/>
      <c r="E248" s="2"/>
      <c r="F248" s="2"/>
      <c r="G248" s="10"/>
      <c r="H248" s="11"/>
      <c r="I248" s="11"/>
      <c r="J248" s="11"/>
      <c r="K248" s="11"/>
      <c r="L248" s="11"/>
      <c r="M248" s="11"/>
      <c r="N248" s="11"/>
      <c r="O248" s="3"/>
    </row>
    <row r="249" spans="1:15" ht="37.5" customHeight="1" x14ac:dyDescent="0.25">
      <c r="A249" s="9" t="str">
        <f t="shared" si="1"/>
        <v/>
      </c>
      <c r="B249" s="2"/>
      <c r="C249" s="2"/>
      <c r="D249" s="2"/>
      <c r="E249" s="2"/>
      <c r="F249" s="2"/>
      <c r="G249" s="10"/>
      <c r="H249" s="11"/>
      <c r="I249" s="11"/>
      <c r="J249" s="11"/>
      <c r="K249" s="11"/>
      <c r="L249" s="11"/>
      <c r="M249" s="11"/>
      <c r="N249" s="11"/>
      <c r="O249" s="3"/>
    </row>
    <row r="250" spans="1:15" ht="37.5" customHeight="1" x14ac:dyDescent="0.25">
      <c r="A250" s="9" t="str">
        <f t="shared" si="1"/>
        <v/>
      </c>
      <c r="B250" s="2"/>
      <c r="C250" s="2"/>
      <c r="D250" s="2"/>
      <c r="E250" s="2"/>
      <c r="F250" s="2"/>
      <c r="G250" s="10"/>
      <c r="H250" s="11"/>
      <c r="I250" s="11"/>
      <c r="J250" s="11"/>
      <c r="K250" s="11"/>
      <c r="L250" s="11"/>
      <c r="M250" s="11"/>
      <c r="N250" s="11"/>
      <c r="O250" s="3"/>
    </row>
    <row r="251" spans="1:15" ht="37.5" customHeight="1" x14ac:dyDescent="0.25">
      <c r="A251" s="9" t="str">
        <f t="shared" si="1"/>
        <v/>
      </c>
      <c r="B251" s="2"/>
      <c r="C251" s="2"/>
      <c r="D251" s="2"/>
      <c r="E251" s="2"/>
      <c r="F251" s="2"/>
      <c r="G251" s="10"/>
      <c r="H251" s="11"/>
      <c r="I251" s="11"/>
      <c r="J251" s="11"/>
      <c r="K251" s="11"/>
      <c r="L251" s="11"/>
      <c r="M251" s="11"/>
      <c r="N251" s="11"/>
      <c r="O251" s="3"/>
    </row>
    <row r="252" spans="1:15" ht="37.5" customHeight="1" x14ac:dyDescent="0.25">
      <c r="A252" s="9" t="str">
        <f t="shared" si="1"/>
        <v/>
      </c>
      <c r="B252" s="2"/>
      <c r="C252" s="2"/>
      <c r="D252" s="2"/>
      <c r="E252" s="2"/>
      <c r="F252" s="2"/>
      <c r="G252" s="10"/>
      <c r="H252" s="11"/>
      <c r="I252" s="11"/>
      <c r="J252" s="11"/>
      <c r="K252" s="11"/>
      <c r="L252" s="11"/>
      <c r="M252" s="11"/>
      <c r="N252" s="11"/>
      <c r="O252" s="3"/>
    </row>
    <row r="253" spans="1:15" ht="37.5" customHeight="1" x14ac:dyDescent="0.25">
      <c r="A253" s="9" t="str">
        <f t="shared" si="1"/>
        <v/>
      </c>
      <c r="B253" s="2"/>
      <c r="C253" s="2"/>
      <c r="D253" s="2"/>
      <c r="E253" s="2"/>
      <c r="F253" s="2"/>
      <c r="G253" s="10"/>
      <c r="H253" s="11"/>
      <c r="I253" s="11"/>
      <c r="J253" s="11"/>
      <c r="K253" s="11"/>
      <c r="L253" s="11"/>
      <c r="M253" s="11"/>
      <c r="N253" s="11"/>
      <c r="O253" s="3"/>
    </row>
    <row r="254" spans="1:15" ht="37.5" customHeight="1" x14ac:dyDescent="0.25">
      <c r="A254" s="9" t="str">
        <f t="shared" si="1"/>
        <v/>
      </c>
      <c r="B254" s="2"/>
      <c r="C254" s="2"/>
      <c r="D254" s="2"/>
      <c r="E254" s="2"/>
      <c r="F254" s="2"/>
      <c r="G254" s="10"/>
      <c r="H254" s="11"/>
      <c r="I254" s="11"/>
      <c r="J254" s="11"/>
      <c r="K254" s="11"/>
      <c r="L254" s="11"/>
      <c r="M254" s="11"/>
      <c r="N254" s="11"/>
      <c r="O254" s="3"/>
    </row>
    <row r="255" spans="1:15" ht="37.5" customHeight="1" x14ac:dyDescent="0.25">
      <c r="A255" s="9" t="str">
        <f t="shared" si="1"/>
        <v/>
      </c>
      <c r="B255" s="2"/>
      <c r="C255" s="2"/>
      <c r="D255" s="2"/>
      <c r="E255" s="2"/>
      <c r="F255" s="2"/>
      <c r="G255" s="10"/>
      <c r="H255" s="11"/>
      <c r="I255" s="11"/>
      <c r="J255" s="11"/>
      <c r="K255" s="11"/>
      <c r="L255" s="11"/>
      <c r="M255" s="11"/>
      <c r="N255" s="11"/>
      <c r="O255" s="3"/>
    </row>
    <row r="256" spans="1:15" ht="37.5" customHeight="1" x14ac:dyDescent="0.25">
      <c r="A256" s="9" t="str">
        <f t="shared" si="1"/>
        <v/>
      </c>
      <c r="B256" s="2"/>
      <c r="C256" s="2"/>
      <c r="D256" s="2"/>
      <c r="E256" s="2"/>
      <c r="F256" s="2"/>
      <c r="G256" s="10"/>
      <c r="H256" s="11"/>
      <c r="I256" s="11"/>
      <c r="J256" s="11"/>
      <c r="K256" s="11"/>
      <c r="L256" s="11"/>
      <c r="M256" s="11"/>
      <c r="N256" s="11"/>
      <c r="O256" s="3"/>
    </row>
    <row r="257" spans="1:15" ht="37.5" customHeight="1" x14ac:dyDescent="0.25">
      <c r="A257" s="9" t="str">
        <f t="shared" si="1"/>
        <v/>
      </c>
      <c r="B257" s="2"/>
      <c r="C257" s="2"/>
      <c r="D257" s="2"/>
      <c r="E257" s="2"/>
      <c r="F257" s="2"/>
      <c r="G257" s="10"/>
      <c r="H257" s="11"/>
      <c r="I257" s="11"/>
      <c r="J257" s="11"/>
      <c r="K257" s="11"/>
      <c r="L257" s="11"/>
      <c r="M257" s="11"/>
      <c r="N257" s="11"/>
      <c r="O257" s="3"/>
    </row>
    <row r="258" spans="1:15" ht="37.5" customHeight="1" x14ac:dyDescent="0.25">
      <c r="A258" s="9" t="str">
        <f t="shared" si="1"/>
        <v/>
      </c>
      <c r="B258" s="2"/>
      <c r="C258" s="2"/>
      <c r="D258" s="2"/>
      <c r="E258" s="2"/>
      <c r="F258" s="2"/>
      <c r="G258" s="10"/>
      <c r="H258" s="11"/>
      <c r="I258" s="11"/>
      <c r="J258" s="11"/>
      <c r="K258" s="11"/>
      <c r="L258" s="11"/>
      <c r="M258" s="11"/>
      <c r="N258" s="11"/>
      <c r="O258" s="3"/>
    </row>
    <row r="259" spans="1:15" ht="37.5" customHeight="1" x14ac:dyDescent="0.25">
      <c r="A259" s="9" t="str">
        <f t="shared" si="1"/>
        <v/>
      </c>
      <c r="B259" s="2"/>
      <c r="C259" s="2"/>
      <c r="D259" s="2"/>
      <c r="E259" s="2"/>
      <c r="F259" s="2"/>
      <c r="G259" s="10"/>
      <c r="H259" s="11"/>
      <c r="I259" s="11"/>
      <c r="J259" s="11"/>
      <c r="K259" s="11"/>
      <c r="L259" s="11"/>
      <c r="M259" s="11"/>
      <c r="N259" s="11"/>
      <c r="O259" s="3"/>
    </row>
    <row r="260" spans="1:15" ht="37.5" customHeight="1" x14ac:dyDescent="0.25">
      <c r="A260" s="9" t="str">
        <f t="shared" si="1"/>
        <v/>
      </c>
      <c r="B260" s="2"/>
      <c r="C260" s="2"/>
      <c r="D260" s="2"/>
      <c r="E260" s="2"/>
      <c r="F260" s="2"/>
      <c r="G260" s="10"/>
      <c r="H260" s="11"/>
      <c r="I260" s="11"/>
      <c r="J260" s="11"/>
      <c r="K260" s="11"/>
      <c r="L260" s="11"/>
      <c r="M260" s="11"/>
      <c r="N260" s="11"/>
      <c r="O260" s="3"/>
    </row>
    <row r="261" spans="1:15" ht="37.5" customHeight="1" x14ac:dyDescent="0.25">
      <c r="A261" s="9" t="str">
        <f t="shared" si="1"/>
        <v/>
      </c>
      <c r="B261" s="2"/>
      <c r="C261" s="2"/>
      <c r="D261" s="2"/>
      <c r="E261" s="2"/>
      <c r="F261" s="2"/>
      <c r="G261" s="10"/>
      <c r="H261" s="11"/>
      <c r="I261" s="11"/>
      <c r="J261" s="11"/>
      <c r="K261" s="11"/>
      <c r="L261" s="11"/>
      <c r="M261" s="11"/>
      <c r="N261" s="11"/>
      <c r="O261" s="3"/>
    </row>
    <row r="262" spans="1:15" ht="37.5" customHeight="1" x14ac:dyDescent="0.25">
      <c r="A262" s="9" t="str">
        <f t="shared" si="1"/>
        <v/>
      </c>
      <c r="B262" s="2"/>
      <c r="C262" s="2"/>
      <c r="D262" s="2"/>
      <c r="E262" s="2"/>
      <c r="F262" s="2"/>
      <c r="G262" s="10"/>
      <c r="H262" s="11"/>
      <c r="I262" s="11"/>
      <c r="J262" s="11"/>
      <c r="K262" s="11"/>
      <c r="L262" s="11"/>
      <c r="M262" s="11"/>
      <c r="N262" s="11"/>
      <c r="O262" s="3"/>
    </row>
    <row r="263" spans="1:15" ht="37.5" customHeight="1" x14ac:dyDescent="0.25">
      <c r="A263" s="9" t="str">
        <f t="shared" si="1"/>
        <v/>
      </c>
      <c r="B263" s="2"/>
      <c r="C263" s="2"/>
      <c r="D263" s="2"/>
      <c r="E263" s="2"/>
      <c r="F263" s="2"/>
      <c r="G263" s="10"/>
      <c r="H263" s="11"/>
      <c r="I263" s="11"/>
      <c r="J263" s="11"/>
      <c r="K263" s="11"/>
      <c r="L263" s="11"/>
      <c r="M263" s="11"/>
      <c r="N263" s="11"/>
      <c r="O263" s="3"/>
    </row>
    <row r="264" spans="1:15" ht="37.5" customHeight="1" x14ac:dyDescent="0.25">
      <c r="A264" s="9" t="str">
        <f t="shared" si="1"/>
        <v/>
      </c>
      <c r="B264" s="2"/>
      <c r="C264" s="2"/>
      <c r="D264" s="2"/>
      <c r="E264" s="2"/>
      <c r="F264" s="2"/>
      <c r="G264" s="10"/>
      <c r="H264" s="11"/>
      <c r="I264" s="11"/>
      <c r="J264" s="11"/>
      <c r="K264" s="11"/>
      <c r="L264" s="11"/>
      <c r="M264" s="11"/>
      <c r="N264" s="11"/>
      <c r="O264" s="3"/>
    </row>
    <row r="265" spans="1:15" ht="37.5" customHeight="1" x14ac:dyDescent="0.25">
      <c r="A265" s="9" t="str">
        <f t="shared" si="1"/>
        <v/>
      </c>
      <c r="B265" s="2"/>
      <c r="C265" s="2"/>
      <c r="D265" s="2"/>
      <c r="E265" s="2"/>
      <c r="F265" s="2"/>
      <c r="G265" s="10"/>
      <c r="H265" s="11"/>
      <c r="I265" s="11"/>
      <c r="J265" s="11"/>
      <c r="K265" s="11"/>
      <c r="L265" s="11"/>
      <c r="M265" s="11"/>
      <c r="N265" s="11"/>
      <c r="O265" s="3"/>
    </row>
    <row r="266" spans="1:15" ht="37.5" customHeight="1" x14ac:dyDescent="0.25">
      <c r="A266" s="9" t="str">
        <f t="shared" si="1"/>
        <v/>
      </c>
      <c r="B266" s="2"/>
      <c r="C266" s="2"/>
      <c r="D266" s="2"/>
      <c r="E266" s="2"/>
      <c r="F266" s="2"/>
      <c r="G266" s="10"/>
      <c r="H266" s="11"/>
      <c r="I266" s="11"/>
      <c r="J266" s="11"/>
      <c r="K266" s="11"/>
      <c r="L266" s="11"/>
      <c r="M266" s="11"/>
      <c r="N266" s="11"/>
      <c r="O266" s="3"/>
    </row>
    <row r="267" spans="1:15" ht="37.5" customHeight="1" x14ac:dyDescent="0.25">
      <c r="A267" s="9" t="str">
        <f t="shared" si="1"/>
        <v/>
      </c>
      <c r="B267" s="2"/>
      <c r="C267" s="2"/>
      <c r="D267" s="2"/>
      <c r="E267" s="2"/>
      <c r="F267" s="2"/>
      <c r="G267" s="10"/>
      <c r="H267" s="11"/>
      <c r="I267" s="11"/>
      <c r="J267" s="11"/>
      <c r="K267" s="11"/>
      <c r="L267" s="11"/>
      <c r="M267" s="11"/>
      <c r="N267" s="11"/>
      <c r="O267" s="3"/>
    </row>
    <row r="268" spans="1:15" ht="37.5" customHeight="1" x14ac:dyDescent="0.25">
      <c r="A268" s="9" t="str">
        <f t="shared" si="1"/>
        <v/>
      </c>
      <c r="B268" s="2"/>
      <c r="C268" s="2"/>
      <c r="D268" s="2"/>
      <c r="E268" s="2"/>
      <c r="F268" s="2"/>
      <c r="G268" s="10"/>
      <c r="H268" s="11"/>
      <c r="I268" s="11"/>
      <c r="J268" s="11"/>
      <c r="K268" s="11"/>
      <c r="L268" s="11"/>
      <c r="M268" s="11"/>
      <c r="N268" s="11"/>
      <c r="O268" s="3"/>
    </row>
    <row r="269" spans="1:15" ht="37.5" customHeight="1" x14ac:dyDescent="0.25">
      <c r="A269" s="9" t="str">
        <f t="shared" si="1"/>
        <v/>
      </c>
      <c r="B269" s="2"/>
      <c r="C269" s="2"/>
      <c r="D269" s="2"/>
      <c r="E269" s="2"/>
      <c r="F269" s="2"/>
      <c r="G269" s="10"/>
      <c r="H269" s="11"/>
      <c r="I269" s="11"/>
      <c r="J269" s="11"/>
      <c r="K269" s="11"/>
      <c r="L269" s="11"/>
      <c r="M269" s="11"/>
      <c r="N269" s="11"/>
      <c r="O269" s="3"/>
    </row>
    <row r="270" spans="1:15" ht="37.5" customHeight="1" x14ac:dyDescent="0.25">
      <c r="A270" s="9" t="str">
        <f t="shared" si="1"/>
        <v/>
      </c>
      <c r="B270" s="2"/>
      <c r="C270" s="2"/>
      <c r="D270" s="2"/>
      <c r="E270" s="2"/>
      <c r="F270" s="2"/>
      <c r="G270" s="10"/>
      <c r="H270" s="11"/>
      <c r="I270" s="11"/>
      <c r="J270" s="11"/>
      <c r="K270" s="11"/>
      <c r="L270" s="11"/>
      <c r="M270" s="11"/>
      <c r="N270" s="11"/>
      <c r="O270" s="3"/>
    </row>
    <row r="271" spans="1:15" ht="37.5" customHeight="1" x14ac:dyDescent="0.25">
      <c r="A271" s="9" t="str">
        <f t="shared" si="1"/>
        <v/>
      </c>
      <c r="B271" s="2"/>
      <c r="C271" s="2"/>
      <c r="D271" s="2"/>
      <c r="E271" s="2"/>
      <c r="F271" s="2"/>
      <c r="G271" s="10"/>
      <c r="H271" s="11"/>
      <c r="I271" s="11"/>
      <c r="J271" s="11"/>
      <c r="K271" s="11"/>
      <c r="L271" s="11"/>
      <c r="M271" s="11"/>
      <c r="N271" s="11"/>
      <c r="O271" s="3"/>
    </row>
    <row r="272" spans="1:15" ht="37.5" customHeight="1" x14ac:dyDescent="0.25">
      <c r="A272" s="9" t="str">
        <f t="shared" si="1"/>
        <v/>
      </c>
      <c r="B272" s="2"/>
      <c r="C272" s="2"/>
      <c r="D272" s="2"/>
      <c r="E272" s="2"/>
      <c r="F272" s="2"/>
      <c r="G272" s="10"/>
      <c r="H272" s="11"/>
      <c r="I272" s="11"/>
      <c r="J272" s="11"/>
      <c r="K272" s="11"/>
      <c r="L272" s="11"/>
      <c r="M272" s="11"/>
      <c r="N272" s="11"/>
      <c r="O272" s="3"/>
    </row>
    <row r="273" spans="1:15" ht="37.5" customHeight="1" x14ac:dyDescent="0.25">
      <c r="A273" s="9" t="str">
        <f t="shared" si="1"/>
        <v/>
      </c>
      <c r="B273" s="2"/>
      <c r="C273" s="2"/>
      <c r="D273" s="2"/>
      <c r="E273" s="2"/>
      <c r="F273" s="2"/>
      <c r="G273" s="10"/>
      <c r="H273" s="11"/>
      <c r="I273" s="11"/>
      <c r="J273" s="11"/>
      <c r="K273" s="11"/>
      <c r="L273" s="11"/>
      <c r="M273" s="11"/>
      <c r="N273" s="11"/>
      <c r="O273" s="3"/>
    </row>
    <row r="274" spans="1:15" ht="37.5" customHeight="1" x14ac:dyDescent="0.25">
      <c r="A274" s="9" t="str">
        <f t="shared" si="1"/>
        <v/>
      </c>
      <c r="B274" s="2"/>
      <c r="C274" s="2"/>
      <c r="D274" s="2"/>
      <c r="E274" s="2"/>
      <c r="F274" s="2"/>
      <c r="G274" s="10"/>
      <c r="H274" s="11"/>
      <c r="I274" s="11"/>
      <c r="J274" s="11"/>
      <c r="K274" s="11"/>
      <c r="L274" s="11"/>
      <c r="M274" s="11"/>
      <c r="N274" s="11"/>
      <c r="O274" s="3"/>
    </row>
    <row r="275" spans="1:15" ht="37.5" customHeight="1" x14ac:dyDescent="0.25">
      <c r="A275" s="9" t="str">
        <f t="shared" si="1"/>
        <v/>
      </c>
      <c r="B275" s="2"/>
      <c r="C275" s="2"/>
      <c r="D275" s="2"/>
      <c r="E275" s="2"/>
      <c r="F275" s="2"/>
      <c r="G275" s="10"/>
      <c r="H275" s="11"/>
      <c r="I275" s="11"/>
      <c r="J275" s="11"/>
      <c r="K275" s="11"/>
      <c r="L275" s="11"/>
      <c r="M275" s="11"/>
      <c r="N275" s="11"/>
      <c r="O275" s="3"/>
    </row>
    <row r="276" spans="1:15" ht="37.5" customHeight="1" x14ac:dyDescent="0.25">
      <c r="A276" s="9" t="str">
        <f t="shared" si="1"/>
        <v/>
      </c>
      <c r="B276" s="2"/>
      <c r="C276" s="2"/>
      <c r="D276" s="2"/>
      <c r="E276" s="2"/>
      <c r="F276" s="2"/>
      <c r="G276" s="10"/>
      <c r="H276" s="11"/>
      <c r="I276" s="11"/>
      <c r="J276" s="11"/>
      <c r="K276" s="11"/>
      <c r="L276" s="11"/>
      <c r="M276" s="11"/>
      <c r="N276" s="11"/>
      <c r="O276" s="3"/>
    </row>
    <row r="277" spans="1:15" ht="37.5" customHeight="1" x14ac:dyDescent="0.25">
      <c r="A277" s="9" t="str">
        <f t="shared" si="1"/>
        <v/>
      </c>
      <c r="B277" s="2"/>
      <c r="C277" s="2"/>
      <c r="D277" s="2"/>
      <c r="E277" s="2"/>
      <c r="F277" s="2"/>
      <c r="G277" s="10"/>
      <c r="H277" s="11"/>
      <c r="I277" s="11"/>
      <c r="J277" s="11"/>
      <c r="K277" s="11"/>
      <c r="L277" s="11"/>
      <c r="M277" s="11"/>
      <c r="N277" s="11"/>
      <c r="O277" s="3"/>
    </row>
    <row r="278" spans="1:15" ht="37.5" customHeight="1" x14ac:dyDescent="0.25">
      <c r="A278" s="9" t="str">
        <f t="shared" si="1"/>
        <v/>
      </c>
      <c r="B278" s="2"/>
      <c r="C278" s="2"/>
      <c r="D278" s="2"/>
      <c r="E278" s="2"/>
      <c r="F278" s="2"/>
      <c r="G278" s="10"/>
      <c r="H278" s="11"/>
      <c r="I278" s="11"/>
      <c r="J278" s="11"/>
      <c r="K278" s="11"/>
      <c r="L278" s="11"/>
      <c r="M278" s="11"/>
      <c r="N278" s="11"/>
      <c r="O278" s="3"/>
    </row>
    <row r="279" spans="1:15" ht="37.5" customHeight="1" x14ac:dyDescent="0.25">
      <c r="A279" s="9" t="str">
        <f t="shared" si="1"/>
        <v/>
      </c>
      <c r="B279" s="2"/>
      <c r="C279" s="2"/>
      <c r="D279" s="2"/>
      <c r="E279" s="2"/>
      <c r="F279" s="2"/>
      <c r="G279" s="10"/>
      <c r="H279" s="11"/>
      <c r="I279" s="11"/>
      <c r="J279" s="11"/>
      <c r="K279" s="11"/>
      <c r="L279" s="11"/>
      <c r="M279" s="11"/>
      <c r="N279" s="11"/>
      <c r="O279" s="3"/>
    </row>
    <row r="280" spans="1:15" ht="37.5" customHeight="1" x14ac:dyDescent="0.25">
      <c r="A280" s="9" t="str">
        <f t="shared" si="1"/>
        <v/>
      </c>
      <c r="B280" s="2"/>
      <c r="C280" s="2"/>
      <c r="D280" s="2"/>
      <c r="E280" s="2"/>
      <c r="F280" s="2"/>
      <c r="G280" s="10"/>
      <c r="H280" s="11"/>
      <c r="I280" s="11"/>
      <c r="J280" s="11"/>
      <c r="K280" s="11"/>
      <c r="L280" s="11"/>
      <c r="M280" s="11"/>
      <c r="N280" s="11"/>
      <c r="O280" s="3"/>
    </row>
    <row r="281" spans="1:15" ht="37.5" customHeight="1" x14ac:dyDescent="0.25">
      <c r="A281" s="9" t="str">
        <f t="shared" si="1"/>
        <v/>
      </c>
      <c r="B281" s="2"/>
      <c r="C281" s="2"/>
      <c r="D281" s="2"/>
      <c r="E281" s="2"/>
      <c r="F281" s="2"/>
      <c r="G281" s="10"/>
      <c r="H281" s="11"/>
      <c r="I281" s="11"/>
      <c r="J281" s="11"/>
      <c r="K281" s="11"/>
      <c r="L281" s="11"/>
      <c r="M281" s="11"/>
      <c r="N281" s="11"/>
      <c r="O281" s="3"/>
    </row>
    <row r="282" spans="1:15" ht="37.5" customHeight="1" x14ac:dyDescent="0.25">
      <c r="A282" s="9" t="str">
        <f t="shared" si="1"/>
        <v/>
      </c>
      <c r="B282" s="2"/>
      <c r="C282" s="2"/>
      <c r="D282" s="2"/>
      <c r="E282" s="2"/>
      <c r="F282" s="2"/>
      <c r="G282" s="10"/>
      <c r="H282" s="11"/>
      <c r="I282" s="11"/>
      <c r="J282" s="11"/>
      <c r="K282" s="11"/>
      <c r="L282" s="11"/>
      <c r="M282" s="11"/>
      <c r="N282" s="11"/>
      <c r="O282" s="3"/>
    </row>
    <row r="283" spans="1:15" ht="37.5" customHeight="1" x14ac:dyDescent="0.25">
      <c r="A283" s="9" t="str">
        <f t="shared" si="1"/>
        <v/>
      </c>
      <c r="B283" s="2"/>
      <c r="C283" s="2"/>
      <c r="D283" s="2"/>
      <c r="E283" s="2"/>
      <c r="F283" s="2"/>
      <c r="G283" s="10"/>
      <c r="H283" s="11"/>
      <c r="I283" s="11"/>
      <c r="J283" s="11"/>
      <c r="K283" s="11"/>
      <c r="L283" s="11"/>
      <c r="M283" s="11"/>
      <c r="N283" s="11"/>
      <c r="O283" s="3"/>
    </row>
    <row r="284" spans="1:15" ht="37.5" customHeight="1" x14ac:dyDescent="0.25">
      <c r="A284" s="9" t="str">
        <f t="shared" si="1"/>
        <v/>
      </c>
      <c r="B284" s="2"/>
      <c r="C284" s="2"/>
      <c r="D284" s="2"/>
      <c r="E284" s="2"/>
      <c r="F284" s="2"/>
      <c r="G284" s="10"/>
      <c r="H284" s="11"/>
      <c r="I284" s="11"/>
      <c r="J284" s="11"/>
      <c r="K284" s="11"/>
      <c r="L284" s="11"/>
      <c r="M284" s="11"/>
      <c r="N284" s="11"/>
      <c r="O284" s="3"/>
    </row>
    <row r="285" spans="1:15" ht="37.5" customHeight="1" x14ac:dyDescent="0.25">
      <c r="A285" s="9" t="str">
        <f t="shared" si="1"/>
        <v/>
      </c>
      <c r="B285" s="2"/>
      <c r="C285" s="2"/>
      <c r="D285" s="2"/>
      <c r="E285" s="2"/>
      <c r="F285" s="2"/>
      <c r="G285" s="10"/>
      <c r="H285" s="11"/>
      <c r="I285" s="11"/>
      <c r="J285" s="11"/>
      <c r="K285" s="11"/>
      <c r="L285" s="11"/>
      <c r="M285" s="11"/>
      <c r="N285" s="11"/>
      <c r="O285" s="3"/>
    </row>
    <row r="286" spans="1:15" ht="37.5" customHeight="1" x14ac:dyDescent="0.25">
      <c r="A286" s="9" t="str">
        <f t="shared" si="1"/>
        <v/>
      </c>
      <c r="B286" s="2"/>
      <c r="C286" s="2"/>
      <c r="D286" s="2"/>
      <c r="E286" s="2"/>
      <c r="F286" s="2"/>
      <c r="G286" s="10"/>
      <c r="H286" s="11"/>
      <c r="I286" s="11"/>
      <c r="J286" s="11"/>
      <c r="K286" s="11"/>
      <c r="L286" s="11"/>
      <c r="M286" s="11"/>
      <c r="N286" s="11"/>
      <c r="O286" s="3"/>
    </row>
    <row r="287" spans="1:15" ht="37.5" customHeight="1" x14ac:dyDescent="0.25">
      <c r="A287" s="9" t="str">
        <f t="shared" si="1"/>
        <v/>
      </c>
      <c r="B287" s="2"/>
      <c r="C287" s="2"/>
      <c r="D287" s="2"/>
      <c r="E287" s="2"/>
      <c r="F287" s="2"/>
      <c r="G287" s="10"/>
      <c r="H287" s="11"/>
      <c r="I287" s="11"/>
      <c r="J287" s="11"/>
      <c r="K287" s="11"/>
      <c r="L287" s="11"/>
      <c r="M287" s="11"/>
      <c r="N287" s="11"/>
      <c r="O287" s="3"/>
    </row>
    <row r="288" spans="1:15" ht="37.5" customHeight="1" x14ac:dyDescent="0.25">
      <c r="A288" s="9" t="str">
        <f t="shared" si="1"/>
        <v/>
      </c>
      <c r="B288" s="2"/>
      <c r="C288" s="2"/>
      <c r="D288" s="2"/>
      <c r="E288" s="2"/>
      <c r="F288" s="2"/>
      <c r="G288" s="10"/>
      <c r="H288" s="11"/>
      <c r="I288" s="11"/>
      <c r="J288" s="11"/>
      <c r="K288" s="11"/>
      <c r="L288" s="11"/>
      <c r="M288" s="11"/>
      <c r="N288" s="11"/>
      <c r="O288" s="3"/>
    </row>
    <row r="289" spans="1:15" ht="37.5" customHeight="1" x14ac:dyDescent="0.25">
      <c r="A289" s="9" t="str">
        <f t="shared" si="1"/>
        <v/>
      </c>
      <c r="B289" s="2"/>
      <c r="C289" s="2"/>
      <c r="D289" s="2"/>
      <c r="E289" s="2"/>
      <c r="F289" s="2"/>
      <c r="G289" s="10"/>
      <c r="H289" s="11"/>
      <c r="I289" s="11"/>
      <c r="J289" s="11"/>
      <c r="K289" s="11"/>
      <c r="L289" s="11"/>
      <c r="M289" s="11"/>
      <c r="N289" s="11"/>
      <c r="O289" s="3"/>
    </row>
    <row r="290" spans="1:15" ht="37.5" customHeight="1" x14ac:dyDescent="0.25">
      <c r="A290" s="9" t="str">
        <f t="shared" si="1"/>
        <v/>
      </c>
      <c r="B290" s="2"/>
      <c r="C290" s="2"/>
      <c r="D290" s="2"/>
      <c r="E290" s="2"/>
      <c r="F290" s="2"/>
      <c r="G290" s="10"/>
      <c r="H290" s="11"/>
      <c r="I290" s="11"/>
      <c r="J290" s="11"/>
      <c r="K290" s="11"/>
      <c r="L290" s="11"/>
      <c r="M290" s="11"/>
      <c r="N290" s="11"/>
      <c r="O290" s="3"/>
    </row>
    <row r="291" spans="1:15" ht="37.5" customHeight="1" x14ac:dyDescent="0.25">
      <c r="A291" s="9" t="str">
        <f t="shared" si="1"/>
        <v/>
      </c>
      <c r="B291" s="2"/>
      <c r="C291" s="2"/>
      <c r="D291" s="2"/>
      <c r="E291" s="2"/>
      <c r="F291" s="2"/>
      <c r="G291" s="10"/>
      <c r="H291" s="11"/>
      <c r="I291" s="11"/>
      <c r="J291" s="11"/>
      <c r="K291" s="11"/>
      <c r="L291" s="11"/>
      <c r="M291" s="11"/>
      <c r="N291" s="11"/>
      <c r="O291" s="3"/>
    </row>
    <row r="292" spans="1:15" ht="37.5" customHeight="1" x14ac:dyDescent="0.25">
      <c r="A292" s="9" t="str">
        <f t="shared" si="1"/>
        <v/>
      </c>
      <c r="B292" s="2"/>
      <c r="C292" s="2"/>
      <c r="D292" s="2"/>
      <c r="E292" s="2"/>
      <c r="F292" s="2"/>
      <c r="G292" s="10"/>
      <c r="H292" s="11"/>
      <c r="I292" s="11"/>
      <c r="J292" s="11"/>
      <c r="K292" s="11"/>
      <c r="L292" s="11"/>
      <c r="M292" s="11"/>
      <c r="N292" s="11"/>
      <c r="O292" s="3"/>
    </row>
    <row r="293" spans="1:15" ht="37.5" customHeight="1" x14ac:dyDescent="0.25">
      <c r="A293" s="9" t="str">
        <f t="shared" si="1"/>
        <v/>
      </c>
      <c r="B293" s="2"/>
      <c r="C293" s="2"/>
      <c r="D293" s="2"/>
      <c r="E293" s="2"/>
      <c r="F293" s="2"/>
      <c r="G293" s="10"/>
      <c r="H293" s="11"/>
      <c r="I293" s="11"/>
      <c r="J293" s="11"/>
      <c r="K293" s="11"/>
      <c r="L293" s="11"/>
      <c r="M293" s="11"/>
      <c r="N293" s="11"/>
      <c r="O293" s="3"/>
    </row>
    <row r="294" spans="1:15" ht="37.5" customHeight="1" x14ac:dyDescent="0.25">
      <c r="A294" s="9" t="str">
        <f t="shared" si="1"/>
        <v/>
      </c>
      <c r="B294" s="2"/>
      <c r="C294" s="2"/>
      <c r="D294" s="2"/>
      <c r="E294" s="2"/>
      <c r="F294" s="2"/>
      <c r="G294" s="10"/>
      <c r="H294" s="11"/>
      <c r="I294" s="11"/>
      <c r="J294" s="11"/>
      <c r="K294" s="11"/>
      <c r="L294" s="11"/>
      <c r="M294" s="11"/>
      <c r="N294" s="11"/>
      <c r="O294" s="3"/>
    </row>
    <row r="295" spans="1:15" ht="37.5" customHeight="1" x14ac:dyDescent="0.25">
      <c r="A295" s="9" t="str">
        <f t="shared" si="1"/>
        <v/>
      </c>
      <c r="B295" s="2"/>
      <c r="C295" s="2"/>
      <c r="D295" s="2"/>
      <c r="E295" s="2"/>
      <c r="F295" s="2"/>
      <c r="G295" s="10"/>
      <c r="H295" s="11"/>
      <c r="I295" s="11"/>
      <c r="J295" s="11"/>
      <c r="K295" s="11"/>
      <c r="L295" s="11"/>
      <c r="M295" s="11"/>
      <c r="N295" s="11"/>
      <c r="O295" s="3"/>
    </row>
    <row r="296" spans="1:15" ht="37.5" customHeight="1" x14ac:dyDescent="0.25">
      <c r="A296" s="9" t="str">
        <f t="shared" si="1"/>
        <v/>
      </c>
      <c r="B296" s="2"/>
      <c r="C296" s="2"/>
      <c r="D296" s="2"/>
      <c r="E296" s="2"/>
      <c r="F296" s="2"/>
      <c r="G296" s="10"/>
      <c r="H296" s="11"/>
      <c r="I296" s="11"/>
      <c r="J296" s="11"/>
      <c r="K296" s="11"/>
      <c r="L296" s="11"/>
      <c r="M296" s="11"/>
      <c r="N296" s="11"/>
      <c r="O296" s="3"/>
    </row>
    <row r="297" spans="1:15" ht="37.5" customHeight="1" x14ac:dyDescent="0.25">
      <c r="A297" s="9" t="str">
        <f t="shared" si="1"/>
        <v/>
      </c>
      <c r="B297" s="2"/>
      <c r="C297" s="2"/>
      <c r="D297" s="2"/>
      <c r="E297" s="2"/>
      <c r="F297" s="2"/>
      <c r="G297" s="10"/>
      <c r="H297" s="11"/>
      <c r="I297" s="11"/>
      <c r="J297" s="11"/>
      <c r="K297" s="11"/>
      <c r="L297" s="11"/>
      <c r="M297" s="11"/>
      <c r="N297" s="11"/>
      <c r="O297" s="3"/>
    </row>
    <row r="298" spans="1:15" ht="37.5" customHeight="1" x14ac:dyDescent="0.25">
      <c r="A298" s="9" t="str">
        <f t="shared" si="1"/>
        <v/>
      </c>
      <c r="B298" s="2"/>
      <c r="C298" s="2"/>
      <c r="D298" s="2"/>
      <c r="E298" s="2"/>
      <c r="F298" s="2"/>
      <c r="G298" s="10"/>
      <c r="H298" s="11"/>
      <c r="I298" s="11"/>
      <c r="J298" s="11"/>
      <c r="K298" s="11"/>
      <c r="L298" s="11"/>
      <c r="M298" s="11"/>
      <c r="N298" s="11"/>
      <c r="O298" s="3"/>
    </row>
    <row r="299" spans="1:15" ht="37.5" customHeight="1" x14ac:dyDescent="0.25">
      <c r="A299" s="9" t="str">
        <f t="shared" si="1"/>
        <v/>
      </c>
      <c r="B299" s="2"/>
      <c r="C299" s="2"/>
      <c r="D299" s="2"/>
      <c r="E299" s="2"/>
      <c r="F299" s="2"/>
      <c r="G299" s="10"/>
      <c r="H299" s="11"/>
      <c r="I299" s="11"/>
      <c r="J299" s="11"/>
      <c r="K299" s="11"/>
      <c r="L299" s="11"/>
      <c r="M299" s="11"/>
      <c r="N299" s="11"/>
      <c r="O299" s="3"/>
    </row>
    <row r="300" spans="1:15" ht="37.5" customHeight="1" x14ac:dyDescent="0.25">
      <c r="A300" s="9" t="str">
        <f t="shared" si="1"/>
        <v/>
      </c>
      <c r="B300" s="2"/>
      <c r="C300" s="2"/>
      <c r="D300" s="2"/>
      <c r="E300" s="2"/>
      <c r="F300" s="2"/>
      <c r="G300" s="10"/>
      <c r="H300" s="11"/>
      <c r="I300" s="11"/>
      <c r="J300" s="11"/>
      <c r="K300" s="11"/>
      <c r="L300" s="11"/>
      <c r="M300" s="11"/>
      <c r="N300" s="11"/>
      <c r="O300" s="3"/>
    </row>
    <row r="301" spans="1:15" ht="37.5" customHeight="1" x14ac:dyDescent="0.25">
      <c r="A301" s="9" t="str">
        <f t="shared" si="1"/>
        <v/>
      </c>
      <c r="B301" s="2"/>
      <c r="C301" s="2"/>
      <c r="D301" s="2"/>
      <c r="E301" s="2"/>
      <c r="F301" s="2"/>
      <c r="G301" s="10"/>
      <c r="H301" s="11"/>
      <c r="I301" s="11"/>
      <c r="J301" s="11"/>
      <c r="K301" s="11"/>
      <c r="L301" s="11"/>
      <c r="M301" s="11"/>
      <c r="N301" s="11"/>
      <c r="O301" s="3"/>
    </row>
    <row r="302" spans="1:15" ht="37.5" customHeight="1" x14ac:dyDescent="0.25">
      <c r="A302" s="9" t="str">
        <f t="shared" si="1"/>
        <v/>
      </c>
      <c r="B302" s="2"/>
      <c r="C302" s="2"/>
      <c r="D302" s="2"/>
      <c r="E302" s="2"/>
      <c r="F302" s="2"/>
      <c r="G302" s="10"/>
      <c r="H302" s="11"/>
      <c r="I302" s="11"/>
      <c r="J302" s="11"/>
      <c r="K302" s="11"/>
      <c r="L302" s="11"/>
      <c r="M302" s="11"/>
      <c r="N302" s="11"/>
      <c r="O302" s="3"/>
    </row>
    <row r="303" spans="1:15" ht="37.5" customHeight="1" x14ac:dyDescent="0.25">
      <c r="A303" s="9" t="str">
        <f t="shared" si="1"/>
        <v/>
      </c>
      <c r="B303" s="2"/>
      <c r="C303" s="2"/>
      <c r="D303" s="2"/>
      <c r="E303" s="2"/>
      <c r="F303" s="2"/>
      <c r="G303" s="10"/>
      <c r="H303" s="11"/>
      <c r="I303" s="11"/>
      <c r="J303" s="11"/>
      <c r="K303" s="11"/>
      <c r="L303" s="11"/>
      <c r="M303" s="11"/>
      <c r="N303" s="11"/>
      <c r="O303" s="3"/>
    </row>
    <row r="304" spans="1:15" ht="37.5" customHeight="1" x14ac:dyDescent="0.25">
      <c r="A304" s="9" t="str">
        <f t="shared" si="1"/>
        <v/>
      </c>
      <c r="B304" s="2"/>
      <c r="C304" s="2"/>
      <c r="D304" s="2"/>
      <c r="E304" s="2"/>
      <c r="F304" s="2"/>
      <c r="G304" s="10"/>
      <c r="H304" s="11"/>
      <c r="I304" s="11"/>
      <c r="J304" s="11"/>
      <c r="K304" s="11"/>
      <c r="L304" s="11"/>
      <c r="M304" s="11"/>
      <c r="N304" s="11"/>
      <c r="O304" s="3"/>
    </row>
    <row r="305" spans="1:15" ht="37.5" customHeight="1" x14ac:dyDescent="0.25">
      <c r="A305" s="9" t="str">
        <f t="shared" si="1"/>
        <v/>
      </c>
      <c r="B305" s="2"/>
      <c r="C305" s="2"/>
      <c r="D305" s="2"/>
      <c r="E305" s="2"/>
      <c r="F305" s="2"/>
      <c r="G305" s="10"/>
      <c r="H305" s="11"/>
      <c r="I305" s="11"/>
      <c r="J305" s="11"/>
      <c r="K305" s="11"/>
      <c r="L305" s="11"/>
      <c r="M305" s="11"/>
      <c r="N305" s="11"/>
      <c r="O305" s="3"/>
    </row>
    <row r="306" spans="1:15" ht="37.5" customHeight="1" x14ac:dyDescent="0.25">
      <c r="A306" s="9" t="str">
        <f t="shared" si="1"/>
        <v/>
      </c>
      <c r="B306" s="2"/>
      <c r="C306" s="2"/>
      <c r="D306" s="2"/>
      <c r="E306" s="2"/>
      <c r="F306" s="2"/>
      <c r="G306" s="10"/>
      <c r="H306" s="11"/>
      <c r="I306" s="11"/>
      <c r="J306" s="11"/>
      <c r="K306" s="11"/>
      <c r="L306" s="11"/>
      <c r="M306" s="11"/>
      <c r="N306" s="11"/>
      <c r="O306" s="3"/>
    </row>
    <row r="307" spans="1:15" ht="37.5" customHeight="1" x14ac:dyDescent="0.25">
      <c r="A307" s="9" t="str">
        <f t="shared" si="1"/>
        <v/>
      </c>
      <c r="B307" s="2"/>
      <c r="C307" s="2"/>
      <c r="D307" s="2"/>
      <c r="E307" s="2"/>
      <c r="F307" s="2"/>
      <c r="G307" s="10"/>
      <c r="H307" s="11"/>
      <c r="I307" s="11"/>
      <c r="J307" s="11"/>
      <c r="K307" s="11"/>
      <c r="L307" s="11"/>
      <c r="M307" s="11"/>
      <c r="N307" s="11"/>
      <c r="O307" s="3"/>
    </row>
    <row r="308" spans="1:15" ht="37.5" customHeight="1" x14ac:dyDescent="0.25">
      <c r="A308" s="9" t="str">
        <f t="shared" si="1"/>
        <v/>
      </c>
      <c r="B308" s="2"/>
      <c r="C308" s="2"/>
      <c r="D308" s="2"/>
      <c r="E308" s="2"/>
      <c r="F308" s="2"/>
      <c r="G308" s="10"/>
      <c r="H308" s="11"/>
      <c r="I308" s="11"/>
      <c r="J308" s="11"/>
      <c r="K308" s="11"/>
      <c r="L308" s="11"/>
      <c r="M308" s="11"/>
      <c r="N308" s="11"/>
      <c r="O308" s="3"/>
    </row>
    <row r="309" spans="1:15" ht="37.5" customHeight="1" x14ac:dyDescent="0.25">
      <c r="A309" s="9" t="str">
        <f t="shared" si="1"/>
        <v/>
      </c>
      <c r="B309" s="2"/>
      <c r="C309" s="2"/>
      <c r="D309" s="2"/>
      <c r="E309" s="2"/>
      <c r="F309" s="2"/>
      <c r="G309" s="10"/>
      <c r="H309" s="11"/>
      <c r="I309" s="11"/>
      <c r="J309" s="11"/>
      <c r="K309" s="11"/>
      <c r="L309" s="11"/>
      <c r="M309" s="11"/>
      <c r="N309" s="11"/>
      <c r="O309" s="3"/>
    </row>
    <row r="310" spans="1:15" ht="37.5" customHeight="1" x14ac:dyDescent="0.25">
      <c r="A310" s="9" t="str">
        <f t="shared" si="1"/>
        <v/>
      </c>
      <c r="B310" s="2"/>
      <c r="C310" s="2"/>
      <c r="D310" s="2"/>
      <c r="E310" s="2"/>
      <c r="F310" s="2"/>
      <c r="G310" s="10"/>
      <c r="H310" s="11"/>
      <c r="I310" s="11"/>
      <c r="J310" s="11"/>
      <c r="K310" s="11"/>
      <c r="L310" s="11"/>
      <c r="M310" s="11"/>
      <c r="N310" s="11"/>
      <c r="O310" s="3"/>
    </row>
    <row r="311" spans="1:15" ht="37.5" customHeight="1" x14ac:dyDescent="0.25">
      <c r="A311" s="9" t="str">
        <f t="shared" si="1"/>
        <v/>
      </c>
      <c r="B311" s="2"/>
      <c r="C311" s="2"/>
      <c r="D311" s="2"/>
      <c r="E311" s="2"/>
      <c r="F311" s="2"/>
      <c r="G311" s="10"/>
      <c r="H311" s="11"/>
      <c r="I311" s="11"/>
      <c r="J311" s="11"/>
      <c r="K311" s="11"/>
      <c r="L311" s="11"/>
      <c r="M311" s="11"/>
      <c r="N311" s="11"/>
      <c r="O311" s="3"/>
    </row>
    <row r="312" spans="1:15" ht="37.5" customHeight="1" x14ac:dyDescent="0.25">
      <c r="A312" s="9" t="str">
        <f t="shared" si="1"/>
        <v/>
      </c>
      <c r="B312" s="2"/>
      <c r="C312" s="2"/>
      <c r="D312" s="2"/>
      <c r="E312" s="2"/>
      <c r="F312" s="2"/>
      <c r="G312" s="10"/>
      <c r="H312" s="11"/>
      <c r="I312" s="11"/>
      <c r="J312" s="11"/>
      <c r="K312" s="11"/>
      <c r="L312" s="11"/>
      <c r="M312" s="11"/>
      <c r="N312" s="11"/>
      <c r="O312" s="3"/>
    </row>
    <row r="313" spans="1:15" ht="37.5" customHeight="1" x14ac:dyDescent="0.25">
      <c r="A313" s="9" t="str">
        <f t="shared" si="1"/>
        <v/>
      </c>
      <c r="B313" s="2"/>
      <c r="C313" s="2"/>
      <c r="D313" s="2"/>
      <c r="E313" s="2"/>
      <c r="F313" s="2"/>
      <c r="G313" s="10"/>
      <c r="H313" s="11"/>
      <c r="I313" s="11"/>
      <c r="J313" s="11"/>
      <c r="K313" s="11"/>
      <c r="L313" s="11"/>
      <c r="M313" s="11"/>
      <c r="N313" s="11"/>
      <c r="O313" s="3"/>
    </row>
    <row r="314" spans="1:15" ht="37.5" customHeight="1" x14ac:dyDescent="0.25">
      <c r="A314" s="9" t="str">
        <f t="shared" si="1"/>
        <v/>
      </c>
      <c r="B314" s="2"/>
      <c r="C314" s="2"/>
      <c r="D314" s="2"/>
      <c r="E314" s="2"/>
      <c r="F314" s="2"/>
      <c r="G314" s="10"/>
      <c r="H314" s="11"/>
      <c r="I314" s="11"/>
      <c r="J314" s="11"/>
      <c r="K314" s="11"/>
      <c r="L314" s="11"/>
      <c r="M314" s="11"/>
      <c r="N314" s="11"/>
      <c r="O314" s="3"/>
    </row>
    <row r="315" spans="1:15" ht="37.5" customHeight="1" x14ac:dyDescent="0.25">
      <c r="A315" s="9" t="str">
        <f t="shared" si="1"/>
        <v/>
      </c>
      <c r="B315" s="2"/>
      <c r="C315" s="2"/>
      <c r="D315" s="2"/>
      <c r="E315" s="2"/>
      <c r="F315" s="2"/>
      <c r="G315" s="10"/>
      <c r="H315" s="11"/>
      <c r="I315" s="11"/>
      <c r="J315" s="11"/>
      <c r="K315" s="11"/>
      <c r="L315" s="11"/>
      <c r="M315" s="11"/>
      <c r="N315" s="11"/>
      <c r="O315" s="3"/>
    </row>
    <row r="316" spans="1:15" ht="37.5" customHeight="1" x14ac:dyDescent="0.25">
      <c r="A316" s="9" t="str">
        <f t="shared" si="1"/>
        <v/>
      </c>
      <c r="B316" s="2"/>
      <c r="C316" s="2"/>
      <c r="D316" s="2"/>
      <c r="E316" s="2"/>
      <c r="F316" s="2"/>
      <c r="G316" s="10"/>
      <c r="H316" s="11"/>
      <c r="I316" s="11"/>
      <c r="J316" s="11"/>
      <c r="K316" s="11"/>
      <c r="L316" s="11"/>
      <c r="M316" s="11"/>
      <c r="N316" s="11"/>
      <c r="O316" s="3"/>
    </row>
    <row r="317" spans="1:15" ht="37.5" customHeight="1" x14ac:dyDescent="0.25">
      <c r="A317" s="9" t="str">
        <f t="shared" si="1"/>
        <v/>
      </c>
      <c r="B317" s="2"/>
      <c r="C317" s="2"/>
      <c r="D317" s="2"/>
      <c r="E317" s="2"/>
      <c r="F317" s="2"/>
      <c r="G317" s="10"/>
      <c r="H317" s="11"/>
      <c r="I317" s="11"/>
      <c r="J317" s="11"/>
      <c r="K317" s="11"/>
      <c r="L317" s="11"/>
      <c r="M317" s="11"/>
      <c r="N317" s="11"/>
      <c r="O317" s="3"/>
    </row>
    <row r="318" spans="1:15" ht="37.5" customHeight="1" x14ac:dyDescent="0.25">
      <c r="A318" s="9" t="str">
        <f t="shared" si="1"/>
        <v/>
      </c>
      <c r="B318" s="2"/>
      <c r="C318" s="2"/>
      <c r="D318" s="2"/>
      <c r="E318" s="2"/>
      <c r="F318" s="2"/>
      <c r="G318" s="10"/>
      <c r="H318" s="11"/>
      <c r="I318" s="11"/>
      <c r="J318" s="11"/>
      <c r="K318" s="11"/>
      <c r="L318" s="11"/>
      <c r="M318" s="11"/>
      <c r="N318" s="11"/>
      <c r="O318" s="3"/>
    </row>
    <row r="319" spans="1:15" ht="37.5" customHeight="1" x14ac:dyDescent="0.25">
      <c r="A319" s="9" t="str">
        <f t="shared" si="1"/>
        <v/>
      </c>
      <c r="B319" s="2"/>
      <c r="C319" s="2"/>
      <c r="D319" s="2"/>
      <c r="E319" s="2"/>
      <c r="F319" s="2"/>
      <c r="G319" s="10"/>
      <c r="H319" s="11"/>
      <c r="I319" s="11"/>
      <c r="J319" s="11"/>
      <c r="K319" s="11"/>
      <c r="L319" s="11"/>
      <c r="M319" s="11"/>
      <c r="N319" s="11"/>
      <c r="O319" s="3"/>
    </row>
    <row r="320" spans="1:15" ht="37.5" customHeight="1" x14ac:dyDescent="0.25">
      <c r="A320" s="9" t="str">
        <f t="shared" si="1"/>
        <v/>
      </c>
      <c r="B320" s="2"/>
      <c r="C320" s="2"/>
      <c r="D320" s="2"/>
      <c r="E320" s="2"/>
      <c r="F320" s="2"/>
      <c r="G320" s="10"/>
      <c r="H320" s="11"/>
      <c r="I320" s="11"/>
      <c r="J320" s="11"/>
      <c r="K320" s="11"/>
      <c r="L320" s="11"/>
      <c r="M320" s="11"/>
      <c r="N320" s="11"/>
      <c r="O320" s="3"/>
    </row>
    <row r="321" spans="1:15" ht="37.5" customHeight="1" x14ac:dyDescent="0.25">
      <c r="A321" s="9" t="str">
        <f t="shared" si="1"/>
        <v/>
      </c>
      <c r="B321" s="2"/>
      <c r="C321" s="2"/>
      <c r="D321" s="2"/>
      <c r="E321" s="2"/>
      <c r="F321" s="2"/>
      <c r="G321" s="10"/>
      <c r="H321" s="11"/>
      <c r="I321" s="11"/>
      <c r="J321" s="11"/>
      <c r="K321" s="11"/>
      <c r="L321" s="11"/>
      <c r="M321" s="11"/>
      <c r="N321" s="11"/>
      <c r="O321" s="3"/>
    </row>
    <row r="322" spans="1:15" ht="37.5" customHeight="1" x14ac:dyDescent="0.25">
      <c r="A322" s="9" t="str">
        <f t="shared" si="1"/>
        <v/>
      </c>
      <c r="B322" s="2"/>
      <c r="C322" s="2"/>
      <c r="D322" s="2"/>
      <c r="E322" s="2"/>
      <c r="F322" s="2"/>
      <c r="G322" s="10"/>
      <c r="H322" s="11"/>
      <c r="I322" s="11"/>
      <c r="J322" s="11"/>
      <c r="K322" s="11"/>
      <c r="L322" s="11"/>
      <c r="M322" s="11"/>
      <c r="N322" s="11"/>
      <c r="O322" s="3"/>
    </row>
    <row r="323" spans="1:15" ht="37.5" customHeight="1" x14ac:dyDescent="0.25">
      <c r="A323" s="9" t="str">
        <f t="shared" si="1"/>
        <v/>
      </c>
      <c r="B323" s="2"/>
      <c r="C323" s="2"/>
      <c r="D323" s="2"/>
      <c r="E323" s="2"/>
      <c r="F323" s="2"/>
      <c r="G323" s="10"/>
      <c r="H323" s="11"/>
      <c r="I323" s="11"/>
      <c r="J323" s="11"/>
      <c r="K323" s="11"/>
      <c r="L323" s="11"/>
      <c r="M323" s="11"/>
      <c r="N323" s="11"/>
      <c r="O323" s="3"/>
    </row>
    <row r="324" spans="1:15" ht="37.5" customHeight="1" x14ac:dyDescent="0.25">
      <c r="A324" s="9" t="str">
        <f t="shared" si="1"/>
        <v/>
      </c>
      <c r="B324" s="2"/>
      <c r="C324" s="2"/>
      <c r="D324" s="2"/>
      <c r="E324" s="2"/>
      <c r="F324" s="2"/>
      <c r="G324" s="10"/>
      <c r="H324" s="11"/>
      <c r="I324" s="11"/>
      <c r="J324" s="11"/>
      <c r="K324" s="11"/>
      <c r="L324" s="11"/>
      <c r="M324" s="11"/>
      <c r="N324" s="11"/>
      <c r="O324" s="3"/>
    </row>
    <row r="325" spans="1:15" ht="37.5" customHeight="1" x14ac:dyDescent="0.25">
      <c r="A325" s="9" t="str">
        <f t="shared" si="1"/>
        <v/>
      </c>
      <c r="B325" s="2"/>
      <c r="C325" s="2"/>
      <c r="D325" s="2"/>
      <c r="E325" s="2"/>
      <c r="F325" s="2"/>
      <c r="G325" s="10"/>
      <c r="H325" s="11"/>
      <c r="I325" s="11"/>
      <c r="J325" s="11"/>
      <c r="K325" s="11"/>
      <c r="L325" s="11"/>
      <c r="M325" s="11"/>
      <c r="N325" s="11"/>
      <c r="O325" s="3"/>
    </row>
    <row r="326" spans="1:15" ht="37.5" customHeight="1" x14ac:dyDescent="0.25">
      <c r="A326" s="9" t="str">
        <f t="shared" si="1"/>
        <v/>
      </c>
      <c r="B326" s="2"/>
      <c r="C326" s="2"/>
      <c r="D326" s="2"/>
      <c r="E326" s="2"/>
      <c r="F326" s="2"/>
      <c r="G326" s="10"/>
      <c r="H326" s="11"/>
      <c r="I326" s="11"/>
      <c r="J326" s="11"/>
      <c r="K326" s="11"/>
      <c r="L326" s="11"/>
      <c r="M326" s="11"/>
      <c r="N326" s="11"/>
      <c r="O326" s="3"/>
    </row>
    <row r="327" spans="1:15" ht="37.5" customHeight="1" x14ac:dyDescent="0.25">
      <c r="A327" s="9" t="str">
        <f t="shared" si="1"/>
        <v/>
      </c>
      <c r="B327" s="2"/>
      <c r="C327" s="2"/>
      <c r="D327" s="2"/>
      <c r="E327" s="2"/>
      <c r="F327" s="2"/>
      <c r="G327" s="10"/>
      <c r="H327" s="11"/>
      <c r="I327" s="11"/>
      <c r="J327" s="11"/>
      <c r="K327" s="11"/>
      <c r="L327" s="11"/>
      <c r="M327" s="11"/>
      <c r="N327" s="11"/>
      <c r="O327" s="3"/>
    </row>
    <row r="328" spans="1:15" ht="37.5" customHeight="1" x14ac:dyDescent="0.25">
      <c r="A328" s="9" t="str">
        <f t="shared" si="1"/>
        <v/>
      </c>
      <c r="B328" s="2"/>
      <c r="C328" s="2"/>
      <c r="D328" s="2"/>
      <c r="E328" s="2"/>
      <c r="F328" s="2"/>
      <c r="G328" s="10"/>
      <c r="H328" s="11"/>
      <c r="I328" s="11"/>
      <c r="J328" s="11"/>
      <c r="K328" s="11"/>
      <c r="L328" s="11"/>
      <c r="M328" s="11"/>
      <c r="N328" s="11"/>
      <c r="O328" s="3"/>
    </row>
    <row r="329" spans="1:15" ht="37.5" customHeight="1" x14ac:dyDescent="0.25">
      <c r="A329" s="9" t="str">
        <f t="shared" si="1"/>
        <v/>
      </c>
      <c r="B329" s="2"/>
      <c r="C329" s="2"/>
      <c r="D329" s="2"/>
      <c r="E329" s="2"/>
      <c r="F329" s="2"/>
      <c r="G329" s="10"/>
      <c r="H329" s="11"/>
      <c r="I329" s="11"/>
      <c r="J329" s="11"/>
      <c r="K329" s="11"/>
      <c r="L329" s="11"/>
      <c r="M329" s="11"/>
      <c r="N329" s="11"/>
      <c r="O329" s="3"/>
    </row>
    <row r="330" spans="1:15" ht="37.5" customHeight="1" x14ac:dyDescent="0.25">
      <c r="A330" s="9" t="str">
        <f t="shared" si="1"/>
        <v/>
      </c>
      <c r="B330" s="2"/>
      <c r="C330" s="2"/>
      <c r="D330" s="2"/>
      <c r="E330" s="2"/>
      <c r="F330" s="2"/>
      <c r="G330" s="10"/>
      <c r="H330" s="11"/>
      <c r="I330" s="11"/>
      <c r="J330" s="11"/>
      <c r="K330" s="11"/>
      <c r="L330" s="11"/>
      <c r="M330" s="11"/>
      <c r="N330" s="11"/>
      <c r="O330" s="3"/>
    </row>
    <row r="331" spans="1:15" ht="37.5" customHeight="1" x14ac:dyDescent="0.25">
      <c r="A331" s="9" t="str">
        <f t="shared" si="1"/>
        <v/>
      </c>
      <c r="B331" s="2"/>
      <c r="C331" s="2"/>
      <c r="D331" s="2"/>
      <c r="E331" s="2"/>
      <c r="F331" s="2"/>
      <c r="G331" s="10"/>
      <c r="H331" s="11"/>
      <c r="I331" s="11"/>
      <c r="J331" s="11"/>
      <c r="K331" s="11"/>
      <c r="L331" s="11"/>
      <c r="M331" s="11"/>
      <c r="N331" s="11"/>
      <c r="O331" s="3"/>
    </row>
    <row r="332" spans="1:15" ht="37.5" customHeight="1" x14ac:dyDescent="0.25">
      <c r="A332" s="9" t="str">
        <f t="shared" si="1"/>
        <v/>
      </c>
      <c r="B332" s="2"/>
      <c r="C332" s="2"/>
      <c r="D332" s="2"/>
      <c r="E332" s="2"/>
      <c r="F332" s="2"/>
      <c r="G332" s="10"/>
      <c r="H332" s="11"/>
      <c r="I332" s="11"/>
      <c r="J332" s="11"/>
      <c r="K332" s="11"/>
      <c r="L332" s="11"/>
      <c r="M332" s="11"/>
      <c r="N332" s="11"/>
      <c r="O332" s="3"/>
    </row>
    <row r="333" spans="1:15" ht="37.5" customHeight="1" x14ac:dyDescent="0.25">
      <c r="A333" s="9" t="str">
        <f t="shared" si="1"/>
        <v/>
      </c>
      <c r="B333" s="2"/>
      <c r="C333" s="2"/>
      <c r="D333" s="2"/>
      <c r="E333" s="2"/>
      <c r="F333" s="2"/>
      <c r="G333" s="10"/>
      <c r="H333" s="11"/>
      <c r="I333" s="11"/>
      <c r="J333" s="11"/>
      <c r="K333" s="11"/>
      <c r="L333" s="11"/>
      <c r="M333" s="11"/>
      <c r="N333" s="11"/>
      <c r="O333" s="3"/>
    </row>
    <row r="334" spans="1:15" ht="37.5" customHeight="1" x14ac:dyDescent="0.25">
      <c r="A334" s="9" t="str">
        <f t="shared" si="1"/>
        <v/>
      </c>
      <c r="B334" s="2"/>
      <c r="C334" s="2"/>
      <c r="D334" s="2"/>
      <c r="E334" s="2"/>
      <c r="F334" s="2"/>
      <c r="G334" s="10"/>
      <c r="H334" s="11"/>
      <c r="I334" s="11"/>
      <c r="J334" s="11"/>
      <c r="K334" s="11"/>
      <c r="L334" s="11"/>
      <c r="M334" s="11"/>
      <c r="N334" s="11"/>
      <c r="O334" s="3"/>
    </row>
    <row r="335" spans="1:15" ht="37.5" customHeight="1" x14ac:dyDescent="0.25">
      <c r="A335" s="9" t="str">
        <f t="shared" si="1"/>
        <v/>
      </c>
      <c r="B335" s="2"/>
      <c r="C335" s="2"/>
      <c r="D335" s="2"/>
      <c r="E335" s="2"/>
      <c r="F335" s="2"/>
      <c r="G335" s="10"/>
      <c r="H335" s="11"/>
      <c r="I335" s="11"/>
      <c r="J335" s="11"/>
      <c r="K335" s="11"/>
      <c r="L335" s="11"/>
      <c r="M335" s="11"/>
      <c r="N335" s="11"/>
      <c r="O335" s="3"/>
    </row>
    <row r="336" spans="1:15" ht="37.5" customHeight="1" x14ac:dyDescent="0.25">
      <c r="A336" s="9" t="str">
        <f t="shared" si="1"/>
        <v/>
      </c>
      <c r="B336" s="2"/>
      <c r="C336" s="2"/>
      <c r="D336" s="2"/>
      <c r="E336" s="2"/>
      <c r="F336" s="2"/>
      <c r="G336" s="10"/>
      <c r="H336" s="11"/>
      <c r="I336" s="11"/>
      <c r="J336" s="11"/>
      <c r="K336" s="11"/>
      <c r="L336" s="11"/>
      <c r="M336" s="11"/>
      <c r="N336" s="11"/>
      <c r="O336" s="3"/>
    </row>
    <row r="337" spans="1:15" ht="37.5" customHeight="1" x14ac:dyDescent="0.25">
      <c r="A337" s="9" t="str">
        <f t="shared" si="1"/>
        <v/>
      </c>
      <c r="B337" s="2"/>
      <c r="C337" s="2"/>
      <c r="D337" s="2"/>
      <c r="E337" s="2"/>
      <c r="F337" s="2"/>
      <c r="G337" s="10"/>
      <c r="H337" s="11"/>
      <c r="I337" s="11"/>
      <c r="J337" s="11"/>
      <c r="K337" s="11"/>
      <c r="L337" s="11"/>
      <c r="M337" s="11"/>
      <c r="N337" s="11"/>
      <c r="O337" s="3"/>
    </row>
    <row r="338" spans="1:15" ht="37.5" customHeight="1" x14ac:dyDescent="0.25">
      <c r="A338" s="9" t="str">
        <f t="shared" si="1"/>
        <v/>
      </c>
      <c r="B338" s="2"/>
      <c r="C338" s="2"/>
      <c r="D338" s="2"/>
      <c r="E338" s="2"/>
      <c r="F338" s="2"/>
      <c r="G338" s="10"/>
      <c r="H338" s="11"/>
      <c r="I338" s="11"/>
      <c r="J338" s="11"/>
      <c r="K338" s="11"/>
      <c r="L338" s="11"/>
      <c r="M338" s="11"/>
      <c r="N338" s="11"/>
      <c r="O338" s="3"/>
    </row>
    <row r="339" spans="1:15" ht="37.5" customHeight="1" x14ac:dyDescent="0.25">
      <c r="A339" s="9" t="str">
        <f t="shared" si="1"/>
        <v/>
      </c>
      <c r="B339" s="2"/>
      <c r="C339" s="2"/>
      <c r="D339" s="2"/>
      <c r="E339" s="2"/>
      <c r="F339" s="2"/>
      <c r="G339" s="10"/>
      <c r="H339" s="11"/>
      <c r="I339" s="11"/>
      <c r="J339" s="11"/>
      <c r="K339" s="11"/>
      <c r="L339" s="11"/>
      <c r="M339" s="11"/>
      <c r="N339" s="11"/>
      <c r="O339" s="3"/>
    </row>
    <row r="340" spans="1:15" ht="37.5" customHeight="1" x14ac:dyDescent="0.25">
      <c r="A340" s="9" t="str">
        <f t="shared" si="1"/>
        <v/>
      </c>
      <c r="B340" s="2"/>
      <c r="C340" s="2"/>
      <c r="D340" s="2"/>
      <c r="E340" s="2"/>
      <c r="F340" s="2"/>
      <c r="G340" s="10"/>
      <c r="H340" s="11"/>
      <c r="I340" s="11"/>
      <c r="J340" s="11"/>
      <c r="K340" s="11"/>
      <c r="L340" s="11"/>
      <c r="M340" s="11"/>
      <c r="N340" s="11"/>
      <c r="O340" s="3"/>
    </row>
    <row r="341" spans="1:15" ht="37.5" customHeight="1" x14ac:dyDescent="0.25">
      <c r="A341" s="9" t="str">
        <f t="shared" si="1"/>
        <v/>
      </c>
      <c r="B341" s="2"/>
      <c r="C341" s="2"/>
      <c r="D341" s="2"/>
      <c r="E341" s="2"/>
      <c r="F341" s="2"/>
      <c r="G341" s="10"/>
      <c r="H341" s="11"/>
      <c r="I341" s="11"/>
      <c r="J341" s="11"/>
      <c r="K341" s="11"/>
      <c r="L341" s="11"/>
      <c r="M341" s="11"/>
      <c r="N341" s="11"/>
      <c r="O341" s="3"/>
    </row>
    <row r="342" spans="1:15" ht="37.5" customHeight="1" x14ac:dyDescent="0.25">
      <c r="A342" s="9" t="str">
        <f t="shared" si="1"/>
        <v/>
      </c>
      <c r="B342" s="2"/>
      <c r="C342" s="2"/>
      <c r="D342" s="2"/>
      <c r="E342" s="2"/>
      <c r="F342" s="2"/>
      <c r="G342" s="10"/>
      <c r="H342" s="11"/>
      <c r="I342" s="11"/>
      <c r="J342" s="11"/>
      <c r="K342" s="11"/>
      <c r="L342" s="11"/>
      <c r="M342" s="11"/>
      <c r="N342" s="11"/>
      <c r="O342" s="3"/>
    </row>
    <row r="343" spans="1:15" ht="37.5" customHeight="1" x14ac:dyDescent="0.25">
      <c r="A343" s="9" t="str">
        <f t="shared" si="1"/>
        <v/>
      </c>
      <c r="B343" s="2"/>
      <c r="C343" s="2"/>
      <c r="D343" s="2"/>
      <c r="E343" s="2"/>
      <c r="F343" s="2"/>
      <c r="G343" s="10"/>
      <c r="H343" s="11"/>
      <c r="I343" s="11"/>
      <c r="J343" s="11"/>
      <c r="K343" s="11"/>
      <c r="L343" s="11"/>
      <c r="M343" s="11"/>
      <c r="N343" s="11"/>
      <c r="O343" s="3"/>
    </row>
    <row r="344" spans="1:15" ht="37.5" customHeight="1" x14ac:dyDescent="0.25">
      <c r="A344" s="9" t="str">
        <f t="shared" si="1"/>
        <v/>
      </c>
      <c r="B344" s="2"/>
      <c r="C344" s="2"/>
      <c r="D344" s="2"/>
      <c r="E344" s="2"/>
      <c r="F344" s="2"/>
      <c r="G344" s="10"/>
      <c r="H344" s="11"/>
      <c r="I344" s="11"/>
      <c r="J344" s="11"/>
      <c r="K344" s="11"/>
      <c r="L344" s="11"/>
      <c r="M344" s="11"/>
      <c r="N344" s="11"/>
      <c r="O344" s="3"/>
    </row>
    <row r="345" spans="1:15" ht="37.5" customHeight="1" x14ac:dyDescent="0.25">
      <c r="A345" s="9" t="str">
        <f t="shared" si="1"/>
        <v/>
      </c>
      <c r="B345" s="2"/>
      <c r="C345" s="2"/>
      <c r="D345" s="2"/>
      <c r="E345" s="2"/>
      <c r="F345" s="2"/>
      <c r="G345" s="10"/>
      <c r="H345" s="11"/>
      <c r="I345" s="11"/>
      <c r="J345" s="11"/>
      <c r="K345" s="11"/>
      <c r="L345" s="11"/>
      <c r="M345" s="11"/>
      <c r="N345" s="11"/>
      <c r="O345" s="3"/>
    </row>
    <row r="346" spans="1:15" ht="37.5" customHeight="1" x14ac:dyDescent="0.25">
      <c r="A346" s="9" t="str">
        <f t="shared" si="1"/>
        <v/>
      </c>
      <c r="B346" s="2"/>
      <c r="C346" s="2"/>
      <c r="D346" s="2"/>
      <c r="E346" s="2"/>
      <c r="F346" s="2"/>
      <c r="G346" s="10"/>
      <c r="H346" s="11"/>
      <c r="I346" s="11"/>
      <c r="J346" s="11"/>
      <c r="K346" s="11"/>
      <c r="L346" s="11"/>
      <c r="M346" s="11"/>
      <c r="N346" s="11"/>
      <c r="O346" s="3"/>
    </row>
    <row r="347" spans="1:15" ht="37.5" customHeight="1" x14ac:dyDescent="0.25">
      <c r="A347" s="9" t="str">
        <f t="shared" si="1"/>
        <v/>
      </c>
      <c r="B347" s="2"/>
      <c r="C347" s="2"/>
      <c r="D347" s="2"/>
      <c r="E347" s="2"/>
      <c r="F347" s="2"/>
      <c r="G347" s="10"/>
      <c r="H347" s="11"/>
      <c r="I347" s="11"/>
      <c r="J347" s="11"/>
      <c r="K347" s="11"/>
      <c r="L347" s="11"/>
      <c r="M347" s="11"/>
      <c r="N347" s="11"/>
      <c r="O347" s="3"/>
    </row>
    <row r="348" spans="1:15" ht="37.5" customHeight="1" x14ac:dyDescent="0.25">
      <c r="A348" s="9" t="str">
        <f t="shared" si="1"/>
        <v/>
      </c>
      <c r="B348" s="2"/>
      <c r="C348" s="2"/>
      <c r="D348" s="2"/>
      <c r="E348" s="2"/>
      <c r="F348" s="2"/>
      <c r="G348" s="10"/>
      <c r="H348" s="11"/>
      <c r="I348" s="11"/>
      <c r="J348" s="11"/>
      <c r="K348" s="11"/>
      <c r="L348" s="11"/>
      <c r="M348" s="11"/>
      <c r="N348" s="11"/>
      <c r="O348" s="3"/>
    </row>
    <row r="349" spans="1:15" ht="37.5" customHeight="1" x14ac:dyDescent="0.25">
      <c r="A349" s="9" t="str">
        <f t="shared" si="1"/>
        <v/>
      </c>
      <c r="B349" s="2"/>
      <c r="C349" s="2"/>
      <c r="D349" s="2"/>
      <c r="E349" s="2"/>
      <c r="F349" s="2"/>
      <c r="G349" s="10"/>
      <c r="H349" s="11"/>
      <c r="I349" s="11"/>
      <c r="J349" s="11"/>
      <c r="K349" s="11"/>
      <c r="L349" s="11"/>
      <c r="M349" s="11"/>
      <c r="N349" s="11"/>
      <c r="O349" s="3"/>
    </row>
    <row r="350" spans="1:15" ht="37.5" customHeight="1" x14ac:dyDescent="0.25">
      <c r="A350" s="9" t="str">
        <f t="shared" si="1"/>
        <v/>
      </c>
      <c r="B350" s="2"/>
      <c r="C350" s="2"/>
      <c r="D350" s="2"/>
      <c r="E350" s="2"/>
      <c r="F350" s="2"/>
      <c r="G350" s="10"/>
      <c r="H350" s="11"/>
      <c r="I350" s="11"/>
      <c r="J350" s="11"/>
      <c r="K350" s="11"/>
      <c r="L350" s="11"/>
      <c r="M350" s="11"/>
      <c r="N350" s="11"/>
      <c r="O350" s="3"/>
    </row>
    <row r="351" spans="1:15" ht="37.5" customHeight="1" x14ac:dyDescent="0.25">
      <c r="A351" s="9" t="str">
        <f t="shared" si="1"/>
        <v/>
      </c>
      <c r="B351" s="2"/>
      <c r="C351" s="2"/>
      <c r="D351" s="2"/>
      <c r="E351" s="2"/>
      <c r="F351" s="2"/>
      <c r="G351" s="10"/>
      <c r="H351" s="11"/>
      <c r="I351" s="11"/>
      <c r="J351" s="11"/>
      <c r="K351" s="11"/>
      <c r="L351" s="11"/>
      <c r="M351" s="11"/>
      <c r="N351" s="11"/>
      <c r="O351" s="3"/>
    </row>
    <row r="352" spans="1:15" ht="37.5" customHeight="1" x14ac:dyDescent="0.25">
      <c r="A352" s="9" t="str">
        <f t="shared" si="1"/>
        <v/>
      </c>
      <c r="B352" s="2"/>
      <c r="C352" s="2"/>
      <c r="D352" s="2"/>
      <c r="E352" s="2"/>
      <c r="F352" s="2"/>
      <c r="G352" s="10"/>
      <c r="H352" s="11"/>
      <c r="I352" s="11"/>
      <c r="J352" s="11"/>
      <c r="K352" s="11"/>
      <c r="L352" s="11"/>
      <c r="M352" s="11"/>
      <c r="N352" s="11"/>
      <c r="O352" s="3"/>
    </row>
    <row r="353" spans="1:15" ht="37.5" customHeight="1" x14ac:dyDescent="0.25">
      <c r="A353" s="9" t="str">
        <f t="shared" si="1"/>
        <v/>
      </c>
      <c r="B353" s="2"/>
      <c r="C353" s="2"/>
      <c r="D353" s="2"/>
      <c r="E353" s="2"/>
      <c r="F353" s="2"/>
      <c r="G353" s="10"/>
      <c r="H353" s="11"/>
      <c r="I353" s="11"/>
      <c r="J353" s="11"/>
      <c r="K353" s="11"/>
      <c r="L353" s="11"/>
      <c r="M353" s="11"/>
      <c r="N353" s="11"/>
      <c r="O353" s="3"/>
    </row>
    <row r="354" spans="1:15" ht="37.5" customHeight="1" x14ac:dyDescent="0.25">
      <c r="A354" s="9" t="str">
        <f t="shared" si="1"/>
        <v/>
      </c>
      <c r="B354" s="2"/>
      <c r="C354" s="2"/>
      <c r="D354" s="2"/>
      <c r="E354" s="2"/>
      <c r="F354" s="2"/>
      <c r="G354" s="10"/>
      <c r="H354" s="11"/>
      <c r="I354" s="11"/>
      <c r="J354" s="11"/>
      <c r="K354" s="11"/>
      <c r="L354" s="11"/>
      <c r="M354" s="11"/>
      <c r="N354" s="11"/>
      <c r="O354" s="3"/>
    </row>
    <row r="355" spans="1:15" ht="37.5" customHeight="1" x14ac:dyDescent="0.25">
      <c r="A355" s="9" t="str">
        <f t="shared" si="1"/>
        <v/>
      </c>
      <c r="B355" s="2"/>
      <c r="C355" s="2"/>
      <c r="D355" s="2"/>
      <c r="E355" s="2"/>
      <c r="F355" s="2"/>
      <c r="G355" s="10"/>
      <c r="H355" s="11"/>
      <c r="I355" s="11"/>
      <c r="J355" s="11"/>
      <c r="K355" s="11"/>
      <c r="L355" s="11"/>
      <c r="M355" s="11"/>
      <c r="N355" s="11"/>
      <c r="O355" s="3"/>
    </row>
    <row r="356" spans="1:15" ht="37.5" customHeight="1" x14ac:dyDescent="0.25">
      <c r="A356" s="9" t="str">
        <f t="shared" si="1"/>
        <v/>
      </c>
      <c r="B356" s="2"/>
      <c r="C356" s="2"/>
      <c r="D356" s="2"/>
      <c r="E356" s="2"/>
      <c r="F356" s="2"/>
      <c r="G356" s="10"/>
      <c r="H356" s="11"/>
      <c r="I356" s="11"/>
      <c r="J356" s="11"/>
      <c r="K356" s="11"/>
      <c r="L356" s="11"/>
      <c r="M356" s="11"/>
      <c r="N356" s="11"/>
      <c r="O356" s="3"/>
    </row>
    <row r="357" spans="1:15" ht="37.5" customHeight="1" x14ac:dyDescent="0.25">
      <c r="A357" s="9" t="str">
        <f t="shared" si="1"/>
        <v/>
      </c>
      <c r="B357" s="2"/>
      <c r="C357" s="2"/>
      <c r="D357" s="2"/>
      <c r="E357" s="2"/>
      <c r="F357" s="2"/>
      <c r="G357" s="10"/>
      <c r="H357" s="11"/>
      <c r="I357" s="11"/>
      <c r="J357" s="11"/>
      <c r="K357" s="11"/>
      <c r="L357" s="11"/>
      <c r="M357" s="11"/>
      <c r="N357" s="11"/>
      <c r="O357" s="3"/>
    </row>
    <row r="358" spans="1:15" ht="37.5" customHeight="1" x14ac:dyDescent="0.25">
      <c r="A358" s="9" t="str">
        <f t="shared" si="1"/>
        <v/>
      </c>
      <c r="B358" s="2"/>
      <c r="C358" s="2"/>
      <c r="D358" s="2"/>
      <c r="E358" s="2"/>
      <c r="F358" s="2"/>
      <c r="G358" s="10"/>
      <c r="H358" s="11"/>
      <c r="I358" s="11"/>
      <c r="J358" s="11"/>
      <c r="K358" s="11"/>
      <c r="L358" s="11"/>
      <c r="M358" s="11"/>
      <c r="N358" s="11"/>
      <c r="O358" s="3"/>
    </row>
    <row r="359" spans="1:15" ht="37.5" customHeight="1" x14ac:dyDescent="0.25">
      <c r="A359" s="9" t="str">
        <f t="shared" si="1"/>
        <v/>
      </c>
      <c r="B359" s="2"/>
      <c r="C359" s="2"/>
      <c r="D359" s="2"/>
      <c r="E359" s="2"/>
      <c r="F359" s="2"/>
      <c r="G359" s="10"/>
      <c r="H359" s="11"/>
      <c r="I359" s="11"/>
      <c r="J359" s="11"/>
      <c r="K359" s="11"/>
      <c r="L359" s="11"/>
      <c r="M359" s="11"/>
      <c r="N359" s="11"/>
      <c r="O359" s="3"/>
    </row>
    <row r="360" spans="1:15" ht="37.5" customHeight="1" x14ac:dyDescent="0.25">
      <c r="A360" s="9" t="str">
        <f t="shared" si="1"/>
        <v/>
      </c>
      <c r="B360" s="2"/>
      <c r="C360" s="2"/>
      <c r="D360" s="2"/>
      <c r="E360" s="2"/>
      <c r="F360" s="2"/>
      <c r="G360" s="10"/>
      <c r="H360" s="11"/>
      <c r="I360" s="11"/>
      <c r="J360" s="11"/>
      <c r="K360" s="11"/>
      <c r="L360" s="11"/>
      <c r="M360" s="11"/>
      <c r="N360" s="11"/>
      <c r="O360" s="3"/>
    </row>
    <row r="361" spans="1:15" ht="37.5" customHeight="1" x14ac:dyDescent="0.25">
      <c r="A361" s="9" t="str">
        <f t="shared" si="1"/>
        <v/>
      </c>
      <c r="B361" s="2"/>
      <c r="C361" s="2"/>
      <c r="D361" s="2"/>
      <c r="E361" s="2"/>
      <c r="F361" s="2"/>
      <c r="G361" s="10"/>
      <c r="H361" s="11"/>
      <c r="I361" s="11"/>
      <c r="J361" s="11"/>
      <c r="K361" s="11"/>
      <c r="L361" s="11"/>
      <c r="M361" s="11"/>
      <c r="N361" s="11"/>
      <c r="O361" s="3"/>
    </row>
    <row r="362" spans="1:15" ht="37.5" customHeight="1" x14ac:dyDescent="0.25">
      <c r="A362" s="9" t="str">
        <f t="shared" si="1"/>
        <v/>
      </c>
      <c r="B362" s="2"/>
      <c r="C362" s="2"/>
      <c r="D362" s="2"/>
      <c r="E362" s="2"/>
      <c r="F362" s="2"/>
      <c r="G362" s="10"/>
      <c r="H362" s="11"/>
      <c r="I362" s="11"/>
      <c r="J362" s="11"/>
      <c r="K362" s="11"/>
      <c r="L362" s="11"/>
      <c r="M362" s="11"/>
      <c r="N362" s="11"/>
      <c r="O362" s="3"/>
    </row>
    <row r="363" spans="1:15" ht="37.5" customHeight="1" x14ac:dyDescent="0.25">
      <c r="A363" s="9" t="str">
        <f t="shared" si="1"/>
        <v/>
      </c>
      <c r="B363" s="2"/>
      <c r="C363" s="2"/>
      <c r="D363" s="2"/>
      <c r="E363" s="2"/>
      <c r="F363" s="2"/>
      <c r="G363" s="10"/>
      <c r="H363" s="11"/>
      <c r="I363" s="11"/>
      <c r="J363" s="11"/>
      <c r="K363" s="11"/>
      <c r="L363" s="11"/>
      <c r="M363" s="11"/>
      <c r="N363" s="11"/>
      <c r="O363" s="3"/>
    </row>
    <row r="364" spans="1:15" ht="37.5" customHeight="1" x14ac:dyDescent="0.25">
      <c r="A364" s="9" t="str">
        <f t="shared" si="1"/>
        <v/>
      </c>
      <c r="B364" s="2"/>
      <c r="C364" s="2"/>
      <c r="D364" s="2"/>
      <c r="E364" s="2"/>
      <c r="F364" s="2"/>
      <c r="G364" s="10"/>
      <c r="H364" s="11"/>
      <c r="I364" s="11"/>
      <c r="J364" s="11"/>
      <c r="K364" s="11"/>
      <c r="L364" s="11"/>
      <c r="M364" s="11"/>
      <c r="N364" s="11"/>
      <c r="O364" s="3"/>
    </row>
    <row r="365" spans="1:15" ht="37.5" customHeight="1" x14ac:dyDescent="0.25">
      <c r="A365" s="9" t="str">
        <f t="shared" si="1"/>
        <v/>
      </c>
      <c r="B365" s="2"/>
      <c r="C365" s="2"/>
      <c r="D365" s="2"/>
      <c r="E365" s="2"/>
      <c r="F365" s="2"/>
      <c r="G365" s="10"/>
      <c r="H365" s="11"/>
      <c r="I365" s="11"/>
      <c r="J365" s="11"/>
      <c r="K365" s="11"/>
      <c r="L365" s="11"/>
      <c r="M365" s="11"/>
      <c r="N365" s="11"/>
      <c r="O365" s="3"/>
    </row>
    <row r="366" spans="1:15" ht="37.5" customHeight="1" x14ac:dyDescent="0.25">
      <c r="A366" s="9" t="str">
        <f t="shared" si="1"/>
        <v/>
      </c>
      <c r="B366" s="2"/>
      <c r="C366" s="2"/>
      <c r="D366" s="2"/>
      <c r="E366" s="2"/>
      <c r="F366" s="2"/>
      <c r="G366" s="10"/>
      <c r="H366" s="11"/>
      <c r="I366" s="11"/>
      <c r="J366" s="11"/>
      <c r="K366" s="11"/>
      <c r="L366" s="11"/>
      <c r="M366" s="11"/>
      <c r="N366" s="11"/>
      <c r="O366" s="3"/>
    </row>
    <row r="367" spans="1:15" ht="37.5" customHeight="1" x14ac:dyDescent="0.25">
      <c r="A367" s="9" t="str">
        <f t="shared" si="1"/>
        <v/>
      </c>
      <c r="B367" s="2"/>
      <c r="C367" s="2"/>
      <c r="D367" s="2"/>
      <c r="E367" s="2"/>
      <c r="F367" s="2"/>
      <c r="G367" s="10"/>
      <c r="H367" s="11"/>
      <c r="I367" s="11"/>
      <c r="J367" s="11"/>
      <c r="K367" s="11"/>
      <c r="L367" s="11"/>
      <c r="M367" s="11"/>
      <c r="N367" s="11"/>
      <c r="O367" s="3"/>
    </row>
    <row r="368" spans="1:15" ht="37.5" customHeight="1" x14ac:dyDescent="0.25">
      <c r="A368" s="9" t="str">
        <f t="shared" si="1"/>
        <v/>
      </c>
      <c r="B368" s="2"/>
      <c r="C368" s="2"/>
      <c r="D368" s="2"/>
      <c r="E368" s="2"/>
      <c r="F368" s="2"/>
      <c r="G368" s="10"/>
      <c r="H368" s="11"/>
      <c r="I368" s="11"/>
      <c r="J368" s="11"/>
      <c r="K368" s="11"/>
      <c r="L368" s="11"/>
      <c r="M368" s="11"/>
      <c r="N368" s="11"/>
      <c r="O368" s="3"/>
    </row>
    <row r="369" spans="1:15" ht="37.5" customHeight="1" x14ac:dyDescent="0.25">
      <c r="A369" s="9" t="str">
        <f t="shared" si="1"/>
        <v/>
      </c>
      <c r="B369" s="2"/>
      <c r="C369" s="2"/>
      <c r="D369" s="2"/>
      <c r="E369" s="2"/>
      <c r="F369" s="2"/>
      <c r="G369" s="10"/>
      <c r="H369" s="11"/>
      <c r="I369" s="11"/>
      <c r="J369" s="11"/>
      <c r="K369" s="11"/>
      <c r="L369" s="11"/>
      <c r="M369" s="11"/>
      <c r="N369" s="11"/>
      <c r="O369" s="3"/>
    </row>
    <row r="370" spans="1:15" ht="37.5" customHeight="1" x14ac:dyDescent="0.25">
      <c r="A370" s="9" t="str">
        <f t="shared" si="1"/>
        <v/>
      </c>
      <c r="B370" s="2"/>
      <c r="C370" s="2"/>
      <c r="D370" s="2"/>
      <c r="E370" s="2"/>
      <c r="F370" s="2"/>
      <c r="G370" s="10"/>
      <c r="H370" s="11"/>
      <c r="I370" s="11"/>
      <c r="J370" s="11"/>
      <c r="K370" s="11"/>
      <c r="L370" s="11"/>
      <c r="M370" s="11"/>
      <c r="N370" s="11"/>
      <c r="O370" s="3"/>
    </row>
    <row r="371" spans="1:15" ht="37.5" customHeight="1" x14ac:dyDescent="0.25">
      <c r="A371" s="9" t="str">
        <f t="shared" si="1"/>
        <v/>
      </c>
      <c r="B371" s="2"/>
      <c r="C371" s="2"/>
      <c r="D371" s="2"/>
      <c r="E371" s="2"/>
      <c r="F371" s="2"/>
      <c r="G371" s="10"/>
      <c r="H371" s="11"/>
      <c r="I371" s="11"/>
      <c r="J371" s="11"/>
      <c r="K371" s="11"/>
      <c r="L371" s="11"/>
      <c r="M371" s="11"/>
      <c r="N371" s="11"/>
      <c r="O371" s="3"/>
    </row>
    <row r="372" spans="1:15" ht="37.5" customHeight="1" x14ac:dyDescent="0.25">
      <c r="A372" s="9" t="str">
        <f t="shared" si="1"/>
        <v/>
      </c>
      <c r="B372" s="2"/>
      <c r="C372" s="2"/>
      <c r="D372" s="2"/>
      <c r="E372" s="2"/>
      <c r="F372" s="2"/>
      <c r="G372" s="10"/>
      <c r="H372" s="11"/>
      <c r="I372" s="11"/>
      <c r="J372" s="11"/>
      <c r="K372" s="11"/>
      <c r="L372" s="11"/>
      <c r="M372" s="11"/>
      <c r="N372" s="11"/>
      <c r="O372" s="3"/>
    </row>
    <row r="373" spans="1:15" ht="37.5" customHeight="1" x14ac:dyDescent="0.25">
      <c r="A373" s="9" t="str">
        <f t="shared" si="1"/>
        <v/>
      </c>
      <c r="B373" s="2"/>
      <c r="C373" s="2"/>
      <c r="D373" s="2"/>
      <c r="E373" s="2"/>
      <c r="F373" s="2"/>
      <c r="G373" s="10"/>
      <c r="H373" s="11"/>
      <c r="I373" s="11"/>
      <c r="J373" s="11"/>
      <c r="K373" s="11"/>
      <c r="L373" s="11"/>
      <c r="M373" s="11"/>
      <c r="N373" s="11"/>
      <c r="O373" s="3"/>
    </row>
    <row r="374" spans="1:15" ht="37.5" customHeight="1" x14ac:dyDescent="0.25">
      <c r="A374" s="9" t="str">
        <f t="shared" si="1"/>
        <v/>
      </c>
      <c r="B374" s="2"/>
      <c r="C374" s="2"/>
      <c r="D374" s="2"/>
      <c r="E374" s="2"/>
      <c r="F374" s="2"/>
      <c r="G374" s="10"/>
      <c r="H374" s="11"/>
      <c r="I374" s="11"/>
      <c r="J374" s="11"/>
      <c r="K374" s="11"/>
      <c r="L374" s="11"/>
      <c r="M374" s="11"/>
      <c r="N374" s="11"/>
      <c r="O374" s="3"/>
    </row>
    <row r="375" spans="1:15" ht="37.5" customHeight="1" x14ac:dyDescent="0.25">
      <c r="A375" s="9" t="str">
        <f t="shared" si="1"/>
        <v/>
      </c>
      <c r="B375" s="2"/>
      <c r="C375" s="2"/>
      <c r="D375" s="2"/>
      <c r="E375" s="2"/>
      <c r="F375" s="2"/>
      <c r="G375" s="10"/>
      <c r="H375" s="11"/>
      <c r="I375" s="11"/>
      <c r="J375" s="11"/>
      <c r="K375" s="11"/>
      <c r="L375" s="11"/>
      <c r="M375" s="11"/>
      <c r="N375" s="11"/>
      <c r="O375" s="3"/>
    </row>
    <row r="376" spans="1:15" ht="37.5" customHeight="1" x14ac:dyDescent="0.25">
      <c r="A376" s="9" t="str">
        <f t="shared" si="1"/>
        <v/>
      </c>
      <c r="B376" s="2"/>
      <c r="C376" s="2"/>
      <c r="D376" s="2"/>
      <c r="E376" s="2"/>
      <c r="F376" s="2"/>
      <c r="G376" s="10"/>
      <c r="H376" s="11"/>
      <c r="I376" s="11"/>
      <c r="J376" s="11"/>
      <c r="K376" s="11"/>
      <c r="L376" s="11"/>
      <c r="M376" s="11"/>
      <c r="N376" s="11"/>
      <c r="O376" s="3"/>
    </row>
    <row r="377" spans="1:15" ht="37.5" customHeight="1" x14ac:dyDescent="0.25">
      <c r="A377" s="9" t="str">
        <f t="shared" si="1"/>
        <v/>
      </c>
      <c r="B377" s="2"/>
      <c r="C377" s="2"/>
      <c r="D377" s="2"/>
      <c r="E377" s="2"/>
      <c r="F377" s="2"/>
      <c r="G377" s="10"/>
      <c r="H377" s="11"/>
      <c r="I377" s="11"/>
      <c r="J377" s="11"/>
      <c r="K377" s="11"/>
      <c r="L377" s="11"/>
      <c r="M377" s="11"/>
      <c r="N377" s="11"/>
      <c r="O377" s="3"/>
    </row>
    <row r="378" spans="1:15" ht="37.5" customHeight="1" x14ac:dyDescent="0.25">
      <c r="A378" s="9" t="str">
        <f t="shared" si="1"/>
        <v/>
      </c>
      <c r="B378" s="2"/>
      <c r="C378" s="2"/>
      <c r="D378" s="2"/>
      <c r="E378" s="2"/>
      <c r="F378" s="2"/>
      <c r="G378" s="10"/>
      <c r="H378" s="11"/>
      <c r="I378" s="11"/>
      <c r="J378" s="11"/>
      <c r="K378" s="11"/>
      <c r="L378" s="11"/>
      <c r="M378" s="11"/>
      <c r="N378" s="11"/>
      <c r="O378" s="3"/>
    </row>
    <row r="379" spans="1:15" ht="37.5" customHeight="1" x14ac:dyDescent="0.25">
      <c r="A379" s="9" t="str">
        <f t="shared" si="1"/>
        <v/>
      </c>
      <c r="B379" s="2"/>
      <c r="C379" s="2"/>
      <c r="D379" s="2"/>
      <c r="E379" s="2"/>
      <c r="F379" s="2"/>
      <c r="G379" s="10"/>
      <c r="H379" s="11"/>
      <c r="I379" s="11"/>
      <c r="J379" s="11"/>
      <c r="K379" s="11"/>
      <c r="L379" s="11"/>
      <c r="M379" s="11"/>
      <c r="N379" s="11"/>
      <c r="O379" s="3"/>
    </row>
    <row r="380" spans="1:15" ht="37.5" customHeight="1" x14ac:dyDescent="0.25">
      <c r="A380" s="9" t="str">
        <f t="shared" si="1"/>
        <v/>
      </c>
      <c r="B380" s="2"/>
      <c r="C380" s="2"/>
      <c r="D380" s="2"/>
      <c r="E380" s="2"/>
      <c r="F380" s="2"/>
      <c r="G380" s="10"/>
      <c r="H380" s="11"/>
      <c r="I380" s="11"/>
      <c r="J380" s="11"/>
      <c r="K380" s="11"/>
      <c r="L380" s="11"/>
      <c r="M380" s="11"/>
      <c r="N380" s="11"/>
      <c r="O380" s="3"/>
    </row>
    <row r="381" spans="1:15" ht="37.5" customHeight="1" x14ac:dyDescent="0.25">
      <c r="A381" s="9" t="str">
        <f t="shared" si="1"/>
        <v/>
      </c>
      <c r="B381" s="2"/>
      <c r="C381" s="2"/>
      <c r="D381" s="2"/>
      <c r="E381" s="2"/>
      <c r="F381" s="2"/>
      <c r="G381" s="10"/>
      <c r="H381" s="11"/>
      <c r="I381" s="11"/>
      <c r="J381" s="11"/>
      <c r="K381" s="11"/>
      <c r="L381" s="11"/>
      <c r="M381" s="11"/>
      <c r="N381" s="11"/>
      <c r="O381" s="3"/>
    </row>
    <row r="382" spans="1:15" ht="37.5" customHeight="1" x14ac:dyDescent="0.25">
      <c r="A382" s="9" t="str">
        <f t="shared" si="1"/>
        <v/>
      </c>
      <c r="B382" s="2"/>
      <c r="C382" s="2"/>
      <c r="D382" s="2"/>
      <c r="E382" s="2"/>
      <c r="F382" s="2"/>
      <c r="G382" s="10"/>
      <c r="H382" s="11"/>
      <c r="I382" s="11"/>
      <c r="J382" s="11"/>
      <c r="K382" s="11"/>
      <c r="L382" s="11"/>
      <c r="M382" s="11"/>
      <c r="N382" s="11"/>
      <c r="O382" s="3"/>
    </row>
    <row r="383" spans="1:15" ht="37.5" customHeight="1" x14ac:dyDescent="0.25">
      <c r="A383" s="9" t="str">
        <f t="shared" si="1"/>
        <v/>
      </c>
      <c r="B383" s="2"/>
      <c r="C383" s="2"/>
      <c r="D383" s="2"/>
      <c r="E383" s="2"/>
      <c r="F383" s="2"/>
      <c r="G383" s="10"/>
      <c r="H383" s="11"/>
      <c r="I383" s="11"/>
      <c r="J383" s="11"/>
      <c r="K383" s="11"/>
      <c r="L383" s="11"/>
      <c r="M383" s="11"/>
      <c r="N383" s="11"/>
      <c r="O383" s="3"/>
    </row>
    <row r="384" spans="1:15" ht="37.5" customHeight="1" x14ac:dyDescent="0.25">
      <c r="A384" s="9" t="str">
        <f t="shared" si="1"/>
        <v/>
      </c>
      <c r="B384" s="2"/>
      <c r="C384" s="2"/>
      <c r="D384" s="2"/>
      <c r="E384" s="2"/>
      <c r="F384" s="2"/>
      <c r="G384" s="10"/>
      <c r="H384" s="11"/>
      <c r="I384" s="11"/>
      <c r="J384" s="11"/>
      <c r="K384" s="11"/>
      <c r="L384" s="11"/>
      <c r="M384" s="11"/>
      <c r="N384" s="11"/>
      <c r="O384" s="3"/>
    </row>
    <row r="385" spans="1:15" ht="37.5" customHeight="1" x14ac:dyDescent="0.25">
      <c r="A385" s="9" t="str">
        <f t="shared" si="1"/>
        <v/>
      </c>
      <c r="B385" s="2"/>
      <c r="C385" s="2"/>
      <c r="D385" s="2"/>
      <c r="E385" s="2"/>
      <c r="F385" s="2"/>
      <c r="G385" s="10"/>
      <c r="H385" s="11"/>
      <c r="I385" s="11"/>
      <c r="J385" s="11"/>
      <c r="K385" s="11"/>
      <c r="L385" s="11"/>
      <c r="M385" s="11"/>
      <c r="N385" s="11"/>
      <c r="O385" s="3"/>
    </row>
    <row r="386" spans="1:15" ht="37.5" customHeight="1" x14ac:dyDescent="0.25">
      <c r="A386" s="9" t="str">
        <f t="shared" si="1"/>
        <v/>
      </c>
      <c r="B386" s="2"/>
      <c r="C386" s="2"/>
      <c r="D386" s="2"/>
      <c r="E386" s="2"/>
      <c r="F386" s="2"/>
      <c r="G386" s="10"/>
      <c r="H386" s="11"/>
      <c r="I386" s="11"/>
      <c r="J386" s="11"/>
      <c r="K386" s="11"/>
      <c r="L386" s="11"/>
      <c r="M386" s="11"/>
      <c r="N386" s="11"/>
      <c r="O386" s="3"/>
    </row>
    <row r="387" spans="1:15" ht="37.5" customHeight="1" x14ac:dyDescent="0.25">
      <c r="A387" s="9" t="str">
        <f t="shared" si="1"/>
        <v/>
      </c>
      <c r="B387" s="2"/>
      <c r="C387" s="2"/>
      <c r="D387" s="2"/>
      <c r="E387" s="2"/>
      <c r="F387" s="2"/>
      <c r="G387" s="10"/>
      <c r="H387" s="11"/>
      <c r="I387" s="11"/>
      <c r="J387" s="11"/>
      <c r="K387" s="11"/>
      <c r="L387" s="11"/>
      <c r="M387" s="11"/>
      <c r="N387" s="11"/>
      <c r="O387" s="3"/>
    </row>
    <row r="388" spans="1:15" ht="37.5" customHeight="1" x14ac:dyDescent="0.25">
      <c r="A388" s="9" t="str">
        <f t="shared" si="1"/>
        <v/>
      </c>
      <c r="B388" s="2"/>
      <c r="C388" s="2"/>
      <c r="D388" s="2"/>
      <c r="E388" s="2"/>
      <c r="F388" s="2"/>
      <c r="G388" s="10"/>
      <c r="H388" s="11"/>
      <c r="I388" s="11"/>
      <c r="J388" s="11"/>
      <c r="K388" s="11"/>
      <c r="L388" s="11"/>
      <c r="M388" s="11"/>
      <c r="N388" s="11"/>
      <c r="O388" s="3"/>
    </row>
    <row r="389" spans="1:15" ht="37.5" customHeight="1" x14ac:dyDescent="0.25">
      <c r="A389" s="9" t="str">
        <f t="shared" si="1"/>
        <v/>
      </c>
      <c r="B389" s="2"/>
      <c r="C389" s="2"/>
      <c r="D389" s="2"/>
      <c r="E389" s="2"/>
      <c r="F389" s="2"/>
      <c r="G389" s="10"/>
      <c r="H389" s="11"/>
      <c r="I389" s="11"/>
      <c r="J389" s="11"/>
      <c r="K389" s="11"/>
      <c r="L389" s="11"/>
      <c r="M389" s="11"/>
      <c r="N389" s="11"/>
      <c r="O389" s="3"/>
    </row>
    <row r="390" spans="1:15" ht="37.5" customHeight="1" x14ac:dyDescent="0.25">
      <c r="A390" s="9" t="str">
        <f t="shared" si="1"/>
        <v/>
      </c>
      <c r="B390" s="2"/>
      <c r="C390" s="2"/>
      <c r="D390" s="2"/>
      <c r="E390" s="2"/>
      <c r="F390" s="2"/>
      <c r="G390" s="10"/>
      <c r="H390" s="11"/>
      <c r="I390" s="11"/>
      <c r="J390" s="11"/>
      <c r="K390" s="11"/>
      <c r="L390" s="11"/>
      <c r="M390" s="11"/>
      <c r="N390" s="11"/>
      <c r="O390" s="3"/>
    </row>
    <row r="391" spans="1:15" ht="37.5" customHeight="1" x14ac:dyDescent="0.25">
      <c r="A391" s="9" t="str">
        <f t="shared" si="1"/>
        <v/>
      </c>
      <c r="B391" s="2"/>
      <c r="C391" s="2"/>
      <c r="D391" s="2"/>
      <c r="E391" s="2"/>
      <c r="F391" s="2"/>
      <c r="G391" s="10"/>
      <c r="H391" s="11"/>
      <c r="I391" s="11"/>
      <c r="J391" s="11"/>
      <c r="K391" s="11"/>
      <c r="L391" s="11"/>
      <c r="M391" s="11"/>
      <c r="N391" s="11"/>
      <c r="O391" s="3"/>
    </row>
    <row r="392" spans="1:15" ht="37.5" customHeight="1" x14ac:dyDescent="0.25">
      <c r="A392" s="9" t="str">
        <f t="shared" si="1"/>
        <v/>
      </c>
      <c r="B392" s="2"/>
      <c r="C392" s="2"/>
      <c r="D392" s="2"/>
      <c r="E392" s="2"/>
      <c r="F392" s="2"/>
      <c r="G392" s="10"/>
      <c r="H392" s="11"/>
      <c r="I392" s="11"/>
      <c r="J392" s="11"/>
      <c r="K392" s="11"/>
      <c r="L392" s="11"/>
      <c r="M392" s="11"/>
      <c r="N392" s="11"/>
      <c r="O392" s="3"/>
    </row>
    <row r="393" spans="1:15" ht="37.5" customHeight="1" x14ac:dyDescent="0.25">
      <c r="A393" s="9" t="str">
        <f t="shared" si="1"/>
        <v/>
      </c>
      <c r="B393" s="2"/>
      <c r="C393" s="2"/>
      <c r="D393" s="2"/>
      <c r="E393" s="2"/>
      <c r="F393" s="2"/>
      <c r="G393" s="10"/>
      <c r="H393" s="11"/>
      <c r="I393" s="11"/>
      <c r="J393" s="11"/>
      <c r="K393" s="11"/>
      <c r="L393" s="11"/>
      <c r="M393" s="11"/>
      <c r="N393" s="11"/>
      <c r="O393" s="3"/>
    </row>
    <row r="394" spans="1:15" ht="37.5" customHeight="1" x14ac:dyDescent="0.25">
      <c r="A394" s="9" t="str">
        <f t="shared" si="1"/>
        <v/>
      </c>
      <c r="B394" s="2"/>
      <c r="C394" s="2"/>
      <c r="D394" s="2"/>
      <c r="E394" s="2"/>
      <c r="F394" s="2"/>
      <c r="G394" s="10"/>
      <c r="H394" s="11"/>
      <c r="I394" s="11"/>
      <c r="J394" s="11"/>
      <c r="K394" s="11"/>
      <c r="L394" s="11"/>
      <c r="M394" s="11"/>
      <c r="N394" s="11"/>
      <c r="O394" s="3"/>
    </row>
    <row r="395" spans="1:15" ht="37.5" customHeight="1" x14ac:dyDescent="0.25">
      <c r="A395" s="9" t="str">
        <f t="shared" si="1"/>
        <v/>
      </c>
      <c r="B395" s="2"/>
      <c r="C395" s="2"/>
      <c r="D395" s="2"/>
      <c r="E395" s="2"/>
      <c r="F395" s="2"/>
      <c r="G395" s="10"/>
      <c r="H395" s="11"/>
      <c r="I395" s="11"/>
      <c r="J395" s="11"/>
      <c r="K395" s="11"/>
      <c r="L395" s="11"/>
      <c r="M395" s="11"/>
      <c r="N395" s="11"/>
      <c r="O395" s="3"/>
    </row>
    <row r="396" spans="1:15" ht="37.5" customHeight="1" x14ac:dyDescent="0.25">
      <c r="A396" s="9" t="str">
        <f t="shared" si="1"/>
        <v/>
      </c>
      <c r="B396" s="2"/>
      <c r="C396" s="2"/>
      <c r="D396" s="2"/>
      <c r="E396" s="2"/>
      <c r="F396" s="2"/>
      <c r="G396" s="10"/>
      <c r="H396" s="11"/>
      <c r="I396" s="11"/>
      <c r="J396" s="11"/>
      <c r="K396" s="11"/>
      <c r="L396" s="11"/>
      <c r="M396" s="11"/>
      <c r="N396" s="11"/>
      <c r="O396" s="3"/>
    </row>
    <row r="397" spans="1:15" ht="37.5" customHeight="1" x14ac:dyDescent="0.25">
      <c r="A397" s="9" t="str">
        <f t="shared" si="1"/>
        <v/>
      </c>
      <c r="B397" s="2"/>
      <c r="C397" s="2"/>
      <c r="D397" s="2"/>
      <c r="E397" s="2"/>
      <c r="F397" s="2"/>
      <c r="G397" s="10"/>
      <c r="H397" s="11"/>
      <c r="I397" s="11"/>
      <c r="J397" s="11"/>
      <c r="K397" s="11"/>
      <c r="L397" s="11"/>
      <c r="M397" s="11"/>
      <c r="N397" s="11"/>
      <c r="O397" s="3"/>
    </row>
    <row r="398" spans="1:15" ht="37.5" customHeight="1" x14ac:dyDescent="0.25">
      <c r="A398" s="9" t="str">
        <f t="shared" si="1"/>
        <v/>
      </c>
      <c r="B398" s="2"/>
      <c r="C398" s="2"/>
      <c r="D398" s="2"/>
      <c r="E398" s="2"/>
      <c r="F398" s="2"/>
      <c r="G398" s="10"/>
      <c r="H398" s="11"/>
      <c r="I398" s="11"/>
      <c r="J398" s="11"/>
      <c r="K398" s="11"/>
      <c r="L398" s="11"/>
      <c r="M398" s="11"/>
      <c r="N398" s="11"/>
      <c r="O398" s="3"/>
    </row>
    <row r="399" spans="1:15" ht="37.5" customHeight="1" x14ac:dyDescent="0.25">
      <c r="A399" s="9" t="str">
        <f t="shared" si="1"/>
        <v/>
      </c>
      <c r="B399" s="2"/>
      <c r="C399" s="2"/>
      <c r="D399" s="2"/>
      <c r="E399" s="2"/>
      <c r="F399" s="2"/>
      <c r="G399" s="10"/>
      <c r="H399" s="11"/>
      <c r="I399" s="11"/>
      <c r="J399" s="11"/>
      <c r="K399" s="11"/>
      <c r="L399" s="11"/>
      <c r="M399" s="11"/>
      <c r="N399" s="11"/>
      <c r="O399" s="3"/>
    </row>
    <row r="400" spans="1:15" ht="37.5" customHeight="1" x14ac:dyDescent="0.25">
      <c r="A400" s="9" t="str">
        <f t="shared" si="1"/>
        <v/>
      </c>
      <c r="B400" s="2"/>
      <c r="C400" s="2"/>
      <c r="D400" s="2"/>
      <c r="E400" s="2"/>
      <c r="F400" s="2"/>
      <c r="G400" s="10"/>
      <c r="H400" s="11"/>
      <c r="I400" s="11"/>
      <c r="J400" s="11"/>
      <c r="K400" s="11"/>
      <c r="L400" s="11"/>
      <c r="M400" s="11"/>
      <c r="N400" s="11"/>
      <c r="O400" s="3"/>
    </row>
    <row r="401" spans="1:15" ht="37.5" customHeight="1" x14ac:dyDescent="0.25">
      <c r="A401" s="9" t="str">
        <f t="shared" si="1"/>
        <v/>
      </c>
      <c r="B401" s="2"/>
      <c r="C401" s="2"/>
      <c r="D401" s="2"/>
      <c r="E401" s="2"/>
      <c r="F401" s="2"/>
      <c r="G401" s="10"/>
      <c r="H401" s="11"/>
      <c r="I401" s="11"/>
      <c r="J401" s="11"/>
      <c r="K401" s="11"/>
      <c r="L401" s="11"/>
      <c r="M401" s="11"/>
      <c r="N401" s="11"/>
      <c r="O401" s="3"/>
    </row>
    <row r="402" spans="1:15" ht="37.5" customHeight="1" x14ac:dyDescent="0.25">
      <c r="A402" s="9" t="str">
        <f t="shared" si="1"/>
        <v/>
      </c>
      <c r="B402" s="2"/>
      <c r="C402" s="2"/>
      <c r="D402" s="2"/>
      <c r="E402" s="2"/>
      <c r="F402" s="2"/>
      <c r="G402" s="10"/>
      <c r="H402" s="11"/>
      <c r="I402" s="11"/>
      <c r="J402" s="11"/>
      <c r="K402" s="11"/>
      <c r="L402" s="11"/>
      <c r="M402" s="11"/>
      <c r="N402" s="11"/>
      <c r="O402" s="3"/>
    </row>
    <row r="403" spans="1:15" ht="37.5" customHeight="1" x14ac:dyDescent="0.25">
      <c r="A403" s="9" t="str">
        <f t="shared" si="1"/>
        <v/>
      </c>
      <c r="B403" s="2"/>
      <c r="C403" s="2"/>
      <c r="D403" s="2"/>
      <c r="E403" s="2"/>
      <c r="F403" s="2"/>
      <c r="G403" s="10"/>
      <c r="H403" s="11"/>
      <c r="I403" s="11"/>
      <c r="J403" s="11"/>
      <c r="K403" s="11"/>
      <c r="L403" s="11"/>
      <c r="M403" s="11"/>
      <c r="N403" s="11"/>
      <c r="O403" s="3"/>
    </row>
    <row r="404" spans="1:15" ht="37.5" customHeight="1" x14ac:dyDescent="0.25">
      <c r="A404" s="9" t="str">
        <f t="shared" si="1"/>
        <v/>
      </c>
      <c r="B404" s="2"/>
      <c r="C404" s="2"/>
      <c r="D404" s="2"/>
      <c r="E404" s="2"/>
      <c r="F404" s="2"/>
      <c r="G404" s="10"/>
      <c r="H404" s="11"/>
      <c r="I404" s="11"/>
      <c r="J404" s="11"/>
      <c r="K404" s="11"/>
      <c r="L404" s="11"/>
      <c r="M404" s="11"/>
      <c r="N404" s="11"/>
      <c r="O404" s="3"/>
    </row>
    <row r="405" spans="1:15" ht="37.5" customHeight="1" x14ac:dyDescent="0.25">
      <c r="A405" s="9" t="str">
        <f t="shared" si="1"/>
        <v/>
      </c>
      <c r="B405" s="2"/>
      <c r="C405" s="2"/>
      <c r="D405" s="2"/>
      <c r="E405" s="2"/>
      <c r="F405" s="2"/>
      <c r="G405" s="10"/>
      <c r="H405" s="11"/>
      <c r="I405" s="11"/>
      <c r="J405" s="11"/>
      <c r="K405" s="11"/>
      <c r="L405" s="11"/>
      <c r="M405" s="11"/>
      <c r="N405" s="11"/>
      <c r="O405" s="3"/>
    </row>
    <row r="406" spans="1:15" ht="37.5" customHeight="1" x14ac:dyDescent="0.25">
      <c r="A406" s="9" t="str">
        <f t="shared" si="1"/>
        <v/>
      </c>
      <c r="B406" s="2"/>
      <c r="C406" s="2"/>
      <c r="D406" s="2"/>
      <c r="E406" s="2"/>
      <c r="F406" s="2"/>
      <c r="G406" s="10"/>
      <c r="H406" s="11"/>
      <c r="I406" s="11"/>
      <c r="J406" s="11"/>
      <c r="K406" s="11"/>
      <c r="L406" s="11"/>
      <c r="M406" s="11"/>
      <c r="N406" s="11"/>
      <c r="O406" s="3"/>
    </row>
    <row r="407" spans="1:15" ht="37.5" customHeight="1" x14ac:dyDescent="0.25">
      <c r="A407" s="9" t="str">
        <f t="shared" si="1"/>
        <v/>
      </c>
      <c r="B407" s="2"/>
      <c r="C407" s="2"/>
      <c r="D407" s="2"/>
      <c r="E407" s="2"/>
      <c r="F407" s="2"/>
      <c r="G407" s="10"/>
      <c r="H407" s="11"/>
      <c r="I407" s="11"/>
      <c r="J407" s="11"/>
      <c r="K407" s="11"/>
      <c r="L407" s="11"/>
      <c r="M407" s="11"/>
      <c r="N407" s="11"/>
      <c r="O407" s="3"/>
    </row>
    <row r="408" spans="1:15" ht="37.5" customHeight="1" x14ac:dyDescent="0.25">
      <c r="A408" s="9" t="str">
        <f t="shared" si="1"/>
        <v/>
      </c>
      <c r="B408" s="2"/>
      <c r="C408" s="2"/>
      <c r="D408" s="2"/>
      <c r="E408" s="2"/>
      <c r="F408" s="2"/>
      <c r="G408" s="10"/>
      <c r="H408" s="11"/>
      <c r="I408" s="11"/>
      <c r="J408" s="11"/>
      <c r="K408" s="11"/>
      <c r="L408" s="11"/>
      <c r="M408" s="11"/>
      <c r="N408" s="11"/>
      <c r="O408" s="3"/>
    </row>
    <row r="409" spans="1:15" ht="37.5" customHeight="1" x14ac:dyDescent="0.25">
      <c r="A409" s="9" t="str">
        <f t="shared" si="1"/>
        <v/>
      </c>
      <c r="B409" s="2"/>
      <c r="C409" s="2"/>
      <c r="D409" s="2"/>
      <c r="E409" s="2"/>
      <c r="F409" s="2"/>
      <c r="G409" s="10"/>
      <c r="H409" s="11"/>
      <c r="I409" s="11"/>
      <c r="J409" s="11"/>
      <c r="K409" s="11"/>
      <c r="L409" s="11"/>
      <c r="M409" s="11"/>
      <c r="N409" s="11"/>
      <c r="O409" s="3"/>
    </row>
    <row r="410" spans="1:15" ht="37.5" customHeight="1" x14ac:dyDescent="0.25">
      <c r="A410" s="9" t="str">
        <f t="shared" si="1"/>
        <v/>
      </c>
      <c r="B410" s="2"/>
      <c r="C410" s="2"/>
      <c r="D410" s="2"/>
      <c r="E410" s="2"/>
      <c r="F410" s="2"/>
      <c r="G410" s="10"/>
      <c r="H410" s="11"/>
      <c r="I410" s="11"/>
      <c r="J410" s="11"/>
      <c r="K410" s="11"/>
      <c r="L410" s="11"/>
      <c r="M410" s="11"/>
      <c r="N410" s="11"/>
      <c r="O410" s="3"/>
    </row>
    <row r="411" spans="1:15" ht="37.5" customHeight="1" x14ac:dyDescent="0.25">
      <c r="A411" s="9" t="str">
        <f t="shared" si="1"/>
        <v/>
      </c>
      <c r="B411" s="2"/>
      <c r="C411" s="2"/>
      <c r="D411" s="2"/>
      <c r="E411" s="2"/>
      <c r="F411" s="2"/>
      <c r="G411" s="10"/>
      <c r="H411" s="11"/>
      <c r="I411" s="11"/>
      <c r="J411" s="11"/>
      <c r="K411" s="11"/>
      <c r="L411" s="11"/>
      <c r="M411" s="11"/>
      <c r="N411" s="11"/>
      <c r="O411" s="3"/>
    </row>
    <row r="412" spans="1:15" ht="37.5" customHeight="1" x14ac:dyDescent="0.25">
      <c r="A412" s="9" t="str">
        <f t="shared" si="1"/>
        <v/>
      </c>
      <c r="B412" s="2"/>
      <c r="C412" s="2"/>
      <c r="D412" s="2"/>
      <c r="E412" s="2"/>
      <c r="F412" s="2"/>
      <c r="G412" s="10"/>
      <c r="H412" s="11"/>
      <c r="I412" s="11"/>
      <c r="J412" s="11"/>
      <c r="K412" s="11"/>
      <c r="L412" s="11"/>
      <c r="M412" s="11"/>
      <c r="N412" s="11"/>
      <c r="O412" s="3"/>
    </row>
    <row r="413" spans="1:15" ht="37.5" customHeight="1" x14ac:dyDescent="0.25">
      <c r="A413" s="9" t="str">
        <f t="shared" si="1"/>
        <v/>
      </c>
      <c r="B413" s="2"/>
      <c r="C413" s="2"/>
      <c r="D413" s="2"/>
      <c r="E413" s="2"/>
      <c r="F413" s="2"/>
      <c r="G413" s="10"/>
      <c r="H413" s="11"/>
      <c r="I413" s="11"/>
      <c r="J413" s="11"/>
      <c r="K413" s="11"/>
      <c r="L413" s="11"/>
      <c r="M413" s="11"/>
      <c r="N413" s="11"/>
      <c r="O413" s="3"/>
    </row>
    <row r="414" spans="1:15" ht="37.5" customHeight="1" x14ac:dyDescent="0.25">
      <c r="A414" s="9" t="str">
        <f t="shared" si="1"/>
        <v/>
      </c>
      <c r="B414" s="2"/>
      <c r="C414" s="2"/>
      <c r="D414" s="2"/>
      <c r="E414" s="2"/>
      <c r="F414" s="2"/>
      <c r="G414" s="10"/>
      <c r="H414" s="11"/>
      <c r="I414" s="11"/>
      <c r="J414" s="11"/>
      <c r="K414" s="11"/>
      <c r="L414" s="11"/>
      <c r="M414" s="11"/>
      <c r="N414" s="11"/>
      <c r="O414" s="3"/>
    </row>
    <row r="415" spans="1:15" ht="37.5" customHeight="1" x14ac:dyDescent="0.25">
      <c r="A415" s="9" t="str">
        <f t="shared" si="1"/>
        <v/>
      </c>
      <c r="B415" s="2"/>
      <c r="C415" s="2"/>
      <c r="D415" s="2"/>
      <c r="E415" s="2"/>
      <c r="F415" s="2"/>
      <c r="G415" s="10"/>
      <c r="H415" s="11"/>
      <c r="I415" s="11"/>
      <c r="J415" s="11"/>
      <c r="K415" s="11"/>
      <c r="L415" s="11"/>
      <c r="M415" s="11"/>
      <c r="N415" s="11"/>
      <c r="O415" s="3"/>
    </row>
    <row r="416" spans="1:15" ht="37.5" customHeight="1" x14ac:dyDescent="0.25">
      <c r="A416" s="9" t="str">
        <f t="shared" si="1"/>
        <v/>
      </c>
      <c r="B416" s="2"/>
      <c r="C416" s="2"/>
      <c r="D416" s="2"/>
      <c r="E416" s="2"/>
      <c r="F416" s="2"/>
      <c r="G416" s="10"/>
      <c r="H416" s="11"/>
      <c r="I416" s="11"/>
      <c r="J416" s="11"/>
      <c r="K416" s="11"/>
      <c r="L416" s="11"/>
      <c r="M416" s="11"/>
      <c r="N416" s="11"/>
      <c r="O416" s="3"/>
    </row>
    <row r="417" spans="1:15" ht="37.5" customHeight="1" x14ac:dyDescent="0.25">
      <c r="A417" s="9" t="str">
        <f t="shared" si="1"/>
        <v/>
      </c>
      <c r="B417" s="2"/>
      <c r="C417" s="2"/>
      <c r="D417" s="2"/>
      <c r="E417" s="2"/>
      <c r="F417" s="2"/>
      <c r="G417" s="10"/>
      <c r="H417" s="11"/>
      <c r="I417" s="11"/>
      <c r="J417" s="11"/>
      <c r="K417" s="11"/>
      <c r="L417" s="11"/>
      <c r="M417" s="11"/>
      <c r="N417" s="11"/>
      <c r="O417" s="3"/>
    </row>
    <row r="418" spans="1:15" ht="37.5" customHeight="1" x14ac:dyDescent="0.25">
      <c r="A418" s="9" t="str">
        <f t="shared" si="1"/>
        <v/>
      </c>
      <c r="B418" s="2"/>
      <c r="C418" s="2"/>
      <c r="D418" s="2"/>
      <c r="E418" s="2"/>
      <c r="F418" s="2"/>
      <c r="G418" s="10"/>
      <c r="H418" s="11"/>
      <c r="I418" s="11"/>
      <c r="J418" s="11"/>
      <c r="K418" s="11"/>
      <c r="L418" s="11"/>
      <c r="M418" s="11"/>
      <c r="N418" s="11"/>
      <c r="O418" s="3"/>
    </row>
    <row r="419" spans="1:15" ht="37.5" customHeight="1" x14ac:dyDescent="0.25">
      <c r="A419" s="9" t="str">
        <f t="shared" si="1"/>
        <v/>
      </c>
      <c r="B419" s="2"/>
      <c r="C419" s="2"/>
      <c r="D419" s="2"/>
      <c r="E419" s="2"/>
      <c r="F419" s="2"/>
      <c r="G419" s="10"/>
      <c r="H419" s="11"/>
      <c r="I419" s="11"/>
      <c r="J419" s="11"/>
      <c r="K419" s="11"/>
      <c r="L419" s="11"/>
      <c r="M419" s="11"/>
      <c r="N419" s="11"/>
      <c r="O419" s="3"/>
    </row>
    <row r="420" spans="1:15" ht="37.5" customHeight="1" x14ac:dyDescent="0.25">
      <c r="A420" s="9" t="str">
        <f t="shared" si="1"/>
        <v/>
      </c>
      <c r="B420" s="2"/>
      <c r="C420" s="2"/>
      <c r="D420" s="2"/>
      <c r="E420" s="2"/>
      <c r="F420" s="2"/>
      <c r="G420" s="10"/>
      <c r="H420" s="11"/>
      <c r="I420" s="11"/>
      <c r="J420" s="11"/>
      <c r="K420" s="11"/>
      <c r="L420" s="11"/>
      <c r="M420" s="11"/>
      <c r="N420" s="11"/>
      <c r="O420" s="3"/>
    </row>
    <row r="421" spans="1:15" ht="37.5" customHeight="1" x14ac:dyDescent="0.25">
      <c r="A421" s="9" t="str">
        <f t="shared" si="1"/>
        <v/>
      </c>
      <c r="B421" s="2"/>
      <c r="C421" s="2"/>
      <c r="D421" s="2"/>
      <c r="E421" s="2"/>
      <c r="F421" s="2"/>
      <c r="G421" s="10"/>
      <c r="H421" s="11"/>
      <c r="I421" s="11"/>
      <c r="J421" s="11"/>
      <c r="K421" s="11"/>
      <c r="L421" s="11"/>
      <c r="M421" s="11"/>
      <c r="N421" s="11"/>
      <c r="O421" s="3"/>
    </row>
    <row r="422" spans="1:15" ht="37.5" customHeight="1" x14ac:dyDescent="0.25">
      <c r="A422" s="9" t="str">
        <f t="shared" si="1"/>
        <v/>
      </c>
      <c r="B422" s="2"/>
      <c r="C422" s="2"/>
      <c r="D422" s="2"/>
      <c r="E422" s="2"/>
      <c r="F422" s="2"/>
      <c r="G422" s="10"/>
      <c r="H422" s="11"/>
      <c r="I422" s="11"/>
      <c r="J422" s="11"/>
      <c r="K422" s="11"/>
      <c r="L422" s="11"/>
      <c r="M422" s="11"/>
      <c r="N422" s="11"/>
      <c r="O422" s="3"/>
    </row>
    <row r="423" spans="1:15" ht="37.5" customHeight="1" x14ac:dyDescent="0.25">
      <c r="A423" s="9" t="str">
        <f t="shared" si="1"/>
        <v/>
      </c>
      <c r="B423" s="2"/>
      <c r="C423" s="2"/>
      <c r="D423" s="2"/>
      <c r="E423" s="2"/>
      <c r="F423" s="2"/>
      <c r="G423" s="10"/>
      <c r="H423" s="11"/>
      <c r="I423" s="11"/>
      <c r="J423" s="11"/>
      <c r="K423" s="11"/>
      <c r="L423" s="11"/>
      <c r="M423" s="11"/>
      <c r="N423" s="11"/>
      <c r="O423" s="3"/>
    </row>
    <row r="424" spans="1:15" ht="37.5" customHeight="1" x14ac:dyDescent="0.25">
      <c r="A424" s="9" t="str">
        <f t="shared" si="1"/>
        <v/>
      </c>
      <c r="B424" s="2"/>
      <c r="C424" s="2"/>
      <c r="D424" s="2"/>
      <c r="E424" s="2"/>
      <c r="F424" s="2"/>
      <c r="G424" s="10"/>
      <c r="H424" s="11"/>
      <c r="I424" s="11"/>
      <c r="J424" s="11"/>
      <c r="K424" s="11"/>
      <c r="L424" s="11"/>
      <c r="M424" s="11"/>
      <c r="N424" s="11"/>
      <c r="O424" s="3"/>
    </row>
    <row r="425" spans="1:15" ht="37.5" customHeight="1" x14ac:dyDescent="0.25">
      <c r="A425" s="9" t="str">
        <f t="shared" si="1"/>
        <v/>
      </c>
      <c r="B425" s="2"/>
      <c r="C425" s="2"/>
      <c r="D425" s="2"/>
      <c r="E425" s="2"/>
      <c r="F425" s="2"/>
      <c r="G425" s="10"/>
      <c r="H425" s="11"/>
      <c r="I425" s="11"/>
      <c r="J425" s="11"/>
      <c r="K425" s="11"/>
      <c r="L425" s="11"/>
      <c r="M425" s="11"/>
      <c r="N425" s="11"/>
      <c r="O425" s="3"/>
    </row>
    <row r="426" spans="1:15" ht="37.5" customHeight="1" x14ac:dyDescent="0.25">
      <c r="A426" s="9" t="str">
        <f t="shared" si="1"/>
        <v/>
      </c>
      <c r="B426" s="2"/>
      <c r="C426" s="2"/>
      <c r="D426" s="2"/>
      <c r="E426" s="2"/>
      <c r="F426" s="2"/>
      <c r="G426" s="10"/>
      <c r="H426" s="11"/>
      <c r="I426" s="11"/>
      <c r="J426" s="11"/>
      <c r="K426" s="11"/>
      <c r="L426" s="11"/>
      <c r="M426" s="11"/>
      <c r="N426" s="11"/>
      <c r="O426" s="3"/>
    </row>
    <row r="427" spans="1:15" ht="37.5" customHeight="1" x14ac:dyDescent="0.25">
      <c r="A427" s="9" t="str">
        <f t="shared" si="1"/>
        <v/>
      </c>
      <c r="B427" s="2"/>
      <c r="C427" s="2"/>
      <c r="D427" s="2"/>
      <c r="E427" s="2"/>
      <c r="F427" s="2"/>
      <c r="G427" s="10"/>
      <c r="H427" s="11"/>
      <c r="I427" s="11"/>
      <c r="J427" s="11"/>
      <c r="K427" s="11"/>
      <c r="L427" s="11"/>
      <c r="M427" s="11"/>
      <c r="N427" s="11"/>
      <c r="O427" s="3"/>
    </row>
    <row r="428" spans="1:15" ht="37.5" customHeight="1" x14ac:dyDescent="0.25">
      <c r="A428" s="9" t="str">
        <f t="shared" si="1"/>
        <v/>
      </c>
      <c r="B428" s="2"/>
      <c r="C428" s="2"/>
      <c r="D428" s="2"/>
      <c r="E428" s="2"/>
      <c r="F428" s="2"/>
      <c r="G428" s="10"/>
      <c r="H428" s="11"/>
      <c r="I428" s="11"/>
      <c r="J428" s="11"/>
      <c r="K428" s="11"/>
      <c r="L428" s="11"/>
      <c r="M428" s="11"/>
      <c r="N428" s="11"/>
      <c r="O428" s="3"/>
    </row>
    <row r="429" spans="1:15" ht="37.5" customHeight="1" x14ac:dyDescent="0.25">
      <c r="A429" s="9" t="str">
        <f t="shared" si="1"/>
        <v/>
      </c>
      <c r="B429" s="2"/>
      <c r="C429" s="2"/>
      <c r="D429" s="2"/>
      <c r="E429" s="2"/>
      <c r="F429" s="2"/>
      <c r="G429" s="10"/>
      <c r="H429" s="11"/>
      <c r="I429" s="11"/>
      <c r="J429" s="11"/>
      <c r="K429" s="11"/>
      <c r="L429" s="11"/>
      <c r="M429" s="11"/>
      <c r="N429" s="11"/>
      <c r="O429" s="3"/>
    </row>
    <row r="430" spans="1:15" ht="37.5" customHeight="1" x14ac:dyDescent="0.25">
      <c r="A430" s="9" t="str">
        <f t="shared" si="1"/>
        <v/>
      </c>
      <c r="B430" s="2"/>
      <c r="C430" s="2"/>
      <c r="D430" s="2"/>
      <c r="E430" s="2"/>
      <c r="F430" s="2"/>
      <c r="G430" s="10"/>
      <c r="H430" s="11"/>
      <c r="I430" s="11"/>
      <c r="J430" s="11"/>
      <c r="K430" s="11"/>
      <c r="L430" s="11"/>
      <c r="M430" s="11"/>
      <c r="N430" s="11"/>
      <c r="O430" s="3"/>
    </row>
    <row r="431" spans="1:15" ht="37.5" customHeight="1" x14ac:dyDescent="0.25">
      <c r="A431" s="9" t="str">
        <f t="shared" si="1"/>
        <v/>
      </c>
      <c r="B431" s="2"/>
      <c r="C431" s="2"/>
      <c r="D431" s="2"/>
      <c r="E431" s="2"/>
      <c r="F431" s="2"/>
      <c r="G431" s="10"/>
      <c r="H431" s="11"/>
      <c r="I431" s="11"/>
      <c r="J431" s="11"/>
      <c r="K431" s="11"/>
      <c r="L431" s="11"/>
      <c r="M431" s="11"/>
      <c r="N431" s="11"/>
      <c r="O431" s="3"/>
    </row>
    <row r="432" spans="1:15" ht="37.5" customHeight="1" x14ac:dyDescent="0.25">
      <c r="A432" s="9" t="str">
        <f t="shared" si="1"/>
        <v/>
      </c>
      <c r="B432" s="2"/>
      <c r="C432" s="2"/>
      <c r="D432" s="2"/>
      <c r="E432" s="2"/>
      <c r="F432" s="2"/>
      <c r="G432" s="10"/>
      <c r="H432" s="11"/>
      <c r="I432" s="11"/>
      <c r="J432" s="11"/>
      <c r="K432" s="11"/>
      <c r="L432" s="11"/>
      <c r="M432" s="11"/>
      <c r="N432" s="11"/>
      <c r="O432" s="3"/>
    </row>
    <row r="433" spans="1:15" ht="37.5" customHeight="1" x14ac:dyDescent="0.25">
      <c r="A433" s="9" t="str">
        <f t="shared" si="1"/>
        <v/>
      </c>
      <c r="B433" s="2"/>
      <c r="C433" s="2"/>
      <c r="D433" s="2"/>
      <c r="E433" s="2"/>
      <c r="F433" s="2"/>
      <c r="G433" s="10"/>
      <c r="H433" s="11"/>
      <c r="I433" s="11"/>
      <c r="J433" s="11"/>
      <c r="K433" s="11"/>
      <c r="L433" s="11"/>
      <c r="M433" s="11"/>
      <c r="N433" s="11"/>
      <c r="O433" s="3"/>
    </row>
    <row r="434" spans="1:15" ht="37.5" customHeight="1" x14ac:dyDescent="0.25">
      <c r="A434" s="9" t="str">
        <f t="shared" si="1"/>
        <v/>
      </c>
      <c r="B434" s="2"/>
      <c r="C434" s="2"/>
      <c r="D434" s="2"/>
      <c r="E434" s="2"/>
      <c r="F434" s="2"/>
      <c r="G434" s="10"/>
      <c r="H434" s="11"/>
      <c r="I434" s="11"/>
      <c r="J434" s="11"/>
      <c r="K434" s="11"/>
      <c r="L434" s="11"/>
      <c r="M434" s="11"/>
      <c r="N434" s="11"/>
      <c r="O434" s="3"/>
    </row>
    <row r="435" spans="1:15" ht="37.5" customHeight="1" x14ac:dyDescent="0.25">
      <c r="A435" s="9" t="str">
        <f t="shared" si="1"/>
        <v/>
      </c>
      <c r="B435" s="2"/>
      <c r="C435" s="2"/>
      <c r="D435" s="2"/>
      <c r="E435" s="2"/>
      <c r="F435" s="2"/>
      <c r="G435" s="10"/>
      <c r="H435" s="11"/>
      <c r="I435" s="11"/>
      <c r="J435" s="11"/>
      <c r="K435" s="11"/>
      <c r="L435" s="11"/>
      <c r="M435" s="11"/>
      <c r="N435" s="11"/>
      <c r="O435" s="3"/>
    </row>
    <row r="436" spans="1:15" ht="37.5" customHeight="1" x14ac:dyDescent="0.25">
      <c r="A436" s="9" t="str">
        <f t="shared" si="1"/>
        <v/>
      </c>
      <c r="B436" s="2"/>
      <c r="C436" s="2"/>
      <c r="D436" s="2"/>
      <c r="E436" s="2"/>
      <c r="F436" s="2"/>
      <c r="G436" s="10"/>
      <c r="H436" s="11"/>
      <c r="I436" s="11"/>
      <c r="J436" s="11"/>
      <c r="K436" s="11"/>
      <c r="L436" s="11"/>
      <c r="M436" s="11"/>
      <c r="N436" s="11"/>
      <c r="O436" s="3"/>
    </row>
    <row r="437" spans="1:15" ht="37.5" customHeight="1" x14ac:dyDescent="0.25">
      <c r="A437" s="9" t="str">
        <f t="shared" si="1"/>
        <v/>
      </c>
      <c r="B437" s="2"/>
      <c r="C437" s="2"/>
      <c r="D437" s="2"/>
      <c r="E437" s="2"/>
      <c r="F437" s="2"/>
      <c r="G437" s="10"/>
      <c r="H437" s="11"/>
      <c r="I437" s="11"/>
      <c r="J437" s="11"/>
      <c r="K437" s="11"/>
      <c r="L437" s="11"/>
      <c r="M437" s="11"/>
      <c r="N437" s="11"/>
      <c r="O437" s="3"/>
    </row>
    <row r="438" spans="1:15" ht="37.5" customHeight="1" x14ac:dyDescent="0.25">
      <c r="A438" s="9" t="str">
        <f t="shared" si="1"/>
        <v/>
      </c>
      <c r="B438" s="2"/>
      <c r="C438" s="2"/>
      <c r="D438" s="2"/>
      <c r="E438" s="2"/>
      <c r="F438" s="2"/>
      <c r="G438" s="10"/>
      <c r="H438" s="11"/>
      <c r="I438" s="11"/>
      <c r="J438" s="11"/>
      <c r="K438" s="11"/>
      <c r="L438" s="11"/>
      <c r="M438" s="11"/>
      <c r="N438" s="11"/>
      <c r="O438" s="3"/>
    </row>
    <row r="439" spans="1:15" ht="37.5" customHeight="1" x14ac:dyDescent="0.25">
      <c r="A439" s="9" t="str">
        <f t="shared" si="1"/>
        <v/>
      </c>
      <c r="B439" s="2"/>
      <c r="C439" s="2"/>
      <c r="D439" s="2"/>
      <c r="E439" s="2"/>
      <c r="F439" s="2"/>
      <c r="G439" s="10"/>
      <c r="H439" s="11"/>
      <c r="I439" s="11"/>
      <c r="J439" s="11"/>
      <c r="K439" s="11"/>
      <c r="L439" s="11"/>
      <c r="M439" s="11"/>
      <c r="N439" s="11"/>
      <c r="O439" s="3"/>
    </row>
    <row r="440" spans="1:15" ht="37.5" customHeight="1" x14ac:dyDescent="0.25">
      <c r="A440" s="9" t="str">
        <f t="shared" si="1"/>
        <v/>
      </c>
      <c r="B440" s="2"/>
      <c r="C440" s="2"/>
      <c r="D440" s="2"/>
      <c r="E440" s="2"/>
      <c r="F440" s="2"/>
      <c r="G440" s="10"/>
      <c r="H440" s="11"/>
      <c r="I440" s="11"/>
      <c r="J440" s="11"/>
      <c r="K440" s="11"/>
      <c r="L440" s="11"/>
      <c r="M440" s="11"/>
      <c r="N440" s="11"/>
      <c r="O440" s="3"/>
    </row>
    <row r="441" spans="1:15" ht="37.5" customHeight="1" x14ac:dyDescent="0.25">
      <c r="A441" s="9" t="str">
        <f t="shared" si="1"/>
        <v/>
      </c>
      <c r="B441" s="2"/>
      <c r="C441" s="2"/>
      <c r="D441" s="2"/>
      <c r="E441" s="2"/>
      <c r="F441" s="2"/>
      <c r="G441" s="10"/>
      <c r="H441" s="11"/>
      <c r="I441" s="11"/>
      <c r="J441" s="11"/>
      <c r="K441" s="11"/>
      <c r="L441" s="11"/>
      <c r="M441" s="11"/>
      <c r="N441" s="11"/>
      <c r="O441" s="3"/>
    </row>
    <row r="442" spans="1:15" ht="37.5" customHeight="1" x14ac:dyDescent="0.25">
      <c r="A442" s="9" t="str">
        <f t="shared" si="1"/>
        <v/>
      </c>
      <c r="B442" s="2"/>
      <c r="C442" s="2"/>
      <c r="D442" s="2"/>
      <c r="E442" s="2"/>
      <c r="F442" s="2"/>
      <c r="G442" s="10"/>
      <c r="H442" s="11"/>
      <c r="I442" s="11"/>
      <c r="J442" s="11"/>
      <c r="K442" s="11"/>
      <c r="L442" s="11"/>
      <c r="M442" s="11"/>
      <c r="N442" s="11"/>
      <c r="O442" s="3"/>
    </row>
    <row r="443" spans="1:15" ht="37.5" customHeight="1" x14ac:dyDescent="0.25">
      <c r="A443" s="9" t="str">
        <f t="shared" si="1"/>
        <v/>
      </c>
      <c r="B443" s="2"/>
      <c r="C443" s="2"/>
      <c r="D443" s="2"/>
      <c r="E443" s="2"/>
      <c r="F443" s="2"/>
      <c r="G443" s="10"/>
      <c r="H443" s="11"/>
      <c r="I443" s="11"/>
      <c r="J443" s="11"/>
      <c r="K443" s="11"/>
      <c r="L443" s="11"/>
      <c r="M443" s="11"/>
      <c r="N443" s="11"/>
      <c r="O443" s="3"/>
    </row>
    <row r="444" spans="1:15" ht="37.5" customHeight="1" x14ac:dyDescent="0.25">
      <c r="A444" s="9" t="str">
        <f t="shared" si="1"/>
        <v/>
      </c>
      <c r="B444" s="2"/>
      <c r="C444" s="2"/>
      <c r="D444" s="2"/>
      <c r="E444" s="2"/>
      <c r="F444" s="2"/>
      <c r="G444" s="10"/>
      <c r="H444" s="11"/>
      <c r="I444" s="11"/>
      <c r="J444" s="11"/>
      <c r="K444" s="11"/>
      <c r="L444" s="11"/>
      <c r="M444" s="11"/>
      <c r="N444" s="11"/>
      <c r="O444" s="3"/>
    </row>
    <row r="445" spans="1:15" ht="37.5" customHeight="1" x14ac:dyDescent="0.25">
      <c r="A445" s="9" t="str">
        <f t="shared" si="1"/>
        <v/>
      </c>
      <c r="B445" s="2"/>
      <c r="C445" s="2"/>
      <c r="D445" s="2"/>
      <c r="E445" s="2"/>
      <c r="F445" s="2"/>
      <c r="G445" s="10"/>
      <c r="H445" s="11"/>
      <c r="I445" s="11"/>
      <c r="J445" s="11"/>
      <c r="K445" s="11"/>
      <c r="L445" s="11"/>
      <c r="M445" s="11"/>
      <c r="N445" s="11"/>
      <c r="O445" s="3"/>
    </row>
    <row r="446" spans="1:15" ht="37.5" customHeight="1" x14ac:dyDescent="0.25">
      <c r="A446" s="9" t="str">
        <f t="shared" si="1"/>
        <v/>
      </c>
      <c r="B446" s="2"/>
      <c r="C446" s="2"/>
      <c r="D446" s="2"/>
      <c r="E446" s="2"/>
      <c r="F446" s="2"/>
      <c r="G446" s="10"/>
      <c r="H446" s="11"/>
      <c r="I446" s="11"/>
      <c r="J446" s="11"/>
      <c r="K446" s="11"/>
      <c r="L446" s="11"/>
      <c r="M446" s="11"/>
      <c r="N446" s="11"/>
      <c r="O446" s="3"/>
    </row>
    <row r="447" spans="1:15" ht="37.5" customHeight="1" x14ac:dyDescent="0.25">
      <c r="A447" s="9" t="str">
        <f t="shared" si="1"/>
        <v/>
      </c>
      <c r="B447" s="2"/>
      <c r="C447" s="2"/>
      <c r="D447" s="2"/>
      <c r="E447" s="2"/>
      <c r="F447" s="2"/>
      <c r="G447" s="10"/>
      <c r="H447" s="11"/>
      <c r="I447" s="11"/>
      <c r="J447" s="11"/>
      <c r="K447" s="11"/>
      <c r="L447" s="11"/>
      <c r="M447" s="11"/>
      <c r="N447" s="11"/>
      <c r="O447" s="3"/>
    </row>
    <row r="448" spans="1:15" ht="37.5" customHeight="1" x14ac:dyDescent="0.25">
      <c r="A448" s="9" t="str">
        <f t="shared" si="1"/>
        <v/>
      </c>
      <c r="B448" s="2"/>
      <c r="C448" s="2"/>
      <c r="D448" s="2"/>
      <c r="E448" s="2"/>
      <c r="F448" s="2"/>
      <c r="G448" s="10"/>
      <c r="H448" s="11"/>
      <c r="I448" s="11"/>
      <c r="J448" s="11"/>
      <c r="K448" s="11"/>
      <c r="L448" s="11"/>
      <c r="M448" s="11"/>
      <c r="N448" s="11"/>
      <c r="O448" s="3"/>
    </row>
    <row r="449" spans="1:15" ht="37.5" customHeight="1" x14ac:dyDescent="0.25">
      <c r="A449" s="9" t="str">
        <f t="shared" si="1"/>
        <v/>
      </c>
      <c r="B449" s="2"/>
      <c r="C449" s="2"/>
      <c r="D449" s="2"/>
      <c r="E449" s="2"/>
      <c r="F449" s="2"/>
      <c r="G449" s="10"/>
      <c r="H449" s="11"/>
      <c r="I449" s="11"/>
      <c r="J449" s="11"/>
      <c r="K449" s="11"/>
      <c r="L449" s="11"/>
      <c r="M449" s="11"/>
      <c r="N449" s="11"/>
      <c r="O449" s="3"/>
    </row>
    <row r="450" spans="1:15" ht="37.5" customHeight="1" x14ac:dyDescent="0.25">
      <c r="A450" s="9" t="str">
        <f t="shared" si="1"/>
        <v/>
      </c>
      <c r="B450" s="2"/>
      <c r="C450" s="2"/>
      <c r="D450" s="2"/>
      <c r="E450" s="2"/>
      <c r="F450" s="2"/>
      <c r="G450" s="10"/>
      <c r="H450" s="11"/>
      <c r="I450" s="11"/>
      <c r="J450" s="11"/>
      <c r="K450" s="11"/>
      <c r="L450" s="11"/>
      <c r="M450" s="11"/>
      <c r="N450" s="11"/>
      <c r="O450" s="3"/>
    </row>
    <row r="451" spans="1:15" ht="37.5" customHeight="1" x14ac:dyDescent="0.25">
      <c r="A451" s="9" t="str">
        <f t="shared" si="1"/>
        <v/>
      </c>
      <c r="B451" s="2"/>
      <c r="C451" s="2"/>
      <c r="D451" s="2"/>
      <c r="E451" s="2"/>
      <c r="F451" s="2"/>
      <c r="G451" s="10"/>
      <c r="H451" s="11"/>
      <c r="I451" s="11"/>
      <c r="J451" s="11"/>
      <c r="K451" s="11"/>
      <c r="L451" s="11"/>
      <c r="M451" s="11"/>
      <c r="N451" s="11"/>
      <c r="O451" s="3"/>
    </row>
    <row r="452" spans="1:15" ht="37.5" customHeight="1" x14ac:dyDescent="0.25">
      <c r="A452" s="9" t="str">
        <f t="shared" si="1"/>
        <v/>
      </c>
      <c r="B452" s="2"/>
      <c r="C452" s="2"/>
      <c r="D452" s="2"/>
      <c r="E452" s="2"/>
      <c r="F452" s="2"/>
      <c r="G452" s="10"/>
      <c r="H452" s="11"/>
      <c r="I452" s="11"/>
      <c r="J452" s="11"/>
      <c r="K452" s="11"/>
      <c r="L452" s="11"/>
      <c r="M452" s="11"/>
      <c r="N452" s="11"/>
      <c r="O452" s="3"/>
    </row>
    <row r="453" spans="1:15" ht="37.5" customHeight="1" x14ac:dyDescent="0.25">
      <c r="A453" s="9" t="str">
        <f t="shared" si="1"/>
        <v/>
      </c>
      <c r="B453" s="2"/>
      <c r="C453" s="2"/>
      <c r="D453" s="2"/>
      <c r="E453" s="2"/>
      <c r="F453" s="2"/>
      <c r="G453" s="10"/>
      <c r="H453" s="11"/>
      <c r="I453" s="11"/>
      <c r="J453" s="11"/>
      <c r="K453" s="11"/>
      <c r="L453" s="11"/>
      <c r="M453" s="11"/>
      <c r="N453" s="11"/>
      <c r="O453" s="3"/>
    </row>
    <row r="454" spans="1:15" ht="37.5" customHeight="1" x14ac:dyDescent="0.25">
      <c r="A454" s="9" t="str">
        <f t="shared" si="1"/>
        <v/>
      </c>
      <c r="B454" s="2"/>
      <c r="C454" s="2"/>
      <c r="D454" s="2"/>
      <c r="E454" s="2"/>
      <c r="F454" s="2"/>
      <c r="G454" s="10"/>
      <c r="H454" s="11"/>
      <c r="I454" s="11"/>
      <c r="J454" s="11"/>
      <c r="K454" s="11"/>
      <c r="L454" s="11"/>
      <c r="M454" s="11"/>
      <c r="N454" s="11"/>
      <c r="O454" s="3"/>
    </row>
    <row r="455" spans="1:15" ht="37.5" customHeight="1" x14ac:dyDescent="0.25">
      <c r="A455" s="9" t="str">
        <f t="shared" si="1"/>
        <v/>
      </c>
      <c r="B455" s="2"/>
      <c r="C455" s="2"/>
      <c r="D455" s="2"/>
      <c r="E455" s="2"/>
      <c r="F455" s="2"/>
      <c r="G455" s="10"/>
      <c r="H455" s="11"/>
      <c r="I455" s="11"/>
      <c r="J455" s="11"/>
      <c r="K455" s="11"/>
      <c r="L455" s="11"/>
      <c r="M455" s="11"/>
      <c r="N455" s="11"/>
      <c r="O455" s="3"/>
    </row>
    <row r="456" spans="1:15" ht="37.5" customHeight="1" x14ac:dyDescent="0.25">
      <c r="A456" s="9" t="str">
        <f t="shared" si="1"/>
        <v/>
      </c>
      <c r="B456" s="2"/>
      <c r="C456" s="2"/>
      <c r="D456" s="2"/>
      <c r="E456" s="2"/>
      <c r="F456" s="2"/>
      <c r="G456" s="10"/>
      <c r="H456" s="11"/>
      <c r="I456" s="11"/>
      <c r="J456" s="11"/>
      <c r="K456" s="11"/>
      <c r="L456" s="11"/>
      <c r="M456" s="11"/>
      <c r="N456" s="11"/>
      <c r="O456" s="3"/>
    </row>
    <row r="457" spans="1:15" ht="37.5" customHeight="1" x14ac:dyDescent="0.25">
      <c r="A457" s="9" t="str">
        <f t="shared" si="1"/>
        <v/>
      </c>
      <c r="B457" s="2"/>
      <c r="C457" s="2"/>
      <c r="D457" s="2"/>
      <c r="E457" s="2"/>
      <c r="F457" s="2"/>
      <c r="G457" s="10"/>
      <c r="H457" s="11"/>
      <c r="I457" s="11"/>
      <c r="J457" s="11"/>
      <c r="K457" s="11"/>
      <c r="L457" s="11"/>
      <c r="M457" s="11"/>
      <c r="N457" s="11"/>
      <c r="O457" s="3"/>
    </row>
    <row r="458" spans="1:15" ht="37.5" customHeight="1" x14ac:dyDescent="0.25">
      <c r="A458" s="9" t="str">
        <f t="shared" si="1"/>
        <v/>
      </c>
      <c r="B458" s="2"/>
      <c r="C458" s="2"/>
      <c r="D458" s="2"/>
      <c r="E458" s="2"/>
      <c r="F458" s="2"/>
      <c r="G458" s="10"/>
      <c r="H458" s="11"/>
      <c r="I458" s="11"/>
      <c r="J458" s="11"/>
      <c r="K458" s="11"/>
      <c r="L458" s="11"/>
      <c r="M458" s="11"/>
      <c r="N458" s="11"/>
      <c r="O458" s="3"/>
    </row>
    <row r="459" spans="1:15" ht="37.5" customHeight="1" x14ac:dyDescent="0.25">
      <c r="A459" s="9" t="str">
        <f t="shared" si="1"/>
        <v/>
      </c>
      <c r="B459" s="2"/>
      <c r="C459" s="2"/>
      <c r="D459" s="2"/>
      <c r="E459" s="2"/>
      <c r="F459" s="2"/>
      <c r="G459" s="10"/>
      <c r="H459" s="11"/>
      <c r="I459" s="11"/>
      <c r="J459" s="11"/>
      <c r="K459" s="11"/>
      <c r="L459" s="11"/>
      <c r="M459" s="11"/>
      <c r="N459" s="11"/>
      <c r="O459" s="3"/>
    </row>
    <row r="460" spans="1:15" ht="37.5" customHeight="1" x14ac:dyDescent="0.25">
      <c r="A460" s="9" t="str">
        <f t="shared" si="1"/>
        <v/>
      </c>
      <c r="B460" s="2"/>
      <c r="C460" s="2"/>
      <c r="D460" s="2"/>
      <c r="E460" s="2"/>
      <c r="F460" s="2"/>
      <c r="G460" s="10"/>
      <c r="H460" s="11"/>
      <c r="I460" s="11"/>
      <c r="J460" s="11"/>
      <c r="K460" s="11"/>
      <c r="L460" s="11"/>
      <c r="M460" s="11"/>
      <c r="N460" s="11"/>
      <c r="O460" s="3"/>
    </row>
    <row r="461" spans="1:15" ht="37.5" customHeight="1" x14ac:dyDescent="0.25">
      <c r="A461" s="9" t="str">
        <f t="shared" si="1"/>
        <v/>
      </c>
      <c r="B461" s="2"/>
      <c r="C461" s="2"/>
      <c r="D461" s="2"/>
      <c r="E461" s="2"/>
      <c r="F461" s="2"/>
      <c r="G461" s="10"/>
      <c r="H461" s="11"/>
      <c r="I461" s="11"/>
      <c r="J461" s="11"/>
      <c r="K461" s="11"/>
      <c r="L461" s="11"/>
      <c r="M461" s="11"/>
      <c r="N461" s="11"/>
      <c r="O461" s="3"/>
    </row>
    <row r="462" spans="1:15" ht="37.5" customHeight="1" x14ac:dyDescent="0.25">
      <c r="A462" s="9" t="str">
        <f t="shared" si="1"/>
        <v/>
      </c>
      <c r="B462" s="2"/>
      <c r="C462" s="2"/>
      <c r="D462" s="2"/>
      <c r="E462" s="2"/>
      <c r="F462" s="2"/>
      <c r="G462" s="10"/>
      <c r="H462" s="11"/>
      <c r="I462" s="11"/>
      <c r="J462" s="11"/>
      <c r="K462" s="11"/>
      <c r="L462" s="11"/>
      <c r="M462" s="11"/>
      <c r="N462" s="11"/>
      <c r="O462" s="3"/>
    </row>
    <row r="463" spans="1:15" ht="37.5" customHeight="1" x14ac:dyDescent="0.25">
      <c r="A463" s="9" t="str">
        <f t="shared" si="1"/>
        <v/>
      </c>
      <c r="B463" s="2"/>
      <c r="C463" s="2"/>
      <c r="D463" s="2"/>
      <c r="E463" s="2"/>
      <c r="F463" s="2"/>
      <c r="G463" s="10"/>
      <c r="H463" s="11"/>
      <c r="I463" s="11"/>
      <c r="J463" s="11"/>
      <c r="K463" s="11"/>
      <c r="L463" s="11"/>
      <c r="M463" s="11"/>
      <c r="N463" s="11"/>
      <c r="O463" s="3"/>
    </row>
    <row r="464" spans="1:15" ht="37.5" customHeight="1" x14ac:dyDescent="0.25">
      <c r="A464" s="9" t="str">
        <f t="shared" si="1"/>
        <v/>
      </c>
      <c r="B464" s="2"/>
      <c r="C464" s="2"/>
      <c r="D464" s="2"/>
      <c r="E464" s="2"/>
      <c r="F464" s="2"/>
      <c r="G464" s="10"/>
      <c r="H464" s="11"/>
      <c r="I464" s="11"/>
      <c r="J464" s="11"/>
      <c r="K464" s="11"/>
      <c r="L464" s="11"/>
      <c r="M464" s="11"/>
      <c r="N464" s="11"/>
      <c r="O464" s="3"/>
    </row>
    <row r="465" spans="1:15" ht="37.5" customHeight="1" x14ac:dyDescent="0.25">
      <c r="A465" s="9" t="str">
        <f t="shared" si="1"/>
        <v/>
      </c>
      <c r="B465" s="2"/>
      <c r="C465" s="2"/>
      <c r="D465" s="2"/>
      <c r="E465" s="2"/>
      <c r="F465" s="2"/>
      <c r="G465" s="10"/>
      <c r="H465" s="11"/>
      <c r="I465" s="11"/>
      <c r="J465" s="11"/>
      <c r="K465" s="11"/>
      <c r="L465" s="11"/>
      <c r="M465" s="11"/>
      <c r="N465" s="11"/>
      <c r="O465" s="3"/>
    </row>
    <row r="466" spans="1:15" ht="37.5" customHeight="1" x14ac:dyDescent="0.25">
      <c r="A466" s="9" t="str">
        <f t="shared" si="1"/>
        <v/>
      </c>
      <c r="B466" s="2"/>
      <c r="C466" s="2"/>
      <c r="D466" s="2"/>
      <c r="E466" s="2"/>
      <c r="F466" s="2"/>
      <c r="G466" s="10"/>
      <c r="H466" s="11"/>
      <c r="I466" s="11"/>
      <c r="J466" s="11"/>
      <c r="K466" s="11"/>
      <c r="L466" s="11"/>
      <c r="M466" s="11"/>
      <c r="N466" s="11"/>
      <c r="O466" s="3"/>
    </row>
    <row r="467" spans="1:15" ht="37.5" customHeight="1" x14ac:dyDescent="0.25">
      <c r="A467" s="9" t="str">
        <f t="shared" si="1"/>
        <v/>
      </c>
      <c r="B467" s="2"/>
      <c r="C467" s="2"/>
      <c r="D467" s="2"/>
      <c r="E467" s="2"/>
      <c r="F467" s="2"/>
      <c r="G467" s="10"/>
      <c r="H467" s="11"/>
      <c r="I467" s="11"/>
      <c r="J467" s="11"/>
      <c r="K467" s="11"/>
      <c r="L467" s="11"/>
      <c r="M467" s="11"/>
      <c r="N467" s="11"/>
      <c r="O467" s="3"/>
    </row>
    <row r="468" spans="1:15" ht="37.5" customHeight="1" x14ac:dyDescent="0.25">
      <c r="A468" s="9" t="str">
        <f t="shared" si="1"/>
        <v/>
      </c>
      <c r="B468" s="2"/>
      <c r="C468" s="2"/>
      <c r="D468" s="2"/>
      <c r="E468" s="2"/>
      <c r="F468" s="2"/>
      <c r="G468" s="10"/>
      <c r="H468" s="11"/>
      <c r="I468" s="11"/>
      <c r="J468" s="11"/>
      <c r="K468" s="11"/>
      <c r="L468" s="11"/>
      <c r="M468" s="11"/>
      <c r="N468" s="11"/>
      <c r="O468" s="3"/>
    </row>
    <row r="469" spans="1:15" ht="37.5" customHeight="1" x14ac:dyDescent="0.25">
      <c r="A469" s="9" t="str">
        <f t="shared" si="1"/>
        <v/>
      </c>
      <c r="B469" s="2"/>
      <c r="C469" s="2"/>
      <c r="D469" s="2"/>
      <c r="E469" s="2"/>
      <c r="F469" s="2"/>
      <c r="G469" s="10"/>
      <c r="H469" s="11"/>
      <c r="I469" s="11"/>
      <c r="J469" s="11"/>
      <c r="K469" s="11"/>
      <c r="L469" s="11"/>
      <c r="M469" s="11"/>
      <c r="N469" s="11"/>
      <c r="O469" s="3"/>
    </row>
    <row r="470" spans="1:15" ht="37.5" customHeight="1" x14ac:dyDescent="0.25">
      <c r="A470" s="9" t="str">
        <f t="shared" si="1"/>
        <v/>
      </c>
      <c r="B470" s="2"/>
      <c r="C470" s="2"/>
      <c r="D470" s="2"/>
      <c r="E470" s="2"/>
      <c r="F470" s="2"/>
      <c r="G470" s="10"/>
      <c r="H470" s="11"/>
      <c r="I470" s="11"/>
      <c r="J470" s="11"/>
      <c r="K470" s="11"/>
      <c r="L470" s="11"/>
      <c r="M470" s="11"/>
      <c r="N470" s="11"/>
      <c r="O470" s="3"/>
    </row>
    <row r="471" spans="1:15" ht="37.5" customHeight="1" x14ac:dyDescent="0.25">
      <c r="A471" s="9" t="str">
        <f t="shared" si="1"/>
        <v/>
      </c>
      <c r="B471" s="2"/>
      <c r="C471" s="2"/>
      <c r="D471" s="2"/>
      <c r="E471" s="2"/>
      <c r="F471" s="2"/>
      <c r="G471" s="10"/>
      <c r="H471" s="11"/>
      <c r="I471" s="11"/>
      <c r="J471" s="11"/>
      <c r="K471" s="11"/>
      <c r="L471" s="11"/>
      <c r="M471" s="11"/>
      <c r="N471" s="11"/>
      <c r="O471" s="3"/>
    </row>
    <row r="472" spans="1:15" ht="37.5" customHeight="1" x14ac:dyDescent="0.25">
      <c r="A472" s="9" t="str">
        <f t="shared" si="1"/>
        <v/>
      </c>
      <c r="B472" s="2"/>
      <c r="C472" s="2"/>
      <c r="D472" s="2"/>
      <c r="E472" s="2"/>
      <c r="F472" s="2"/>
      <c r="G472" s="10"/>
      <c r="H472" s="11"/>
      <c r="I472" s="11"/>
      <c r="J472" s="11"/>
      <c r="K472" s="11"/>
      <c r="L472" s="11"/>
      <c r="M472" s="11"/>
      <c r="N472" s="11"/>
      <c r="O472" s="3"/>
    </row>
    <row r="473" spans="1:15" ht="37.5" customHeight="1" x14ac:dyDescent="0.25">
      <c r="A473" s="9" t="str">
        <f t="shared" si="1"/>
        <v/>
      </c>
      <c r="B473" s="2"/>
      <c r="C473" s="2"/>
      <c r="D473" s="2"/>
      <c r="E473" s="2"/>
      <c r="F473" s="2"/>
      <c r="G473" s="10"/>
      <c r="H473" s="11"/>
      <c r="I473" s="11"/>
      <c r="J473" s="11"/>
      <c r="K473" s="11"/>
      <c r="L473" s="11"/>
      <c r="M473" s="11"/>
      <c r="N473" s="11"/>
      <c r="O473" s="3"/>
    </row>
    <row r="474" spans="1:15" ht="37.5" customHeight="1" x14ac:dyDescent="0.25">
      <c r="A474" s="9" t="str">
        <f t="shared" si="1"/>
        <v/>
      </c>
      <c r="B474" s="2"/>
      <c r="C474" s="2"/>
      <c r="D474" s="2"/>
      <c r="E474" s="2"/>
      <c r="F474" s="2"/>
      <c r="G474" s="10"/>
      <c r="H474" s="11"/>
      <c r="I474" s="11"/>
      <c r="J474" s="11"/>
      <c r="K474" s="11"/>
      <c r="L474" s="11"/>
      <c r="M474" s="11"/>
      <c r="N474" s="11"/>
      <c r="O474" s="3"/>
    </row>
    <row r="475" spans="1:15" ht="37.5" customHeight="1" x14ac:dyDescent="0.25">
      <c r="A475" s="9" t="str">
        <f t="shared" si="1"/>
        <v/>
      </c>
      <c r="B475" s="2"/>
      <c r="C475" s="2"/>
      <c r="D475" s="2"/>
      <c r="E475" s="2"/>
      <c r="F475" s="2"/>
      <c r="G475" s="10"/>
      <c r="H475" s="11"/>
      <c r="I475" s="11"/>
      <c r="J475" s="11"/>
      <c r="K475" s="11"/>
      <c r="L475" s="11"/>
      <c r="M475" s="11"/>
      <c r="N475" s="11"/>
      <c r="O475" s="3"/>
    </row>
    <row r="476" spans="1:15" ht="37.5" customHeight="1" x14ac:dyDescent="0.25">
      <c r="A476" s="9" t="str">
        <f t="shared" si="1"/>
        <v/>
      </c>
      <c r="B476" s="2"/>
      <c r="C476" s="2"/>
      <c r="D476" s="2"/>
      <c r="E476" s="2"/>
      <c r="F476" s="2"/>
      <c r="G476" s="10"/>
      <c r="H476" s="11"/>
      <c r="I476" s="11"/>
      <c r="J476" s="11"/>
      <c r="K476" s="11"/>
      <c r="L476" s="11"/>
      <c r="M476" s="11"/>
      <c r="N476" s="11"/>
      <c r="O476" s="3"/>
    </row>
    <row r="477" spans="1:15" ht="37.5" customHeight="1" x14ac:dyDescent="0.25">
      <c r="A477" s="9" t="str">
        <f t="shared" si="1"/>
        <v/>
      </c>
      <c r="B477" s="2"/>
      <c r="C477" s="2"/>
      <c r="D477" s="2"/>
      <c r="E477" s="2"/>
      <c r="F477" s="2"/>
      <c r="G477" s="10"/>
      <c r="H477" s="11"/>
      <c r="I477" s="11"/>
      <c r="J477" s="11"/>
      <c r="K477" s="11"/>
      <c r="L477" s="11"/>
      <c r="M477" s="11"/>
      <c r="N477" s="11"/>
      <c r="O477" s="3"/>
    </row>
    <row r="478" spans="1:15" ht="37.5" customHeight="1" x14ac:dyDescent="0.25">
      <c r="A478" s="9" t="str">
        <f t="shared" si="1"/>
        <v/>
      </c>
      <c r="B478" s="2"/>
      <c r="C478" s="2"/>
      <c r="D478" s="2"/>
      <c r="E478" s="2"/>
      <c r="F478" s="2"/>
      <c r="G478" s="10"/>
      <c r="H478" s="11"/>
      <c r="I478" s="11"/>
      <c r="J478" s="11"/>
      <c r="K478" s="11"/>
      <c r="L478" s="11"/>
      <c r="M478" s="11"/>
      <c r="N478" s="11"/>
      <c r="O478" s="3"/>
    </row>
    <row r="479" spans="1:15" ht="37.5" customHeight="1" x14ac:dyDescent="0.25">
      <c r="A479" s="9" t="str">
        <f t="shared" si="1"/>
        <v/>
      </c>
      <c r="B479" s="2"/>
      <c r="C479" s="2"/>
      <c r="D479" s="2"/>
      <c r="E479" s="2"/>
      <c r="F479" s="2"/>
      <c r="G479" s="10"/>
      <c r="H479" s="11"/>
      <c r="I479" s="11"/>
      <c r="J479" s="11"/>
      <c r="K479" s="11"/>
      <c r="L479" s="11"/>
      <c r="M479" s="11"/>
      <c r="N479" s="11"/>
      <c r="O479" s="3"/>
    </row>
    <row r="480" spans="1:15" ht="37.5" customHeight="1" x14ac:dyDescent="0.25">
      <c r="A480" s="9" t="str">
        <f t="shared" si="1"/>
        <v/>
      </c>
      <c r="B480" s="2"/>
      <c r="C480" s="2"/>
      <c r="D480" s="2"/>
      <c r="E480" s="2"/>
      <c r="F480" s="2"/>
      <c r="G480" s="10"/>
      <c r="H480" s="11"/>
      <c r="I480" s="11"/>
      <c r="J480" s="11"/>
      <c r="K480" s="11"/>
      <c r="L480" s="11"/>
      <c r="M480" s="11"/>
      <c r="N480" s="11"/>
      <c r="O480" s="3"/>
    </row>
    <row r="481" spans="1:15" ht="37.5" customHeight="1" x14ac:dyDescent="0.25">
      <c r="A481" s="9" t="str">
        <f t="shared" si="1"/>
        <v/>
      </c>
      <c r="B481" s="2"/>
      <c r="C481" s="2"/>
      <c r="D481" s="2"/>
      <c r="E481" s="2"/>
      <c r="F481" s="2"/>
      <c r="G481" s="10"/>
      <c r="H481" s="11"/>
      <c r="I481" s="11"/>
      <c r="J481" s="11"/>
      <c r="K481" s="11"/>
      <c r="L481" s="11"/>
      <c r="M481" s="11"/>
      <c r="N481" s="11"/>
      <c r="O481" s="3"/>
    </row>
    <row r="482" spans="1:15" ht="37.5" customHeight="1" x14ac:dyDescent="0.25">
      <c r="A482" s="9" t="str">
        <f t="shared" si="1"/>
        <v/>
      </c>
      <c r="B482" s="2"/>
      <c r="C482" s="2"/>
      <c r="D482" s="2"/>
      <c r="E482" s="2"/>
      <c r="F482" s="2"/>
      <c r="G482" s="10"/>
      <c r="H482" s="11"/>
      <c r="I482" s="11"/>
      <c r="J482" s="11"/>
      <c r="K482" s="11"/>
      <c r="L482" s="11"/>
      <c r="M482" s="11"/>
      <c r="N482" s="11"/>
      <c r="O482" s="3"/>
    </row>
    <row r="483" spans="1:15" ht="37.5" customHeight="1" x14ac:dyDescent="0.25">
      <c r="A483" s="9" t="str">
        <f t="shared" si="1"/>
        <v/>
      </c>
      <c r="B483" s="2"/>
      <c r="C483" s="2"/>
      <c r="D483" s="2"/>
      <c r="E483" s="2"/>
      <c r="F483" s="2"/>
      <c r="G483" s="10"/>
      <c r="H483" s="11"/>
      <c r="I483" s="11"/>
      <c r="J483" s="11"/>
      <c r="K483" s="11"/>
      <c r="L483" s="11"/>
      <c r="M483" s="11"/>
      <c r="N483" s="11"/>
      <c r="O483" s="3"/>
    </row>
    <row r="484" spans="1:15" ht="37.5" customHeight="1" x14ac:dyDescent="0.25">
      <c r="A484" s="9" t="str">
        <f t="shared" si="1"/>
        <v/>
      </c>
      <c r="B484" s="2"/>
      <c r="C484" s="2"/>
      <c r="D484" s="2"/>
      <c r="E484" s="2"/>
      <c r="F484" s="2"/>
      <c r="G484" s="10"/>
      <c r="H484" s="11"/>
      <c r="I484" s="11"/>
      <c r="J484" s="11"/>
      <c r="K484" s="11"/>
      <c r="L484" s="11"/>
      <c r="M484" s="11"/>
      <c r="N484" s="11"/>
      <c r="O484" s="3"/>
    </row>
    <row r="485" spans="1:15" ht="37.5" customHeight="1" x14ac:dyDescent="0.25">
      <c r="A485" s="9" t="str">
        <f t="shared" si="1"/>
        <v/>
      </c>
      <c r="B485" s="2"/>
      <c r="C485" s="2"/>
      <c r="D485" s="2"/>
      <c r="E485" s="2"/>
      <c r="F485" s="2"/>
      <c r="G485" s="10"/>
      <c r="H485" s="11"/>
      <c r="I485" s="11"/>
      <c r="J485" s="11"/>
      <c r="K485" s="11"/>
      <c r="L485" s="11"/>
      <c r="M485" s="11"/>
      <c r="N485" s="11"/>
      <c r="O485" s="3"/>
    </row>
    <row r="486" spans="1:15" ht="37.5" customHeight="1" x14ac:dyDescent="0.25">
      <c r="A486" s="9" t="str">
        <f t="shared" si="1"/>
        <v/>
      </c>
      <c r="B486" s="2"/>
      <c r="C486" s="2"/>
      <c r="D486" s="2"/>
      <c r="E486" s="2"/>
      <c r="F486" s="2"/>
      <c r="G486" s="10"/>
      <c r="H486" s="11"/>
      <c r="I486" s="11"/>
      <c r="J486" s="11"/>
      <c r="K486" s="11"/>
      <c r="L486" s="11"/>
      <c r="M486" s="11"/>
      <c r="N486" s="11"/>
      <c r="O486" s="3"/>
    </row>
    <row r="487" spans="1:15" ht="37.5" customHeight="1" x14ac:dyDescent="0.25">
      <c r="A487" s="9" t="str">
        <f t="shared" si="1"/>
        <v/>
      </c>
      <c r="B487" s="2"/>
      <c r="C487" s="2"/>
      <c r="D487" s="2"/>
      <c r="E487" s="2"/>
      <c r="F487" s="2"/>
      <c r="G487" s="10"/>
      <c r="H487" s="11"/>
      <c r="I487" s="11"/>
      <c r="J487" s="11"/>
      <c r="K487" s="11"/>
      <c r="L487" s="11"/>
      <c r="M487" s="11"/>
      <c r="N487" s="11"/>
      <c r="O487" s="3"/>
    </row>
    <row r="488" spans="1:15" ht="37.5" customHeight="1" x14ac:dyDescent="0.25">
      <c r="A488" s="9" t="str">
        <f t="shared" si="1"/>
        <v/>
      </c>
      <c r="B488" s="2"/>
      <c r="C488" s="2"/>
      <c r="D488" s="2"/>
      <c r="E488" s="2"/>
      <c r="F488" s="2"/>
      <c r="G488" s="10"/>
      <c r="H488" s="11"/>
      <c r="I488" s="11"/>
      <c r="J488" s="11"/>
      <c r="K488" s="11"/>
      <c r="L488" s="11"/>
      <c r="M488" s="11"/>
      <c r="N488" s="11"/>
      <c r="O488" s="3"/>
    </row>
    <row r="489" spans="1:15" ht="37.5" customHeight="1" x14ac:dyDescent="0.25">
      <c r="A489" s="9" t="str">
        <f t="shared" si="1"/>
        <v/>
      </c>
      <c r="B489" s="2"/>
      <c r="C489" s="2"/>
      <c r="D489" s="2"/>
      <c r="E489" s="2"/>
      <c r="F489" s="2"/>
      <c r="G489" s="10"/>
      <c r="H489" s="11"/>
      <c r="I489" s="11"/>
      <c r="J489" s="11"/>
      <c r="K489" s="11"/>
      <c r="L489" s="11"/>
      <c r="M489" s="11"/>
      <c r="N489" s="11"/>
      <c r="O489" s="3"/>
    </row>
    <row r="490" spans="1:15" ht="37.5" customHeight="1" x14ac:dyDescent="0.25">
      <c r="A490" s="9" t="str">
        <f t="shared" si="1"/>
        <v/>
      </c>
      <c r="B490" s="2"/>
      <c r="C490" s="2"/>
      <c r="D490" s="2"/>
      <c r="E490" s="2"/>
      <c r="F490" s="2"/>
      <c r="G490" s="10"/>
      <c r="H490" s="11"/>
      <c r="I490" s="11"/>
      <c r="J490" s="11"/>
      <c r="K490" s="11"/>
      <c r="L490" s="11"/>
      <c r="M490" s="11"/>
      <c r="N490" s="11"/>
      <c r="O490" s="3"/>
    </row>
    <row r="491" spans="1:15" ht="37.5" customHeight="1" x14ac:dyDescent="0.25">
      <c r="A491" s="9" t="str">
        <f t="shared" si="1"/>
        <v/>
      </c>
      <c r="B491" s="2"/>
      <c r="C491" s="2"/>
      <c r="D491" s="2"/>
      <c r="E491" s="2"/>
      <c r="F491" s="2"/>
      <c r="G491" s="10"/>
      <c r="H491" s="11"/>
      <c r="I491" s="11"/>
      <c r="J491" s="11"/>
      <c r="K491" s="11"/>
      <c r="L491" s="11"/>
      <c r="M491" s="11"/>
      <c r="N491" s="11"/>
      <c r="O491" s="3"/>
    </row>
    <row r="492" spans="1:15" ht="37.5" customHeight="1" x14ac:dyDescent="0.25">
      <c r="A492" s="9" t="str">
        <f t="shared" si="1"/>
        <v/>
      </c>
      <c r="B492" s="2"/>
      <c r="C492" s="2"/>
      <c r="D492" s="2"/>
      <c r="E492" s="2"/>
      <c r="F492" s="2"/>
      <c r="G492" s="10"/>
      <c r="H492" s="11"/>
      <c r="I492" s="11"/>
      <c r="J492" s="11"/>
      <c r="K492" s="11"/>
      <c r="L492" s="11"/>
      <c r="M492" s="11"/>
      <c r="N492" s="11"/>
      <c r="O492" s="3"/>
    </row>
    <row r="493" spans="1:15" ht="37.5" customHeight="1" x14ac:dyDescent="0.25">
      <c r="A493" s="9" t="str">
        <f t="shared" si="1"/>
        <v/>
      </c>
      <c r="B493" s="2"/>
      <c r="C493" s="2"/>
      <c r="D493" s="2"/>
      <c r="E493" s="2"/>
      <c r="F493" s="2"/>
      <c r="G493" s="10"/>
      <c r="H493" s="11"/>
      <c r="I493" s="11"/>
      <c r="J493" s="11"/>
      <c r="K493" s="11"/>
      <c r="L493" s="11"/>
      <c r="M493" s="11"/>
      <c r="N493" s="11"/>
      <c r="O493" s="3"/>
    </row>
    <row r="494" spans="1:15" ht="37.5" customHeight="1" x14ac:dyDescent="0.25">
      <c r="A494" s="9" t="str">
        <f t="shared" si="1"/>
        <v/>
      </c>
      <c r="B494" s="2"/>
      <c r="C494" s="2"/>
      <c r="D494" s="2"/>
      <c r="E494" s="2"/>
      <c r="F494" s="2"/>
      <c r="G494" s="10"/>
      <c r="H494" s="11"/>
      <c r="I494" s="11"/>
      <c r="J494" s="11"/>
      <c r="K494" s="11"/>
      <c r="L494" s="11"/>
      <c r="M494" s="11"/>
      <c r="N494" s="11"/>
      <c r="O494" s="3"/>
    </row>
    <row r="495" spans="1:15" ht="37.5" customHeight="1" x14ac:dyDescent="0.25">
      <c r="A495" s="9" t="str">
        <f t="shared" si="1"/>
        <v/>
      </c>
      <c r="B495" s="2"/>
      <c r="C495" s="2"/>
      <c r="D495" s="2"/>
      <c r="E495" s="2"/>
      <c r="F495" s="2"/>
      <c r="G495" s="10"/>
      <c r="H495" s="11"/>
      <c r="I495" s="11"/>
      <c r="J495" s="11"/>
      <c r="K495" s="11"/>
      <c r="L495" s="11"/>
      <c r="M495" s="11"/>
      <c r="N495" s="11"/>
      <c r="O495" s="3"/>
    </row>
    <row r="496" spans="1:15" ht="37.5" customHeight="1" x14ac:dyDescent="0.25">
      <c r="A496" s="9" t="str">
        <f t="shared" si="1"/>
        <v/>
      </c>
      <c r="B496" s="2"/>
      <c r="C496" s="2"/>
      <c r="D496" s="2"/>
      <c r="E496" s="2"/>
      <c r="F496" s="2"/>
      <c r="G496" s="10"/>
      <c r="H496" s="11"/>
      <c r="I496" s="11"/>
      <c r="J496" s="11"/>
      <c r="K496" s="11"/>
      <c r="L496" s="11"/>
      <c r="M496" s="11"/>
      <c r="N496" s="11"/>
      <c r="O496" s="3"/>
    </row>
    <row r="497" spans="1:15" ht="37.5" customHeight="1" x14ac:dyDescent="0.25">
      <c r="A497" s="9" t="str">
        <f t="shared" si="1"/>
        <v/>
      </c>
      <c r="B497" s="2"/>
      <c r="C497" s="2"/>
      <c r="D497" s="2"/>
      <c r="E497" s="2"/>
      <c r="F497" s="2"/>
      <c r="G497" s="10"/>
      <c r="H497" s="11"/>
      <c r="I497" s="11"/>
      <c r="J497" s="11"/>
      <c r="K497" s="11"/>
      <c r="L497" s="11"/>
      <c r="M497" s="11"/>
      <c r="N497" s="11"/>
      <c r="O497" s="3"/>
    </row>
    <row r="498" spans="1:15" ht="37.5" customHeight="1" x14ac:dyDescent="0.25">
      <c r="A498" s="9" t="str">
        <f t="shared" si="1"/>
        <v/>
      </c>
      <c r="B498" s="2"/>
      <c r="C498" s="2"/>
      <c r="D498" s="2"/>
      <c r="E498" s="2"/>
      <c r="F498" s="2"/>
      <c r="G498" s="10"/>
      <c r="H498" s="11"/>
      <c r="I498" s="11"/>
      <c r="J498" s="11"/>
      <c r="K498" s="11"/>
      <c r="L498" s="11"/>
      <c r="M498" s="11"/>
      <c r="N498" s="11"/>
      <c r="O498" s="3"/>
    </row>
    <row r="499" spans="1:15" ht="37.5" customHeight="1" x14ac:dyDescent="0.25">
      <c r="A499" s="9" t="str">
        <f t="shared" si="1"/>
        <v/>
      </c>
      <c r="B499" s="2"/>
      <c r="C499" s="2"/>
      <c r="D499" s="2"/>
      <c r="E499" s="2"/>
      <c r="F499" s="2"/>
      <c r="G499" s="10"/>
      <c r="H499" s="11"/>
      <c r="I499" s="11"/>
      <c r="J499" s="11"/>
      <c r="K499" s="11"/>
      <c r="L499" s="11"/>
      <c r="M499" s="11"/>
      <c r="N499" s="11"/>
      <c r="O499" s="3"/>
    </row>
    <row r="500" spans="1:15" ht="37.5" customHeight="1" x14ac:dyDescent="0.25">
      <c r="A500" s="9" t="str">
        <f t="shared" si="1"/>
        <v/>
      </c>
      <c r="B500" s="2"/>
      <c r="C500" s="2"/>
      <c r="D500" s="2"/>
      <c r="E500" s="2"/>
      <c r="F500" s="2"/>
      <c r="G500" s="10"/>
      <c r="H500" s="11"/>
      <c r="I500" s="11"/>
      <c r="J500" s="11"/>
      <c r="K500" s="11"/>
      <c r="L500" s="11"/>
      <c r="M500" s="11"/>
      <c r="N500" s="11"/>
      <c r="O500" s="3"/>
    </row>
    <row r="501" spans="1:15" ht="37.5" customHeight="1" x14ac:dyDescent="0.25">
      <c r="A501" s="9" t="str">
        <f t="shared" si="1"/>
        <v/>
      </c>
      <c r="B501" s="2"/>
      <c r="C501" s="2"/>
      <c r="D501" s="2"/>
      <c r="E501" s="2"/>
      <c r="F501" s="2"/>
      <c r="G501" s="10"/>
      <c r="H501" s="11"/>
      <c r="I501" s="11"/>
      <c r="J501" s="11"/>
      <c r="K501" s="11"/>
      <c r="L501" s="11"/>
      <c r="M501" s="11"/>
      <c r="N501" s="11"/>
      <c r="O501" s="3"/>
    </row>
    <row r="502" spans="1:15" ht="37.5" customHeight="1" x14ac:dyDescent="0.25">
      <c r="A502" s="9" t="str">
        <f t="shared" si="1"/>
        <v/>
      </c>
      <c r="B502" s="2"/>
      <c r="C502" s="2"/>
      <c r="D502" s="2"/>
      <c r="E502" s="2"/>
      <c r="F502" s="2"/>
      <c r="G502" s="10"/>
      <c r="H502" s="11"/>
      <c r="I502" s="11"/>
      <c r="J502" s="11"/>
      <c r="K502" s="11"/>
      <c r="L502" s="11"/>
      <c r="M502" s="11"/>
      <c r="N502" s="11"/>
      <c r="O502" s="3"/>
    </row>
    <row r="503" spans="1:15" ht="37.5" customHeight="1" x14ac:dyDescent="0.25">
      <c r="A503" s="9" t="str">
        <f t="shared" si="1"/>
        <v/>
      </c>
      <c r="B503" s="2"/>
      <c r="C503" s="2"/>
      <c r="D503" s="2"/>
      <c r="E503" s="2"/>
      <c r="F503" s="2"/>
      <c r="G503" s="10"/>
      <c r="H503" s="11"/>
      <c r="I503" s="11"/>
      <c r="J503" s="11"/>
      <c r="K503" s="11"/>
      <c r="L503" s="11"/>
      <c r="M503" s="11"/>
      <c r="N503" s="11"/>
      <c r="O503" s="3"/>
    </row>
    <row r="504" spans="1:15" ht="37.5" customHeight="1" x14ac:dyDescent="0.25">
      <c r="A504" s="9" t="str">
        <f t="shared" si="1"/>
        <v/>
      </c>
      <c r="B504" s="2"/>
      <c r="C504" s="2"/>
      <c r="D504" s="2"/>
      <c r="E504" s="2"/>
      <c r="F504" s="2"/>
      <c r="G504" s="10"/>
      <c r="H504" s="11"/>
      <c r="I504" s="11"/>
      <c r="J504" s="11"/>
      <c r="K504" s="11"/>
      <c r="L504" s="11"/>
      <c r="M504" s="11"/>
      <c r="N504" s="11"/>
      <c r="O504" s="3"/>
    </row>
    <row r="505" spans="1:15" ht="37.5" customHeight="1" x14ac:dyDescent="0.25">
      <c r="A505" s="9" t="str">
        <f t="shared" si="1"/>
        <v/>
      </c>
      <c r="B505" s="2"/>
      <c r="C505" s="2"/>
      <c r="D505" s="2"/>
      <c r="E505" s="2"/>
      <c r="F505" s="2"/>
      <c r="G505" s="10"/>
      <c r="H505" s="11"/>
      <c r="I505" s="11"/>
      <c r="J505" s="11"/>
      <c r="K505" s="11"/>
      <c r="L505" s="11"/>
      <c r="M505" s="11"/>
      <c r="N505" s="11"/>
      <c r="O505" s="3"/>
    </row>
    <row r="506" spans="1:15" ht="37.5" customHeight="1" x14ac:dyDescent="0.25">
      <c r="A506" s="9" t="str">
        <f t="shared" si="1"/>
        <v/>
      </c>
      <c r="B506" s="2"/>
      <c r="C506" s="2"/>
      <c r="D506" s="2"/>
      <c r="E506" s="2"/>
      <c r="F506" s="2"/>
      <c r="G506" s="10"/>
      <c r="H506" s="11"/>
      <c r="I506" s="11"/>
      <c r="J506" s="11"/>
      <c r="K506" s="11"/>
      <c r="L506" s="11"/>
      <c r="M506" s="11"/>
      <c r="N506" s="11"/>
      <c r="O506" s="3"/>
    </row>
    <row r="507" spans="1:15" ht="37.5" customHeight="1" x14ac:dyDescent="0.25">
      <c r="A507" s="9" t="str">
        <f t="shared" si="1"/>
        <v/>
      </c>
      <c r="B507" s="2"/>
      <c r="C507" s="2"/>
      <c r="D507" s="2"/>
      <c r="E507" s="2"/>
      <c r="F507" s="2"/>
      <c r="G507" s="10"/>
      <c r="H507" s="11"/>
      <c r="I507" s="11"/>
      <c r="J507" s="11"/>
      <c r="K507" s="11"/>
      <c r="L507" s="11"/>
      <c r="M507" s="11"/>
      <c r="N507" s="11"/>
      <c r="O507" s="3"/>
    </row>
    <row r="508" spans="1:15" ht="37.5" customHeight="1" x14ac:dyDescent="0.25">
      <c r="A508" s="9" t="str">
        <f t="shared" si="1"/>
        <v/>
      </c>
      <c r="B508" s="2"/>
      <c r="C508" s="2"/>
      <c r="D508" s="2"/>
      <c r="E508" s="2"/>
      <c r="F508" s="2"/>
      <c r="G508" s="10"/>
      <c r="H508" s="11"/>
      <c r="I508" s="11"/>
      <c r="J508" s="11"/>
      <c r="K508" s="11"/>
      <c r="L508" s="11"/>
      <c r="M508" s="11"/>
      <c r="N508" s="11"/>
      <c r="O508" s="3"/>
    </row>
    <row r="509" spans="1:15" ht="37.5" customHeight="1" x14ac:dyDescent="0.25">
      <c r="A509" s="9" t="str">
        <f t="shared" si="1"/>
        <v/>
      </c>
      <c r="B509" s="2"/>
      <c r="C509" s="2"/>
      <c r="D509" s="2"/>
      <c r="E509" s="2"/>
      <c r="F509" s="2"/>
      <c r="G509" s="10"/>
      <c r="H509" s="11"/>
      <c r="I509" s="11"/>
      <c r="J509" s="11"/>
      <c r="K509" s="11"/>
      <c r="L509" s="11"/>
      <c r="M509" s="11"/>
      <c r="N509" s="11"/>
      <c r="O509" s="3"/>
    </row>
    <row r="510" spans="1:15" ht="37.5" customHeight="1" x14ac:dyDescent="0.25">
      <c r="A510" s="9" t="str">
        <f t="shared" si="1"/>
        <v/>
      </c>
      <c r="B510" s="2"/>
      <c r="C510" s="2"/>
      <c r="D510" s="2"/>
      <c r="E510" s="2"/>
      <c r="F510" s="2"/>
      <c r="G510" s="10"/>
      <c r="H510" s="11"/>
      <c r="I510" s="11"/>
      <c r="J510" s="11"/>
      <c r="K510" s="11"/>
      <c r="L510" s="11"/>
      <c r="M510" s="11"/>
      <c r="N510" s="11"/>
      <c r="O510" s="3"/>
    </row>
    <row r="511" spans="1:15" ht="37.5" customHeight="1" x14ac:dyDescent="0.25">
      <c r="A511" s="9" t="str">
        <f t="shared" si="1"/>
        <v/>
      </c>
      <c r="B511" s="2"/>
      <c r="C511" s="2"/>
      <c r="D511" s="2"/>
      <c r="E511" s="2"/>
      <c r="F511" s="2"/>
      <c r="G511" s="10"/>
      <c r="H511" s="11"/>
      <c r="I511" s="11"/>
      <c r="J511" s="11"/>
      <c r="K511" s="11"/>
      <c r="L511" s="11"/>
      <c r="M511" s="11"/>
      <c r="N511" s="11"/>
      <c r="O511" s="3"/>
    </row>
    <row r="512" spans="1:15" ht="37.5" customHeight="1" x14ac:dyDescent="0.25">
      <c r="A512" s="9" t="str">
        <f t="shared" si="1"/>
        <v/>
      </c>
      <c r="B512" s="2"/>
      <c r="C512" s="2"/>
      <c r="D512" s="2"/>
      <c r="E512" s="2"/>
      <c r="F512" s="2"/>
      <c r="G512" s="10"/>
      <c r="H512" s="11"/>
      <c r="I512" s="11"/>
      <c r="J512" s="11"/>
      <c r="K512" s="11"/>
      <c r="L512" s="11"/>
      <c r="M512" s="11"/>
      <c r="N512" s="11"/>
      <c r="O512" s="3"/>
    </row>
    <row r="513" spans="1:15" ht="37.5" customHeight="1" x14ac:dyDescent="0.25">
      <c r="A513" s="9" t="str">
        <f t="shared" si="1"/>
        <v/>
      </c>
      <c r="B513" s="2"/>
      <c r="C513" s="2"/>
      <c r="D513" s="2"/>
      <c r="E513" s="2"/>
      <c r="F513" s="2"/>
      <c r="G513" s="10"/>
      <c r="H513" s="11"/>
      <c r="I513" s="11"/>
      <c r="J513" s="11"/>
      <c r="K513" s="11"/>
      <c r="L513" s="11"/>
      <c r="M513" s="11"/>
      <c r="N513" s="11"/>
      <c r="O513" s="3"/>
    </row>
    <row r="514" spans="1:15" ht="37.5" customHeight="1" x14ac:dyDescent="0.25">
      <c r="A514" s="9" t="str">
        <f t="shared" si="1"/>
        <v/>
      </c>
      <c r="B514" s="2"/>
      <c r="C514" s="2"/>
      <c r="D514" s="2"/>
      <c r="E514" s="2"/>
      <c r="F514" s="2"/>
      <c r="G514" s="10"/>
      <c r="H514" s="11"/>
      <c r="I514" s="11"/>
      <c r="J514" s="11"/>
      <c r="K514" s="11"/>
      <c r="L514" s="11"/>
      <c r="M514" s="11"/>
      <c r="N514" s="11"/>
      <c r="O514" s="3"/>
    </row>
    <row r="515" spans="1:15" ht="37.5" customHeight="1" x14ac:dyDescent="0.25">
      <c r="A515" s="9" t="str">
        <f t="shared" si="1"/>
        <v/>
      </c>
      <c r="B515" s="2"/>
      <c r="C515" s="2"/>
      <c r="D515" s="2"/>
      <c r="E515" s="2"/>
      <c r="F515" s="2"/>
      <c r="G515" s="10"/>
      <c r="H515" s="11"/>
      <c r="I515" s="11"/>
      <c r="J515" s="11"/>
      <c r="K515" s="11"/>
      <c r="L515" s="11"/>
      <c r="M515" s="11"/>
      <c r="N515" s="11"/>
      <c r="O515" s="3"/>
    </row>
    <row r="516" spans="1:15" ht="37.5" customHeight="1" x14ac:dyDescent="0.25">
      <c r="A516" s="9" t="str">
        <f t="shared" si="1"/>
        <v/>
      </c>
      <c r="B516" s="2"/>
      <c r="C516" s="2"/>
      <c r="D516" s="2"/>
      <c r="E516" s="2"/>
      <c r="F516" s="2"/>
      <c r="G516" s="10"/>
      <c r="H516" s="11"/>
      <c r="I516" s="11"/>
      <c r="J516" s="11"/>
      <c r="K516" s="11"/>
      <c r="L516" s="11"/>
      <c r="M516" s="11"/>
      <c r="N516" s="11"/>
      <c r="O516" s="3"/>
    </row>
    <row r="517" spans="1:15" ht="37.5" customHeight="1" x14ac:dyDescent="0.25">
      <c r="A517" s="9" t="str">
        <f t="shared" si="1"/>
        <v/>
      </c>
      <c r="B517" s="2"/>
      <c r="C517" s="2"/>
      <c r="D517" s="2"/>
      <c r="E517" s="2"/>
      <c r="F517" s="2"/>
      <c r="G517" s="10"/>
      <c r="H517" s="11"/>
      <c r="I517" s="11"/>
      <c r="J517" s="11"/>
      <c r="K517" s="11"/>
      <c r="L517" s="11"/>
      <c r="M517" s="11"/>
      <c r="N517" s="11"/>
      <c r="O517" s="3"/>
    </row>
    <row r="518" spans="1:15" ht="37.5" customHeight="1" x14ac:dyDescent="0.25">
      <c r="A518" s="9" t="str">
        <f t="shared" si="1"/>
        <v/>
      </c>
      <c r="B518" s="2"/>
      <c r="C518" s="2"/>
      <c r="D518" s="2"/>
      <c r="E518" s="2"/>
      <c r="F518" s="2"/>
      <c r="G518" s="10"/>
      <c r="H518" s="11"/>
      <c r="I518" s="11"/>
      <c r="J518" s="11"/>
      <c r="K518" s="11"/>
      <c r="L518" s="11"/>
      <c r="M518" s="11"/>
      <c r="N518" s="11"/>
      <c r="O518" s="3"/>
    </row>
    <row r="519" spans="1:15" ht="37.5" customHeight="1" x14ac:dyDescent="0.25">
      <c r="A519" s="9" t="str">
        <f t="shared" si="1"/>
        <v/>
      </c>
      <c r="B519" s="2"/>
      <c r="C519" s="2"/>
      <c r="D519" s="2"/>
      <c r="E519" s="2"/>
      <c r="F519" s="2"/>
      <c r="G519" s="10"/>
      <c r="H519" s="11"/>
      <c r="I519" s="11"/>
      <c r="J519" s="11"/>
      <c r="K519" s="11"/>
      <c r="L519" s="11"/>
      <c r="M519" s="11"/>
      <c r="N519" s="11"/>
      <c r="O519" s="3"/>
    </row>
    <row r="520" spans="1:15" ht="37.5" customHeight="1" x14ac:dyDescent="0.25">
      <c r="A520" s="9" t="str">
        <f t="shared" si="1"/>
        <v/>
      </c>
      <c r="B520" s="2"/>
      <c r="C520" s="2"/>
      <c r="D520" s="2"/>
      <c r="E520" s="2"/>
      <c r="F520" s="2"/>
      <c r="G520" s="10"/>
      <c r="H520" s="11"/>
      <c r="I520" s="11"/>
      <c r="J520" s="11"/>
      <c r="K520" s="11"/>
      <c r="L520" s="11"/>
      <c r="M520" s="11"/>
      <c r="N520" s="11"/>
      <c r="O520" s="3"/>
    </row>
    <row r="521" spans="1:15" ht="37.5" customHeight="1" x14ac:dyDescent="0.25">
      <c r="A521" s="9" t="str">
        <f t="shared" si="1"/>
        <v/>
      </c>
      <c r="B521" s="2"/>
      <c r="C521" s="2"/>
      <c r="D521" s="2"/>
      <c r="E521" s="2"/>
      <c r="F521" s="2"/>
      <c r="G521" s="10"/>
      <c r="H521" s="11"/>
      <c r="I521" s="11"/>
      <c r="J521" s="11"/>
      <c r="K521" s="11"/>
      <c r="L521" s="11"/>
      <c r="M521" s="11"/>
      <c r="N521" s="11"/>
      <c r="O521" s="3"/>
    </row>
    <row r="522" spans="1:15" ht="37.5" customHeight="1" x14ac:dyDescent="0.25">
      <c r="A522" s="9" t="str">
        <f t="shared" si="1"/>
        <v/>
      </c>
      <c r="B522" s="2"/>
      <c r="C522" s="2"/>
      <c r="D522" s="2"/>
      <c r="E522" s="2"/>
      <c r="F522" s="2"/>
      <c r="G522" s="10"/>
      <c r="H522" s="11"/>
      <c r="I522" s="11"/>
      <c r="J522" s="11"/>
      <c r="K522" s="11"/>
      <c r="L522" s="11"/>
      <c r="M522" s="11"/>
      <c r="N522" s="11"/>
      <c r="O522" s="3"/>
    </row>
    <row r="523" spans="1:15" ht="37.5" customHeight="1" x14ac:dyDescent="0.25">
      <c r="A523" s="9" t="str">
        <f t="shared" si="1"/>
        <v/>
      </c>
      <c r="B523" s="2"/>
      <c r="C523" s="2"/>
      <c r="D523" s="2"/>
      <c r="E523" s="2"/>
      <c r="F523" s="2"/>
      <c r="G523" s="10"/>
      <c r="H523" s="11"/>
      <c r="I523" s="11"/>
      <c r="J523" s="11"/>
      <c r="K523" s="11"/>
      <c r="L523" s="11"/>
      <c r="M523" s="11"/>
      <c r="N523" s="11"/>
      <c r="O523" s="3"/>
    </row>
    <row r="524" spans="1:15" ht="37.5" customHeight="1" x14ac:dyDescent="0.25">
      <c r="A524" s="9" t="str">
        <f t="shared" si="1"/>
        <v/>
      </c>
      <c r="B524" s="2"/>
      <c r="C524" s="2"/>
      <c r="D524" s="2"/>
      <c r="E524" s="2"/>
      <c r="F524" s="2"/>
      <c r="G524" s="10"/>
      <c r="H524" s="11"/>
      <c r="I524" s="11"/>
      <c r="J524" s="11"/>
      <c r="K524" s="11"/>
      <c r="L524" s="11"/>
      <c r="M524" s="11"/>
      <c r="N524" s="11"/>
      <c r="O524" s="3"/>
    </row>
    <row r="525" spans="1:15" ht="37.5" customHeight="1" x14ac:dyDescent="0.25">
      <c r="A525" s="9" t="str">
        <f t="shared" si="1"/>
        <v/>
      </c>
      <c r="B525" s="2"/>
      <c r="C525" s="2"/>
      <c r="D525" s="2"/>
      <c r="E525" s="2"/>
      <c r="F525" s="2"/>
      <c r="G525" s="10"/>
      <c r="H525" s="11"/>
      <c r="I525" s="11"/>
      <c r="J525" s="11"/>
      <c r="K525" s="11"/>
      <c r="L525" s="11"/>
      <c r="M525" s="11"/>
      <c r="N525" s="11"/>
      <c r="O525" s="3"/>
    </row>
    <row r="526" spans="1:15" ht="37.5" customHeight="1" x14ac:dyDescent="0.25">
      <c r="A526" s="9" t="str">
        <f t="shared" si="1"/>
        <v/>
      </c>
      <c r="B526" s="2"/>
      <c r="C526" s="2"/>
      <c r="D526" s="2"/>
      <c r="E526" s="2"/>
      <c r="F526" s="2"/>
      <c r="G526" s="10"/>
      <c r="H526" s="11"/>
      <c r="I526" s="11"/>
      <c r="J526" s="11"/>
      <c r="K526" s="11"/>
      <c r="L526" s="11"/>
      <c r="M526" s="11"/>
      <c r="N526" s="11"/>
      <c r="O526" s="3"/>
    </row>
    <row r="527" spans="1:15" ht="37.5" customHeight="1" x14ac:dyDescent="0.25">
      <c r="A527" s="9" t="str">
        <f t="shared" si="1"/>
        <v/>
      </c>
      <c r="B527" s="2"/>
      <c r="C527" s="2"/>
      <c r="D527" s="2"/>
      <c r="E527" s="2"/>
      <c r="F527" s="2"/>
      <c r="G527" s="10"/>
      <c r="H527" s="11"/>
      <c r="I527" s="11"/>
      <c r="J527" s="11"/>
      <c r="K527" s="11"/>
      <c r="L527" s="11"/>
      <c r="M527" s="11"/>
      <c r="N527" s="11"/>
      <c r="O527" s="3"/>
    </row>
    <row r="528" spans="1:15" ht="37.5" customHeight="1" x14ac:dyDescent="0.25">
      <c r="A528" s="9" t="str">
        <f t="shared" si="1"/>
        <v/>
      </c>
      <c r="B528" s="2"/>
      <c r="C528" s="2"/>
      <c r="D528" s="2"/>
      <c r="E528" s="2"/>
      <c r="F528" s="2"/>
      <c r="G528" s="10"/>
      <c r="H528" s="11"/>
      <c r="I528" s="11"/>
      <c r="J528" s="11"/>
      <c r="K528" s="11"/>
      <c r="L528" s="11"/>
      <c r="M528" s="11"/>
      <c r="N528" s="11"/>
      <c r="O528" s="3"/>
    </row>
    <row r="529" spans="1:15" ht="37.5" customHeight="1" x14ac:dyDescent="0.25">
      <c r="A529" s="9" t="str">
        <f t="shared" si="1"/>
        <v/>
      </c>
      <c r="B529" s="2"/>
      <c r="C529" s="2"/>
      <c r="D529" s="2"/>
      <c r="E529" s="2"/>
      <c r="F529" s="2"/>
      <c r="G529" s="10"/>
      <c r="H529" s="11"/>
      <c r="I529" s="11"/>
      <c r="J529" s="11"/>
      <c r="K529" s="11"/>
      <c r="L529" s="11"/>
      <c r="M529" s="11"/>
      <c r="N529" s="11"/>
      <c r="O529" s="3"/>
    </row>
    <row r="530" spans="1:15" ht="37.5" customHeight="1" x14ac:dyDescent="0.25">
      <c r="A530" s="9" t="str">
        <f t="shared" si="1"/>
        <v/>
      </c>
      <c r="B530" s="2"/>
      <c r="C530" s="2"/>
      <c r="D530" s="2"/>
      <c r="E530" s="2"/>
      <c r="F530" s="2"/>
      <c r="G530" s="10"/>
      <c r="H530" s="11"/>
      <c r="I530" s="11"/>
      <c r="J530" s="11"/>
      <c r="K530" s="11"/>
      <c r="L530" s="11"/>
      <c r="M530" s="11"/>
      <c r="N530" s="11"/>
      <c r="O530" s="3"/>
    </row>
    <row r="531" spans="1:15" ht="37.5" customHeight="1" x14ac:dyDescent="0.25">
      <c r="A531" s="9" t="str">
        <f t="shared" si="1"/>
        <v/>
      </c>
      <c r="B531" s="2"/>
      <c r="C531" s="2"/>
      <c r="D531" s="2"/>
      <c r="E531" s="2"/>
      <c r="F531" s="2"/>
      <c r="G531" s="10"/>
      <c r="H531" s="11"/>
      <c r="I531" s="11"/>
      <c r="J531" s="11"/>
      <c r="K531" s="11"/>
      <c r="L531" s="11"/>
      <c r="M531" s="11"/>
      <c r="N531" s="11"/>
      <c r="O531" s="3"/>
    </row>
    <row r="532" spans="1:15" ht="37.5" customHeight="1" x14ac:dyDescent="0.25">
      <c r="A532" s="9" t="str">
        <f t="shared" si="1"/>
        <v/>
      </c>
      <c r="B532" s="2"/>
      <c r="C532" s="2"/>
      <c r="D532" s="2"/>
      <c r="E532" s="2"/>
      <c r="F532" s="2"/>
      <c r="G532" s="10"/>
      <c r="H532" s="11"/>
      <c r="I532" s="11"/>
      <c r="J532" s="11"/>
      <c r="K532" s="11"/>
      <c r="L532" s="11"/>
      <c r="M532" s="11"/>
      <c r="N532" s="11"/>
      <c r="O532" s="3"/>
    </row>
    <row r="533" spans="1:15" ht="37.5" customHeight="1" x14ac:dyDescent="0.25">
      <c r="A533" s="9" t="str">
        <f t="shared" si="1"/>
        <v/>
      </c>
      <c r="B533" s="2"/>
      <c r="C533" s="2"/>
      <c r="D533" s="2"/>
      <c r="E533" s="2"/>
      <c r="F533" s="2"/>
      <c r="G533" s="10"/>
      <c r="H533" s="11"/>
      <c r="I533" s="11"/>
      <c r="J533" s="11"/>
      <c r="K533" s="11"/>
      <c r="L533" s="11"/>
      <c r="M533" s="11"/>
      <c r="N533" s="11"/>
      <c r="O533" s="3"/>
    </row>
    <row r="534" spans="1:15" ht="37.5" customHeight="1" x14ac:dyDescent="0.25">
      <c r="A534" s="9" t="str">
        <f t="shared" si="1"/>
        <v/>
      </c>
      <c r="B534" s="2"/>
      <c r="C534" s="2"/>
      <c r="D534" s="2"/>
      <c r="E534" s="2"/>
      <c r="F534" s="2"/>
      <c r="G534" s="10"/>
      <c r="H534" s="11"/>
      <c r="I534" s="11"/>
      <c r="J534" s="11"/>
      <c r="K534" s="11"/>
      <c r="L534" s="11"/>
      <c r="M534" s="11"/>
      <c r="N534" s="11"/>
      <c r="O534" s="3"/>
    </row>
    <row r="535" spans="1:15" ht="37.5" customHeight="1" x14ac:dyDescent="0.25">
      <c r="A535" s="9" t="str">
        <f t="shared" si="1"/>
        <v/>
      </c>
      <c r="B535" s="2"/>
      <c r="C535" s="2"/>
      <c r="D535" s="2"/>
      <c r="E535" s="2"/>
      <c r="F535" s="2"/>
      <c r="G535" s="10"/>
      <c r="H535" s="11"/>
      <c r="I535" s="11"/>
      <c r="J535" s="11"/>
      <c r="K535" s="11"/>
      <c r="L535" s="11"/>
      <c r="M535" s="11"/>
      <c r="N535" s="11"/>
      <c r="O535" s="3"/>
    </row>
    <row r="536" spans="1:15" ht="37.5" customHeight="1" x14ac:dyDescent="0.25">
      <c r="A536" s="9" t="str">
        <f t="shared" si="1"/>
        <v/>
      </c>
      <c r="B536" s="2"/>
      <c r="C536" s="2"/>
      <c r="D536" s="2"/>
      <c r="E536" s="2"/>
      <c r="F536" s="2"/>
      <c r="G536" s="10"/>
      <c r="H536" s="11"/>
      <c r="I536" s="11"/>
      <c r="J536" s="11"/>
      <c r="K536" s="11"/>
      <c r="L536" s="11"/>
      <c r="M536" s="11"/>
      <c r="N536" s="11"/>
      <c r="O536" s="3"/>
    </row>
    <row r="537" spans="1:15" ht="37.5" customHeight="1" x14ac:dyDescent="0.25">
      <c r="A537" s="9" t="str">
        <f t="shared" si="1"/>
        <v/>
      </c>
      <c r="B537" s="2"/>
      <c r="C537" s="2"/>
      <c r="D537" s="2"/>
      <c r="E537" s="2"/>
      <c r="F537" s="2"/>
      <c r="G537" s="10"/>
      <c r="H537" s="11"/>
      <c r="I537" s="11"/>
      <c r="J537" s="11"/>
      <c r="K537" s="11"/>
      <c r="L537" s="11"/>
      <c r="M537" s="11"/>
      <c r="N537" s="11"/>
      <c r="O537" s="3"/>
    </row>
    <row r="538" spans="1:15" ht="37.5" customHeight="1" x14ac:dyDescent="0.25">
      <c r="A538" s="9" t="str">
        <f t="shared" si="1"/>
        <v/>
      </c>
      <c r="B538" s="2"/>
      <c r="C538" s="2"/>
      <c r="D538" s="2"/>
      <c r="E538" s="2"/>
      <c r="F538" s="2"/>
      <c r="G538" s="10"/>
      <c r="H538" s="11"/>
      <c r="I538" s="11"/>
      <c r="J538" s="11"/>
      <c r="K538" s="11"/>
      <c r="L538" s="11"/>
      <c r="M538" s="11"/>
      <c r="N538" s="11"/>
      <c r="O538" s="3"/>
    </row>
    <row r="539" spans="1:15" ht="37.5" customHeight="1" x14ac:dyDescent="0.25">
      <c r="A539" s="9" t="str">
        <f t="shared" si="1"/>
        <v/>
      </c>
      <c r="B539" s="2"/>
      <c r="C539" s="2"/>
      <c r="D539" s="2"/>
      <c r="E539" s="2"/>
      <c r="F539" s="2"/>
      <c r="G539" s="10"/>
      <c r="H539" s="11"/>
      <c r="I539" s="11"/>
      <c r="J539" s="11"/>
      <c r="K539" s="11"/>
      <c r="L539" s="11"/>
      <c r="M539" s="11"/>
      <c r="N539" s="11"/>
      <c r="O539" s="3"/>
    </row>
    <row r="540" spans="1:15" ht="37.5" customHeight="1" x14ac:dyDescent="0.25">
      <c r="A540" s="9" t="str">
        <f t="shared" si="1"/>
        <v/>
      </c>
      <c r="B540" s="2"/>
      <c r="C540" s="2"/>
      <c r="D540" s="2"/>
      <c r="E540" s="2"/>
      <c r="F540" s="2"/>
      <c r="G540" s="10"/>
      <c r="H540" s="11"/>
      <c r="I540" s="11"/>
      <c r="J540" s="11"/>
      <c r="K540" s="11"/>
      <c r="L540" s="11"/>
      <c r="M540" s="11"/>
      <c r="N540" s="11"/>
      <c r="O540" s="3"/>
    </row>
    <row r="541" spans="1:15" ht="37.5" customHeight="1" x14ac:dyDescent="0.25">
      <c r="A541" s="9" t="str">
        <f t="shared" si="1"/>
        <v/>
      </c>
      <c r="B541" s="2"/>
      <c r="C541" s="2"/>
      <c r="D541" s="2"/>
      <c r="E541" s="2"/>
      <c r="F541" s="2"/>
      <c r="G541" s="10"/>
      <c r="H541" s="11"/>
      <c r="I541" s="11"/>
      <c r="J541" s="11"/>
      <c r="K541" s="11"/>
      <c r="L541" s="11"/>
      <c r="M541" s="11"/>
      <c r="N541" s="11"/>
      <c r="O541" s="3"/>
    </row>
    <row r="542" spans="1:15" ht="37.5" customHeight="1" x14ac:dyDescent="0.25">
      <c r="A542" s="9" t="str">
        <f t="shared" si="1"/>
        <v/>
      </c>
      <c r="B542" s="2"/>
      <c r="C542" s="2"/>
      <c r="D542" s="2"/>
      <c r="E542" s="2"/>
      <c r="F542" s="2"/>
      <c r="G542" s="10"/>
      <c r="H542" s="11"/>
      <c r="I542" s="11"/>
      <c r="J542" s="11"/>
      <c r="K542" s="11"/>
      <c r="L542" s="11"/>
      <c r="M542" s="11"/>
      <c r="N542" s="11"/>
      <c r="O542" s="3"/>
    </row>
    <row r="543" spans="1:15" ht="37.5" customHeight="1" x14ac:dyDescent="0.25">
      <c r="A543" s="9" t="str">
        <f t="shared" si="1"/>
        <v/>
      </c>
      <c r="B543" s="2"/>
      <c r="C543" s="2"/>
      <c r="D543" s="2"/>
      <c r="E543" s="2"/>
      <c r="F543" s="2"/>
      <c r="G543" s="10"/>
      <c r="H543" s="11"/>
      <c r="I543" s="11"/>
      <c r="J543" s="11"/>
      <c r="K543" s="11"/>
      <c r="L543" s="11"/>
      <c r="M543" s="11"/>
      <c r="N543" s="11"/>
      <c r="O543" s="3"/>
    </row>
    <row r="544" spans="1:15" ht="37.5" customHeight="1" x14ac:dyDescent="0.25">
      <c r="A544" s="9" t="str">
        <f t="shared" si="1"/>
        <v/>
      </c>
      <c r="B544" s="2"/>
      <c r="C544" s="2"/>
      <c r="D544" s="2"/>
      <c r="E544" s="2"/>
      <c r="F544" s="2"/>
      <c r="G544" s="10"/>
      <c r="H544" s="11"/>
      <c r="I544" s="11"/>
      <c r="J544" s="11"/>
      <c r="K544" s="11"/>
      <c r="L544" s="11"/>
      <c r="M544" s="11"/>
      <c r="N544" s="11"/>
      <c r="O544" s="3"/>
    </row>
    <row r="545" spans="1:15" ht="37.5" customHeight="1" x14ac:dyDescent="0.25">
      <c r="A545" s="9" t="str">
        <f t="shared" si="1"/>
        <v/>
      </c>
      <c r="B545" s="2"/>
      <c r="C545" s="2"/>
      <c r="D545" s="2"/>
      <c r="E545" s="2"/>
      <c r="F545" s="2"/>
      <c r="G545" s="10"/>
      <c r="H545" s="11"/>
      <c r="I545" s="11"/>
      <c r="J545" s="11"/>
      <c r="K545" s="11"/>
      <c r="L545" s="11"/>
      <c r="M545" s="11"/>
      <c r="N545" s="11"/>
      <c r="O545" s="3"/>
    </row>
    <row r="546" spans="1:15" ht="37.5" customHeight="1" x14ac:dyDescent="0.25">
      <c r="A546" s="9" t="str">
        <f t="shared" si="1"/>
        <v/>
      </c>
      <c r="B546" s="2"/>
      <c r="C546" s="2"/>
      <c r="D546" s="2"/>
      <c r="E546" s="2"/>
      <c r="F546" s="2"/>
      <c r="G546" s="10"/>
      <c r="H546" s="11"/>
      <c r="I546" s="11"/>
      <c r="J546" s="11"/>
      <c r="K546" s="11"/>
      <c r="L546" s="11"/>
      <c r="M546" s="11"/>
      <c r="N546" s="11"/>
      <c r="O546" s="3"/>
    </row>
    <row r="547" spans="1:15" ht="37.5" customHeight="1" x14ac:dyDescent="0.25">
      <c r="A547" s="9" t="str">
        <f t="shared" si="1"/>
        <v/>
      </c>
      <c r="B547" s="2"/>
      <c r="C547" s="2"/>
      <c r="D547" s="2"/>
      <c r="E547" s="2"/>
      <c r="F547" s="2"/>
      <c r="G547" s="10"/>
      <c r="H547" s="11"/>
      <c r="I547" s="11"/>
      <c r="J547" s="11"/>
      <c r="K547" s="11"/>
      <c r="L547" s="11"/>
      <c r="M547" s="11"/>
      <c r="N547" s="11"/>
      <c r="O547" s="3"/>
    </row>
    <row r="548" spans="1:15" ht="37.5" customHeight="1" x14ac:dyDescent="0.25">
      <c r="A548" s="9" t="str">
        <f t="shared" si="1"/>
        <v/>
      </c>
      <c r="B548" s="2"/>
      <c r="C548" s="2"/>
      <c r="D548" s="2"/>
      <c r="E548" s="2"/>
      <c r="F548" s="2"/>
      <c r="G548" s="10"/>
      <c r="H548" s="11"/>
      <c r="I548" s="11"/>
      <c r="J548" s="11"/>
      <c r="K548" s="11"/>
      <c r="L548" s="11"/>
      <c r="M548" s="11"/>
      <c r="N548" s="11"/>
      <c r="O548" s="3"/>
    </row>
    <row r="549" spans="1:15" ht="37.5" customHeight="1" x14ac:dyDescent="0.25">
      <c r="A549" s="9" t="str">
        <f t="shared" si="1"/>
        <v/>
      </c>
      <c r="B549" s="2"/>
      <c r="C549" s="2"/>
      <c r="D549" s="2"/>
      <c r="E549" s="2"/>
      <c r="F549" s="2"/>
      <c r="G549" s="10"/>
      <c r="H549" s="11"/>
      <c r="I549" s="11"/>
      <c r="J549" s="11"/>
      <c r="K549" s="11"/>
      <c r="L549" s="11"/>
      <c r="M549" s="11"/>
      <c r="N549" s="11"/>
      <c r="O549" s="3"/>
    </row>
    <row r="550" spans="1:15" ht="37.5" customHeight="1" x14ac:dyDescent="0.25">
      <c r="A550" s="9" t="str">
        <f t="shared" si="1"/>
        <v/>
      </c>
      <c r="B550" s="2"/>
      <c r="C550" s="2"/>
      <c r="D550" s="2"/>
      <c r="E550" s="2"/>
      <c r="F550" s="2"/>
      <c r="G550" s="10"/>
      <c r="H550" s="11"/>
      <c r="I550" s="11"/>
      <c r="J550" s="11"/>
      <c r="K550" s="11"/>
      <c r="L550" s="11"/>
      <c r="M550" s="11"/>
      <c r="N550" s="11"/>
      <c r="O550" s="3"/>
    </row>
    <row r="551" spans="1:15" ht="37.5" customHeight="1" x14ac:dyDescent="0.25">
      <c r="A551" s="9" t="str">
        <f t="shared" si="1"/>
        <v/>
      </c>
      <c r="B551" s="2"/>
      <c r="C551" s="2"/>
      <c r="D551" s="2"/>
      <c r="E551" s="2"/>
      <c r="F551" s="2"/>
      <c r="G551" s="10"/>
      <c r="H551" s="11"/>
      <c r="I551" s="11"/>
      <c r="J551" s="11"/>
      <c r="K551" s="11"/>
      <c r="L551" s="11"/>
      <c r="M551" s="11"/>
      <c r="N551" s="11"/>
      <c r="O551" s="3"/>
    </row>
    <row r="552" spans="1:15" ht="37.5" customHeight="1" x14ac:dyDescent="0.25">
      <c r="A552" s="9" t="str">
        <f t="shared" si="1"/>
        <v/>
      </c>
      <c r="B552" s="2"/>
      <c r="C552" s="2"/>
      <c r="D552" s="2"/>
      <c r="E552" s="2"/>
      <c r="F552" s="2"/>
      <c r="G552" s="10"/>
      <c r="H552" s="11"/>
      <c r="I552" s="11"/>
      <c r="J552" s="11"/>
      <c r="K552" s="11"/>
      <c r="L552" s="11"/>
      <c r="M552" s="11"/>
      <c r="N552" s="11"/>
      <c r="O552" s="3"/>
    </row>
    <row r="553" spans="1:15" ht="37.5" customHeight="1" x14ac:dyDescent="0.25">
      <c r="A553" s="9" t="str">
        <f t="shared" si="1"/>
        <v/>
      </c>
      <c r="B553" s="2"/>
      <c r="C553" s="2"/>
      <c r="D553" s="2"/>
      <c r="E553" s="2"/>
      <c r="F553" s="2"/>
      <c r="G553" s="10"/>
      <c r="H553" s="11"/>
      <c r="I553" s="11"/>
      <c r="J553" s="11"/>
      <c r="K553" s="11"/>
      <c r="L553" s="11"/>
      <c r="M553" s="11"/>
      <c r="N553" s="11"/>
      <c r="O553" s="3"/>
    </row>
    <row r="554" spans="1:15" ht="37.5" customHeight="1" x14ac:dyDescent="0.25">
      <c r="A554" s="9" t="str">
        <f t="shared" si="1"/>
        <v/>
      </c>
      <c r="B554" s="2"/>
      <c r="C554" s="2"/>
      <c r="D554" s="2"/>
      <c r="E554" s="2"/>
      <c r="F554" s="2"/>
      <c r="G554" s="10"/>
      <c r="H554" s="11"/>
      <c r="I554" s="11"/>
      <c r="J554" s="11"/>
      <c r="K554" s="11"/>
      <c r="L554" s="11"/>
      <c r="M554" s="11"/>
      <c r="N554" s="11"/>
      <c r="O554" s="3"/>
    </row>
    <row r="555" spans="1:15" ht="37.5" customHeight="1" x14ac:dyDescent="0.25">
      <c r="A555" s="9" t="str">
        <f t="shared" si="1"/>
        <v/>
      </c>
      <c r="B555" s="2"/>
      <c r="C555" s="2"/>
      <c r="D555" s="2"/>
      <c r="E555" s="2"/>
      <c r="F555" s="2"/>
      <c r="G555" s="10"/>
      <c r="H555" s="11"/>
      <c r="I555" s="11"/>
      <c r="J555" s="11"/>
      <c r="K555" s="11"/>
      <c r="L555" s="11"/>
      <c r="M555" s="11"/>
      <c r="N555" s="11"/>
      <c r="O555" s="3"/>
    </row>
    <row r="556" spans="1:15" ht="37.5" customHeight="1" x14ac:dyDescent="0.25">
      <c r="A556" s="9" t="str">
        <f t="shared" si="1"/>
        <v/>
      </c>
      <c r="B556" s="2"/>
      <c r="C556" s="2"/>
      <c r="D556" s="2"/>
      <c r="E556" s="2"/>
      <c r="F556" s="2"/>
      <c r="G556" s="10"/>
      <c r="H556" s="11"/>
      <c r="I556" s="11"/>
      <c r="J556" s="11"/>
      <c r="K556" s="11"/>
      <c r="L556" s="11"/>
      <c r="M556" s="11"/>
      <c r="N556" s="11"/>
      <c r="O556" s="3"/>
    </row>
    <row r="557" spans="1:15" ht="37.5" customHeight="1" x14ac:dyDescent="0.25">
      <c r="A557" s="9" t="str">
        <f t="shared" si="1"/>
        <v/>
      </c>
      <c r="B557" s="2"/>
      <c r="C557" s="2"/>
      <c r="D557" s="2"/>
      <c r="E557" s="2"/>
      <c r="F557" s="2"/>
      <c r="G557" s="10"/>
      <c r="H557" s="11"/>
      <c r="I557" s="11"/>
      <c r="J557" s="11"/>
      <c r="K557" s="11"/>
      <c r="L557" s="11"/>
      <c r="M557" s="11"/>
      <c r="N557" s="11"/>
      <c r="O557" s="3"/>
    </row>
    <row r="558" spans="1:15" ht="37.5" customHeight="1" x14ac:dyDescent="0.25">
      <c r="A558" s="9" t="str">
        <f t="shared" si="1"/>
        <v/>
      </c>
      <c r="B558" s="2"/>
      <c r="C558" s="2"/>
      <c r="D558" s="2"/>
      <c r="E558" s="2"/>
      <c r="F558" s="2"/>
      <c r="G558" s="10"/>
      <c r="H558" s="11"/>
      <c r="I558" s="11"/>
      <c r="J558" s="11"/>
      <c r="K558" s="11"/>
      <c r="L558" s="11"/>
      <c r="M558" s="11"/>
      <c r="N558" s="11"/>
      <c r="O558" s="3"/>
    </row>
    <row r="559" spans="1:15" ht="37.5" customHeight="1" x14ac:dyDescent="0.25">
      <c r="A559" s="9" t="str">
        <f t="shared" si="1"/>
        <v/>
      </c>
      <c r="B559" s="2"/>
      <c r="C559" s="2"/>
      <c r="D559" s="2"/>
      <c r="E559" s="2"/>
      <c r="F559" s="2"/>
      <c r="G559" s="10"/>
      <c r="H559" s="11"/>
      <c r="I559" s="11"/>
      <c r="J559" s="11"/>
      <c r="K559" s="11"/>
      <c r="L559" s="11"/>
      <c r="M559" s="11"/>
      <c r="N559" s="11"/>
      <c r="O559" s="3"/>
    </row>
    <row r="560" spans="1:15" ht="37.5" customHeight="1" x14ac:dyDescent="0.25">
      <c r="A560" s="9" t="str">
        <f t="shared" si="1"/>
        <v/>
      </c>
      <c r="B560" s="2"/>
      <c r="C560" s="2"/>
      <c r="D560" s="2"/>
      <c r="E560" s="2"/>
      <c r="F560" s="2"/>
      <c r="G560" s="10"/>
      <c r="H560" s="11"/>
      <c r="I560" s="11"/>
      <c r="J560" s="11"/>
      <c r="K560" s="11"/>
      <c r="L560" s="11"/>
      <c r="M560" s="11"/>
      <c r="N560" s="11"/>
      <c r="O560" s="3"/>
    </row>
    <row r="561" spans="1:15" ht="37.5" customHeight="1" x14ac:dyDescent="0.25">
      <c r="A561" s="9" t="str">
        <f t="shared" si="1"/>
        <v/>
      </c>
      <c r="B561" s="2"/>
      <c r="C561" s="2"/>
      <c r="D561" s="2"/>
      <c r="E561" s="2"/>
      <c r="F561" s="2"/>
      <c r="G561" s="10"/>
      <c r="H561" s="11"/>
      <c r="I561" s="11"/>
      <c r="J561" s="11"/>
      <c r="K561" s="11"/>
      <c r="L561" s="11"/>
      <c r="M561" s="11"/>
      <c r="N561" s="11"/>
      <c r="O561" s="3"/>
    </row>
    <row r="562" spans="1:15" ht="37.5" customHeight="1" x14ac:dyDescent="0.25">
      <c r="A562" s="9" t="str">
        <f t="shared" si="1"/>
        <v/>
      </c>
      <c r="B562" s="2"/>
      <c r="C562" s="2"/>
      <c r="D562" s="2"/>
      <c r="E562" s="2"/>
      <c r="F562" s="2"/>
      <c r="G562" s="10"/>
      <c r="H562" s="11"/>
      <c r="I562" s="11"/>
      <c r="J562" s="11"/>
      <c r="K562" s="11"/>
      <c r="L562" s="11"/>
      <c r="M562" s="11"/>
      <c r="N562" s="11"/>
      <c r="O562" s="3"/>
    </row>
    <row r="563" spans="1:15" ht="37.5" customHeight="1" x14ac:dyDescent="0.25">
      <c r="A563" s="9" t="str">
        <f t="shared" si="1"/>
        <v/>
      </c>
      <c r="B563" s="2"/>
      <c r="C563" s="2"/>
      <c r="D563" s="2"/>
      <c r="E563" s="2"/>
      <c r="F563" s="2"/>
      <c r="G563" s="10"/>
      <c r="H563" s="11"/>
      <c r="I563" s="11"/>
      <c r="J563" s="11"/>
      <c r="K563" s="11"/>
      <c r="L563" s="11"/>
      <c r="M563" s="11"/>
      <c r="N563" s="11"/>
      <c r="O563" s="3"/>
    </row>
    <row r="564" spans="1:15" ht="37.5" customHeight="1" x14ac:dyDescent="0.25">
      <c r="A564" s="9" t="str">
        <f t="shared" si="1"/>
        <v/>
      </c>
      <c r="B564" s="2"/>
      <c r="C564" s="2"/>
      <c r="D564" s="2"/>
      <c r="E564" s="2"/>
      <c r="F564" s="2"/>
      <c r="G564" s="10"/>
      <c r="H564" s="11"/>
      <c r="I564" s="11"/>
      <c r="J564" s="11"/>
      <c r="K564" s="11"/>
      <c r="L564" s="11"/>
      <c r="M564" s="11"/>
      <c r="N564" s="11"/>
      <c r="O564" s="3"/>
    </row>
    <row r="565" spans="1:15" ht="37.5" customHeight="1" x14ac:dyDescent="0.25">
      <c r="A565" s="9" t="str">
        <f t="shared" si="1"/>
        <v/>
      </c>
      <c r="B565" s="2"/>
      <c r="C565" s="2"/>
      <c r="D565" s="2"/>
      <c r="E565" s="2"/>
      <c r="F565" s="2"/>
      <c r="G565" s="10"/>
      <c r="H565" s="11"/>
      <c r="I565" s="11"/>
      <c r="J565" s="11"/>
      <c r="K565" s="11"/>
      <c r="L565" s="11"/>
      <c r="M565" s="11"/>
      <c r="N565" s="11"/>
      <c r="O565" s="3"/>
    </row>
    <row r="566" spans="1:15" ht="37.5" customHeight="1" x14ac:dyDescent="0.25">
      <c r="A566" s="9" t="str">
        <f t="shared" si="1"/>
        <v/>
      </c>
      <c r="B566" s="2"/>
      <c r="C566" s="2"/>
      <c r="D566" s="2"/>
      <c r="E566" s="2"/>
      <c r="F566" s="2"/>
      <c r="G566" s="10"/>
      <c r="H566" s="11"/>
      <c r="I566" s="11"/>
      <c r="J566" s="11"/>
      <c r="K566" s="11"/>
      <c r="L566" s="11"/>
      <c r="M566" s="11"/>
      <c r="N566" s="11"/>
      <c r="O566" s="3"/>
    </row>
    <row r="567" spans="1:15" ht="37.5" customHeight="1" x14ac:dyDescent="0.25">
      <c r="A567" s="9" t="str">
        <f t="shared" si="1"/>
        <v/>
      </c>
      <c r="B567" s="2"/>
      <c r="C567" s="2"/>
      <c r="D567" s="2"/>
      <c r="E567" s="2"/>
      <c r="F567" s="2"/>
      <c r="G567" s="10"/>
      <c r="H567" s="11"/>
      <c r="I567" s="11"/>
      <c r="J567" s="11"/>
      <c r="K567" s="11"/>
      <c r="L567" s="11"/>
      <c r="M567" s="11"/>
      <c r="N567" s="11"/>
      <c r="O567" s="3"/>
    </row>
    <row r="568" spans="1:15" ht="37.5" customHeight="1" x14ac:dyDescent="0.25">
      <c r="A568" s="9" t="str">
        <f t="shared" si="1"/>
        <v/>
      </c>
      <c r="B568" s="2"/>
      <c r="C568" s="2"/>
      <c r="D568" s="2"/>
      <c r="E568" s="2"/>
      <c r="F568" s="2"/>
      <c r="G568" s="10"/>
      <c r="H568" s="11"/>
      <c r="I568" s="11"/>
      <c r="J568" s="11"/>
      <c r="K568" s="11"/>
      <c r="L568" s="11"/>
      <c r="M568" s="11"/>
      <c r="N568" s="11"/>
      <c r="O568" s="3"/>
    </row>
    <row r="569" spans="1:15" ht="37.5" customHeight="1" x14ac:dyDescent="0.25">
      <c r="A569" s="9" t="str">
        <f t="shared" si="1"/>
        <v/>
      </c>
      <c r="B569" s="2"/>
      <c r="C569" s="2"/>
      <c r="D569" s="2"/>
      <c r="E569" s="2"/>
      <c r="F569" s="2"/>
      <c r="G569" s="10"/>
      <c r="H569" s="11"/>
      <c r="I569" s="11"/>
      <c r="J569" s="11"/>
      <c r="K569" s="11"/>
      <c r="L569" s="11"/>
      <c r="M569" s="11"/>
      <c r="N569" s="11"/>
      <c r="O569" s="3"/>
    </row>
    <row r="570" spans="1:15" ht="37.5" customHeight="1" x14ac:dyDescent="0.25">
      <c r="A570" s="9" t="str">
        <f t="shared" si="1"/>
        <v/>
      </c>
      <c r="B570" s="2"/>
      <c r="C570" s="2"/>
      <c r="D570" s="2"/>
      <c r="E570" s="2"/>
      <c r="F570" s="2"/>
      <c r="G570" s="10"/>
      <c r="H570" s="11"/>
      <c r="I570" s="11"/>
      <c r="J570" s="11"/>
      <c r="K570" s="11"/>
      <c r="L570" s="11"/>
      <c r="M570" s="11"/>
      <c r="N570" s="11"/>
      <c r="O570" s="3"/>
    </row>
    <row r="571" spans="1:15" ht="37.5" customHeight="1" x14ac:dyDescent="0.25">
      <c r="A571" s="9" t="str">
        <f t="shared" si="1"/>
        <v/>
      </c>
      <c r="B571" s="2"/>
      <c r="C571" s="2"/>
      <c r="D571" s="2"/>
      <c r="E571" s="2"/>
      <c r="F571" s="2"/>
      <c r="G571" s="10"/>
      <c r="H571" s="11"/>
      <c r="I571" s="11"/>
      <c r="J571" s="11"/>
      <c r="K571" s="11"/>
      <c r="L571" s="11"/>
      <c r="M571" s="11"/>
      <c r="N571" s="11"/>
      <c r="O571" s="3"/>
    </row>
    <row r="572" spans="1:15" ht="37.5" customHeight="1" x14ac:dyDescent="0.25">
      <c r="A572" s="9" t="str">
        <f t="shared" si="1"/>
        <v/>
      </c>
      <c r="B572" s="2"/>
      <c r="C572" s="2"/>
      <c r="D572" s="2"/>
      <c r="E572" s="2"/>
      <c r="F572" s="2"/>
      <c r="G572" s="10"/>
      <c r="H572" s="11"/>
      <c r="I572" s="11"/>
      <c r="J572" s="11"/>
      <c r="K572" s="11"/>
      <c r="L572" s="11"/>
      <c r="M572" s="11"/>
      <c r="N572" s="11"/>
      <c r="O572" s="3"/>
    </row>
    <row r="573" spans="1:15" ht="37.5" customHeight="1" x14ac:dyDescent="0.25">
      <c r="A573" s="9" t="str">
        <f t="shared" si="1"/>
        <v/>
      </c>
      <c r="B573" s="2"/>
      <c r="C573" s="2"/>
      <c r="D573" s="2"/>
      <c r="E573" s="2"/>
      <c r="F573" s="2"/>
      <c r="G573" s="10"/>
      <c r="H573" s="11"/>
      <c r="I573" s="11"/>
      <c r="J573" s="11"/>
      <c r="K573" s="11"/>
      <c r="L573" s="11"/>
      <c r="M573" s="11"/>
      <c r="N573" s="11"/>
      <c r="O573" s="3"/>
    </row>
    <row r="574" spans="1:15" ht="37.5" customHeight="1" x14ac:dyDescent="0.25">
      <c r="A574" s="9" t="str">
        <f t="shared" si="1"/>
        <v/>
      </c>
      <c r="B574" s="2"/>
      <c r="C574" s="2"/>
      <c r="D574" s="2"/>
      <c r="E574" s="2"/>
      <c r="F574" s="2"/>
      <c r="G574" s="10"/>
      <c r="H574" s="11"/>
      <c r="I574" s="11"/>
      <c r="J574" s="11"/>
      <c r="K574" s="11"/>
      <c r="L574" s="11"/>
      <c r="M574" s="11"/>
      <c r="N574" s="11"/>
      <c r="O574" s="3"/>
    </row>
    <row r="575" spans="1:15" ht="37.5" customHeight="1" x14ac:dyDescent="0.25">
      <c r="A575" s="9" t="str">
        <f t="shared" si="1"/>
        <v/>
      </c>
      <c r="B575" s="2"/>
      <c r="C575" s="2"/>
      <c r="D575" s="2"/>
      <c r="E575" s="2"/>
      <c r="F575" s="2"/>
      <c r="G575" s="10"/>
      <c r="H575" s="11"/>
      <c r="I575" s="11"/>
      <c r="J575" s="11"/>
      <c r="K575" s="11"/>
      <c r="L575" s="11"/>
      <c r="M575" s="11"/>
      <c r="N575" s="11"/>
      <c r="O575" s="3"/>
    </row>
    <row r="576" spans="1:15" ht="37.5" customHeight="1" x14ac:dyDescent="0.25">
      <c r="A576" s="9" t="str">
        <f t="shared" si="1"/>
        <v/>
      </c>
      <c r="B576" s="2"/>
      <c r="C576" s="2"/>
      <c r="D576" s="2"/>
      <c r="E576" s="2"/>
      <c r="F576" s="2"/>
      <c r="G576" s="10"/>
      <c r="H576" s="11"/>
      <c r="I576" s="11"/>
      <c r="J576" s="11"/>
      <c r="K576" s="11"/>
      <c r="L576" s="11"/>
      <c r="M576" s="11"/>
      <c r="N576" s="11"/>
      <c r="O576" s="3"/>
    </row>
    <row r="577" spans="1:15" ht="37.5" customHeight="1" x14ac:dyDescent="0.25">
      <c r="A577" s="9" t="str">
        <f t="shared" si="1"/>
        <v/>
      </c>
      <c r="B577" s="2"/>
      <c r="C577" s="2"/>
      <c r="D577" s="2"/>
      <c r="E577" s="2"/>
      <c r="F577" s="2"/>
      <c r="G577" s="10"/>
      <c r="H577" s="11"/>
      <c r="I577" s="11"/>
      <c r="J577" s="11"/>
      <c r="K577" s="11"/>
      <c r="L577" s="11"/>
      <c r="M577" s="11"/>
      <c r="N577" s="11"/>
      <c r="O577" s="3"/>
    </row>
    <row r="578" spans="1:15" ht="37.5" customHeight="1" x14ac:dyDescent="0.25">
      <c r="A578" s="9" t="str">
        <f t="shared" si="1"/>
        <v/>
      </c>
      <c r="B578" s="2"/>
      <c r="C578" s="2"/>
      <c r="D578" s="2"/>
      <c r="E578" s="2"/>
      <c r="F578" s="2"/>
      <c r="G578" s="10"/>
      <c r="H578" s="11"/>
      <c r="I578" s="11"/>
      <c r="J578" s="11"/>
      <c r="K578" s="11"/>
      <c r="L578" s="11"/>
      <c r="M578" s="11"/>
      <c r="N578" s="11"/>
      <c r="O578" s="3"/>
    </row>
    <row r="579" spans="1:15" ht="37.5" customHeight="1" x14ac:dyDescent="0.25">
      <c r="A579" s="9" t="str">
        <f t="shared" si="1"/>
        <v/>
      </c>
      <c r="B579" s="2"/>
      <c r="C579" s="2"/>
      <c r="D579" s="2"/>
      <c r="E579" s="2"/>
      <c r="F579" s="2"/>
      <c r="G579" s="10"/>
      <c r="H579" s="11"/>
      <c r="I579" s="11"/>
      <c r="J579" s="11"/>
      <c r="K579" s="11"/>
      <c r="L579" s="11"/>
      <c r="M579" s="11"/>
      <c r="N579" s="11"/>
      <c r="O579" s="3"/>
    </row>
    <row r="580" spans="1:15" ht="37.5" customHeight="1" x14ac:dyDescent="0.25">
      <c r="A580" s="9" t="str">
        <f t="shared" si="1"/>
        <v/>
      </c>
      <c r="B580" s="2"/>
      <c r="C580" s="2"/>
      <c r="D580" s="2"/>
      <c r="E580" s="2"/>
      <c r="F580" s="2"/>
      <c r="G580" s="10"/>
      <c r="H580" s="11"/>
      <c r="I580" s="11"/>
      <c r="J580" s="11"/>
      <c r="K580" s="11"/>
      <c r="L580" s="11"/>
      <c r="M580" s="11"/>
      <c r="N580" s="11"/>
      <c r="O580" s="3"/>
    </row>
    <row r="581" spans="1:15" ht="37.5" customHeight="1" x14ac:dyDescent="0.25">
      <c r="A581" s="9" t="str">
        <f t="shared" si="1"/>
        <v/>
      </c>
      <c r="B581" s="2"/>
      <c r="C581" s="2"/>
      <c r="D581" s="2"/>
      <c r="E581" s="2"/>
      <c r="F581" s="2"/>
      <c r="G581" s="10"/>
      <c r="H581" s="11"/>
      <c r="I581" s="11"/>
      <c r="J581" s="11"/>
      <c r="K581" s="11"/>
      <c r="L581" s="11"/>
      <c r="M581" s="11"/>
      <c r="N581" s="11"/>
      <c r="O581" s="3"/>
    </row>
    <row r="582" spans="1:15" ht="37.5" customHeight="1" x14ac:dyDescent="0.25">
      <c r="A582" s="9" t="str">
        <f t="shared" si="1"/>
        <v/>
      </c>
      <c r="B582" s="2"/>
      <c r="C582" s="2"/>
      <c r="D582" s="2"/>
      <c r="E582" s="2"/>
      <c r="F582" s="2"/>
      <c r="G582" s="10"/>
      <c r="H582" s="11"/>
      <c r="I582" s="11"/>
      <c r="J582" s="11"/>
      <c r="K582" s="11"/>
      <c r="L582" s="11"/>
      <c r="M582" s="11"/>
      <c r="N582" s="11"/>
      <c r="O582" s="3"/>
    </row>
    <row r="583" spans="1:15" ht="37.5" customHeight="1" x14ac:dyDescent="0.25">
      <c r="A583" s="9" t="str">
        <f t="shared" si="1"/>
        <v/>
      </c>
      <c r="B583" s="2"/>
      <c r="C583" s="2"/>
      <c r="D583" s="2"/>
      <c r="E583" s="2"/>
      <c r="F583" s="2"/>
      <c r="G583" s="10"/>
      <c r="H583" s="11"/>
      <c r="I583" s="11"/>
      <c r="J583" s="11"/>
      <c r="K583" s="11"/>
      <c r="L583" s="11"/>
      <c r="M583" s="11"/>
      <c r="N583" s="11"/>
      <c r="O583" s="3"/>
    </row>
    <row r="584" spans="1:15" ht="37.5" customHeight="1" x14ac:dyDescent="0.25">
      <c r="A584" s="9" t="str">
        <f t="shared" si="1"/>
        <v/>
      </c>
      <c r="B584" s="2"/>
      <c r="C584" s="2"/>
      <c r="D584" s="2"/>
      <c r="E584" s="2"/>
      <c r="F584" s="2"/>
      <c r="G584" s="10"/>
      <c r="H584" s="11"/>
      <c r="I584" s="11"/>
      <c r="J584" s="11"/>
      <c r="K584" s="11"/>
      <c r="L584" s="11"/>
      <c r="M584" s="11"/>
      <c r="N584" s="11"/>
      <c r="O584" s="3"/>
    </row>
    <row r="585" spans="1:15" ht="37.5" customHeight="1" x14ac:dyDescent="0.25">
      <c r="A585" s="9" t="str">
        <f t="shared" si="1"/>
        <v/>
      </c>
      <c r="B585" s="2"/>
      <c r="C585" s="2"/>
      <c r="D585" s="2"/>
      <c r="E585" s="2"/>
      <c r="F585" s="2"/>
      <c r="G585" s="10"/>
      <c r="H585" s="11"/>
      <c r="I585" s="11"/>
      <c r="J585" s="11"/>
      <c r="K585" s="11"/>
      <c r="L585" s="11"/>
      <c r="M585" s="11"/>
      <c r="N585" s="11"/>
      <c r="O585" s="3"/>
    </row>
    <row r="586" spans="1:15" ht="37.5" customHeight="1" x14ac:dyDescent="0.25">
      <c r="A586" s="9" t="str">
        <f t="shared" si="1"/>
        <v/>
      </c>
      <c r="B586" s="2"/>
      <c r="C586" s="2"/>
      <c r="D586" s="2"/>
      <c r="E586" s="2"/>
      <c r="F586" s="2"/>
      <c r="G586" s="10"/>
      <c r="H586" s="11"/>
      <c r="I586" s="11"/>
      <c r="J586" s="11"/>
      <c r="K586" s="11"/>
      <c r="L586" s="11"/>
      <c r="M586" s="11"/>
      <c r="N586" s="11"/>
      <c r="O586" s="3"/>
    </row>
    <row r="587" spans="1:15" ht="37.5" customHeight="1" x14ac:dyDescent="0.25">
      <c r="A587" s="9" t="str">
        <f t="shared" si="1"/>
        <v/>
      </c>
      <c r="B587" s="2"/>
      <c r="C587" s="2"/>
      <c r="D587" s="2"/>
      <c r="E587" s="2"/>
      <c r="F587" s="2"/>
      <c r="G587" s="10"/>
      <c r="H587" s="11"/>
      <c r="I587" s="11"/>
      <c r="J587" s="11"/>
      <c r="K587" s="11"/>
      <c r="L587" s="11"/>
      <c r="M587" s="11"/>
      <c r="N587" s="11"/>
      <c r="O587" s="3"/>
    </row>
    <row r="588" spans="1:15" ht="37.5" customHeight="1" x14ac:dyDescent="0.25">
      <c r="A588" s="9" t="str">
        <f t="shared" si="1"/>
        <v/>
      </c>
      <c r="B588" s="2"/>
      <c r="C588" s="2"/>
      <c r="D588" s="2"/>
      <c r="E588" s="2"/>
      <c r="F588" s="2"/>
      <c r="G588" s="10"/>
      <c r="H588" s="11"/>
      <c r="I588" s="11"/>
      <c r="J588" s="11"/>
      <c r="K588" s="11"/>
      <c r="L588" s="11"/>
      <c r="M588" s="11"/>
      <c r="N588" s="11"/>
      <c r="O588" s="3"/>
    </row>
    <row r="589" spans="1:15" ht="37.5" customHeight="1" x14ac:dyDescent="0.25">
      <c r="A589" s="9" t="str">
        <f t="shared" si="1"/>
        <v/>
      </c>
      <c r="B589" s="2"/>
      <c r="C589" s="2"/>
      <c r="D589" s="2"/>
      <c r="E589" s="2"/>
      <c r="F589" s="2"/>
      <c r="G589" s="10"/>
      <c r="H589" s="11"/>
      <c r="I589" s="11"/>
      <c r="J589" s="11"/>
      <c r="K589" s="11"/>
      <c r="L589" s="11"/>
      <c r="M589" s="11"/>
      <c r="N589" s="11"/>
      <c r="O589" s="3"/>
    </row>
    <row r="590" spans="1:15" ht="37.5" customHeight="1" x14ac:dyDescent="0.25">
      <c r="A590" s="9" t="str">
        <f t="shared" si="1"/>
        <v/>
      </c>
      <c r="B590" s="2"/>
      <c r="C590" s="2"/>
      <c r="D590" s="2"/>
      <c r="E590" s="2"/>
      <c r="F590" s="2"/>
      <c r="G590" s="10"/>
      <c r="H590" s="11"/>
      <c r="I590" s="11"/>
      <c r="J590" s="11"/>
      <c r="K590" s="11"/>
      <c r="L590" s="11"/>
      <c r="M590" s="11"/>
      <c r="N590" s="11"/>
      <c r="O590" s="3"/>
    </row>
    <row r="591" spans="1:15" ht="37.5" customHeight="1" x14ac:dyDescent="0.25">
      <c r="A591" s="9" t="str">
        <f t="shared" si="1"/>
        <v/>
      </c>
      <c r="B591" s="2"/>
      <c r="C591" s="2"/>
      <c r="D591" s="2"/>
      <c r="E591" s="2"/>
      <c r="F591" s="2"/>
      <c r="G591" s="10"/>
      <c r="H591" s="11"/>
      <c r="I591" s="11"/>
      <c r="J591" s="11"/>
      <c r="K591" s="11"/>
      <c r="L591" s="11"/>
      <c r="M591" s="11"/>
      <c r="N591" s="11"/>
      <c r="O591" s="3"/>
    </row>
    <row r="592" spans="1:15" ht="37.5" customHeight="1" x14ac:dyDescent="0.25">
      <c r="A592" s="9" t="str">
        <f t="shared" si="1"/>
        <v/>
      </c>
      <c r="B592" s="2"/>
      <c r="C592" s="2"/>
      <c r="D592" s="2"/>
      <c r="E592" s="2"/>
      <c r="F592" s="2"/>
      <c r="G592" s="10"/>
      <c r="H592" s="11"/>
      <c r="I592" s="11"/>
      <c r="J592" s="11"/>
      <c r="K592" s="11"/>
      <c r="L592" s="11"/>
      <c r="M592" s="11"/>
      <c r="N592" s="11"/>
      <c r="O592" s="3"/>
    </row>
    <row r="593" spans="1:15" ht="37.5" customHeight="1" x14ac:dyDescent="0.25">
      <c r="A593" s="9" t="str">
        <f t="shared" si="1"/>
        <v/>
      </c>
      <c r="B593" s="2"/>
      <c r="C593" s="2"/>
      <c r="D593" s="2"/>
      <c r="E593" s="2"/>
      <c r="F593" s="2"/>
      <c r="G593" s="10"/>
      <c r="H593" s="11"/>
      <c r="I593" s="11"/>
      <c r="J593" s="11"/>
      <c r="K593" s="11"/>
      <c r="L593" s="11"/>
      <c r="M593" s="11"/>
      <c r="N593" s="11"/>
      <c r="O593" s="3"/>
    </row>
    <row r="594" spans="1:15" ht="37.5" customHeight="1" x14ac:dyDescent="0.25">
      <c r="A594" s="9" t="str">
        <f t="shared" si="1"/>
        <v/>
      </c>
      <c r="B594" s="2"/>
      <c r="C594" s="2"/>
      <c r="D594" s="2"/>
      <c r="E594" s="2"/>
      <c r="F594" s="2"/>
      <c r="G594" s="10"/>
      <c r="H594" s="11"/>
      <c r="I594" s="11"/>
      <c r="J594" s="11"/>
      <c r="K594" s="11"/>
      <c r="L594" s="11"/>
      <c r="M594" s="11"/>
      <c r="N594" s="11"/>
      <c r="O594" s="3"/>
    </row>
    <row r="595" spans="1:15" ht="37.5" customHeight="1" x14ac:dyDescent="0.25">
      <c r="A595" s="9" t="str">
        <f t="shared" si="1"/>
        <v/>
      </c>
      <c r="B595" s="2"/>
      <c r="C595" s="2"/>
      <c r="D595" s="2"/>
      <c r="E595" s="2"/>
      <c r="F595" s="2"/>
      <c r="G595" s="10"/>
      <c r="H595" s="11"/>
      <c r="I595" s="11"/>
      <c r="J595" s="11"/>
      <c r="K595" s="11"/>
      <c r="L595" s="11"/>
      <c r="M595" s="11"/>
      <c r="N595" s="11"/>
      <c r="O595" s="3"/>
    </row>
    <row r="596" spans="1:15" ht="37.5" customHeight="1" x14ac:dyDescent="0.25">
      <c r="A596" s="9" t="str">
        <f t="shared" si="1"/>
        <v/>
      </c>
      <c r="B596" s="2"/>
      <c r="C596" s="2"/>
      <c r="D596" s="2"/>
      <c r="E596" s="2"/>
      <c r="F596" s="2"/>
      <c r="G596" s="10"/>
      <c r="H596" s="11"/>
      <c r="I596" s="11"/>
      <c r="J596" s="11"/>
      <c r="K596" s="11"/>
      <c r="L596" s="11"/>
      <c r="M596" s="11"/>
      <c r="N596" s="11"/>
      <c r="O596" s="3"/>
    </row>
    <row r="597" spans="1:15" ht="37.5" customHeight="1" x14ac:dyDescent="0.25">
      <c r="A597" s="9" t="str">
        <f t="shared" si="1"/>
        <v/>
      </c>
      <c r="B597" s="2"/>
      <c r="C597" s="2"/>
      <c r="D597" s="2"/>
      <c r="E597" s="2"/>
      <c r="F597" s="2"/>
      <c r="G597" s="10"/>
      <c r="H597" s="11"/>
      <c r="I597" s="11"/>
      <c r="J597" s="11"/>
      <c r="K597" s="11"/>
      <c r="L597" s="11"/>
      <c r="M597" s="11"/>
      <c r="N597" s="11"/>
      <c r="O597" s="3"/>
    </row>
    <row r="598" spans="1:15" ht="37.5" customHeight="1" x14ac:dyDescent="0.25">
      <c r="A598" s="9" t="str">
        <f t="shared" si="1"/>
        <v/>
      </c>
      <c r="B598" s="2"/>
      <c r="C598" s="2"/>
      <c r="D598" s="2"/>
      <c r="E598" s="2"/>
      <c r="F598" s="2"/>
      <c r="G598" s="10"/>
      <c r="H598" s="11"/>
      <c r="I598" s="11"/>
      <c r="J598" s="11"/>
      <c r="K598" s="11"/>
      <c r="L598" s="11"/>
      <c r="M598" s="11"/>
      <c r="N598" s="11"/>
      <c r="O598" s="3"/>
    </row>
    <row r="599" spans="1:15" ht="37.5" customHeight="1" x14ac:dyDescent="0.25">
      <c r="A599" s="9" t="str">
        <f t="shared" si="1"/>
        <v/>
      </c>
      <c r="B599" s="2"/>
      <c r="C599" s="2"/>
      <c r="D599" s="2"/>
      <c r="E599" s="2"/>
      <c r="F599" s="2"/>
      <c r="G599" s="10"/>
      <c r="H599" s="11"/>
      <c r="I599" s="11"/>
      <c r="J599" s="11"/>
      <c r="K599" s="11"/>
      <c r="L599" s="11"/>
      <c r="M599" s="11"/>
      <c r="N599" s="11"/>
      <c r="O599" s="3"/>
    </row>
    <row r="600" spans="1:15" ht="37.5" customHeight="1" x14ac:dyDescent="0.25">
      <c r="A600" s="9" t="str">
        <f t="shared" si="1"/>
        <v/>
      </c>
      <c r="B600" s="2"/>
      <c r="C600" s="2"/>
      <c r="D600" s="2"/>
      <c r="E600" s="2"/>
      <c r="F600" s="2"/>
      <c r="G600" s="10"/>
      <c r="H600" s="11"/>
      <c r="I600" s="11"/>
      <c r="J600" s="11"/>
      <c r="K600" s="11"/>
      <c r="L600" s="11"/>
      <c r="M600" s="11"/>
      <c r="N600" s="11"/>
      <c r="O600" s="3"/>
    </row>
    <row r="601" spans="1:15" ht="37.5" customHeight="1" x14ac:dyDescent="0.25">
      <c r="A601" s="9" t="str">
        <f t="shared" si="1"/>
        <v/>
      </c>
      <c r="B601" s="2"/>
      <c r="C601" s="2"/>
      <c r="D601" s="2"/>
      <c r="E601" s="2"/>
      <c r="F601" s="2"/>
      <c r="G601" s="10"/>
      <c r="H601" s="11"/>
      <c r="I601" s="11"/>
      <c r="J601" s="11"/>
      <c r="K601" s="11"/>
      <c r="L601" s="11"/>
      <c r="M601" s="11"/>
      <c r="N601" s="11"/>
      <c r="O601" s="3"/>
    </row>
    <row r="602" spans="1:15" ht="37.5" customHeight="1" x14ac:dyDescent="0.25">
      <c r="A602" s="9" t="str">
        <f t="shared" si="1"/>
        <v/>
      </c>
      <c r="B602" s="2"/>
      <c r="C602" s="2"/>
      <c r="D602" s="2"/>
      <c r="E602" s="2"/>
      <c r="F602" s="2"/>
      <c r="G602" s="10"/>
      <c r="H602" s="11"/>
      <c r="I602" s="11"/>
      <c r="J602" s="11"/>
      <c r="K602" s="11"/>
      <c r="L602" s="11"/>
      <c r="M602" s="11"/>
      <c r="N602" s="11"/>
      <c r="O602" s="3"/>
    </row>
    <row r="603" spans="1:15" ht="37.5" customHeight="1" x14ac:dyDescent="0.25">
      <c r="A603" s="9" t="str">
        <f t="shared" si="1"/>
        <v/>
      </c>
      <c r="B603" s="2"/>
      <c r="C603" s="2"/>
      <c r="D603" s="2"/>
      <c r="E603" s="2"/>
      <c r="F603" s="2"/>
      <c r="G603" s="10"/>
      <c r="H603" s="11"/>
      <c r="I603" s="11"/>
      <c r="J603" s="11"/>
      <c r="K603" s="11"/>
      <c r="L603" s="11"/>
      <c r="M603" s="11"/>
      <c r="N603" s="11"/>
      <c r="O603" s="3"/>
    </row>
    <row r="604" spans="1:15" ht="37.5" customHeight="1" x14ac:dyDescent="0.25">
      <c r="A604" s="9" t="str">
        <f t="shared" si="1"/>
        <v/>
      </c>
      <c r="B604" s="2"/>
      <c r="C604" s="2"/>
      <c r="D604" s="2"/>
      <c r="E604" s="2"/>
      <c r="F604" s="2"/>
      <c r="G604" s="10"/>
      <c r="H604" s="11"/>
      <c r="I604" s="11"/>
      <c r="J604" s="11"/>
      <c r="K604" s="11"/>
      <c r="L604" s="11"/>
      <c r="M604" s="11"/>
      <c r="N604" s="11"/>
      <c r="O604" s="3"/>
    </row>
    <row r="605" spans="1:15" ht="37.5" customHeight="1" x14ac:dyDescent="0.25">
      <c r="A605" s="9" t="str">
        <f t="shared" si="1"/>
        <v/>
      </c>
      <c r="B605" s="2"/>
      <c r="C605" s="2"/>
      <c r="D605" s="2"/>
      <c r="E605" s="2"/>
      <c r="F605" s="2"/>
      <c r="G605" s="10"/>
      <c r="H605" s="11"/>
      <c r="I605" s="11"/>
      <c r="J605" s="11"/>
      <c r="K605" s="11"/>
      <c r="L605" s="11"/>
      <c r="M605" s="11"/>
      <c r="N605" s="11"/>
      <c r="O605" s="3"/>
    </row>
    <row r="606" spans="1:15" ht="37.5" customHeight="1" x14ac:dyDescent="0.25">
      <c r="A606" s="9" t="str">
        <f t="shared" si="1"/>
        <v/>
      </c>
      <c r="B606" s="2"/>
      <c r="C606" s="2"/>
      <c r="D606" s="2"/>
      <c r="E606" s="2"/>
      <c r="F606" s="2"/>
      <c r="G606" s="10"/>
      <c r="H606" s="11"/>
      <c r="I606" s="11"/>
      <c r="J606" s="11"/>
      <c r="K606" s="11"/>
      <c r="L606" s="11"/>
      <c r="M606" s="11"/>
      <c r="N606" s="11"/>
      <c r="O606" s="3"/>
    </row>
    <row r="607" spans="1:15" ht="37.5" customHeight="1" x14ac:dyDescent="0.25">
      <c r="A607" s="9" t="str">
        <f t="shared" si="1"/>
        <v/>
      </c>
      <c r="B607" s="2"/>
      <c r="C607" s="2"/>
      <c r="D607" s="2"/>
      <c r="E607" s="2"/>
      <c r="F607" s="2"/>
      <c r="G607" s="10"/>
      <c r="H607" s="11"/>
      <c r="I607" s="11"/>
      <c r="J607" s="11"/>
      <c r="K607" s="11"/>
      <c r="L607" s="11"/>
      <c r="M607" s="11"/>
      <c r="N607" s="11"/>
      <c r="O607" s="3"/>
    </row>
    <row r="608" spans="1:15" ht="37.5" customHeight="1" x14ac:dyDescent="0.25">
      <c r="A608" s="9" t="str">
        <f t="shared" si="1"/>
        <v/>
      </c>
      <c r="B608" s="2"/>
      <c r="C608" s="2"/>
      <c r="D608" s="2"/>
      <c r="E608" s="2"/>
      <c r="F608" s="2"/>
      <c r="G608" s="10"/>
      <c r="H608" s="11"/>
      <c r="I608" s="11"/>
      <c r="J608" s="11"/>
      <c r="K608" s="11"/>
      <c r="L608" s="11"/>
      <c r="M608" s="11"/>
      <c r="N608" s="11"/>
      <c r="O608" s="3"/>
    </row>
    <row r="609" spans="1:15" ht="37.5" customHeight="1" x14ac:dyDescent="0.25">
      <c r="A609" s="9" t="str">
        <f t="shared" si="1"/>
        <v/>
      </c>
      <c r="B609" s="2"/>
      <c r="C609" s="2"/>
      <c r="D609" s="2"/>
      <c r="E609" s="2"/>
      <c r="F609" s="2"/>
      <c r="G609" s="10"/>
      <c r="H609" s="11"/>
      <c r="I609" s="11"/>
      <c r="J609" s="11"/>
      <c r="K609" s="11"/>
      <c r="L609" s="11"/>
      <c r="M609" s="11"/>
      <c r="N609" s="11"/>
      <c r="O609" s="3"/>
    </row>
    <row r="610" spans="1:15" ht="37.5" customHeight="1" x14ac:dyDescent="0.25">
      <c r="A610" s="9" t="str">
        <f t="shared" si="1"/>
        <v/>
      </c>
      <c r="B610" s="2"/>
      <c r="C610" s="2"/>
      <c r="D610" s="2"/>
      <c r="E610" s="2"/>
      <c r="F610" s="2"/>
      <c r="G610" s="10"/>
      <c r="H610" s="11"/>
      <c r="I610" s="11"/>
      <c r="J610" s="11"/>
      <c r="K610" s="11"/>
      <c r="L610" s="11"/>
      <c r="M610" s="11"/>
      <c r="N610" s="11"/>
      <c r="O610" s="3"/>
    </row>
    <row r="611" spans="1:15" ht="37.5" customHeight="1" x14ac:dyDescent="0.25">
      <c r="A611" s="9" t="str">
        <f t="shared" si="1"/>
        <v/>
      </c>
      <c r="B611" s="2"/>
      <c r="C611" s="2"/>
      <c r="D611" s="2"/>
      <c r="E611" s="2"/>
      <c r="F611" s="2"/>
      <c r="G611" s="10"/>
      <c r="H611" s="11"/>
      <c r="I611" s="11"/>
      <c r="J611" s="11"/>
      <c r="K611" s="11"/>
      <c r="L611" s="11"/>
      <c r="M611" s="11"/>
      <c r="N611" s="11"/>
      <c r="O611" s="3"/>
    </row>
    <row r="612" spans="1:15" ht="37.5" customHeight="1" x14ac:dyDescent="0.25">
      <c r="A612" s="9" t="str">
        <f t="shared" si="1"/>
        <v/>
      </c>
      <c r="B612" s="2"/>
      <c r="C612" s="2"/>
      <c r="D612" s="2"/>
      <c r="E612" s="2"/>
      <c r="F612" s="2"/>
      <c r="G612" s="10"/>
      <c r="H612" s="11"/>
      <c r="I612" s="11"/>
      <c r="J612" s="11"/>
      <c r="K612" s="11"/>
      <c r="L612" s="11"/>
      <c r="M612" s="11"/>
      <c r="N612" s="11"/>
      <c r="O612" s="3"/>
    </row>
    <row r="613" spans="1:15" ht="37.5" customHeight="1" x14ac:dyDescent="0.25">
      <c r="A613" s="9" t="str">
        <f t="shared" si="1"/>
        <v/>
      </c>
      <c r="B613" s="2"/>
      <c r="C613" s="2"/>
      <c r="D613" s="2"/>
      <c r="E613" s="2"/>
      <c r="F613" s="2"/>
      <c r="G613" s="10"/>
      <c r="H613" s="11"/>
      <c r="I613" s="11"/>
      <c r="J613" s="11"/>
      <c r="K613" s="11"/>
      <c r="L613" s="11"/>
      <c r="M613" s="11"/>
      <c r="N613" s="11"/>
      <c r="O613" s="3"/>
    </row>
    <row r="614" spans="1:15" ht="37.5" customHeight="1" x14ac:dyDescent="0.25">
      <c r="A614" s="9" t="str">
        <f t="shared" si="1"/>
        <v/>
      </c>
      <c r="B614" s="2"/>
      <c r="C614" s="2"/>
      <c r="D614" s="2"/>
      <c r="E614" s="2"/>
      <c r="F614" s="2"/>
      <c r="G614" s="10"/>
      <c r="H614" s="11"/>
      <c r="I614" s="11"/>
      <c r="J614" s="11"/>
      <c r="K614" s="11"/>
      <c r="L614" s="11"/>
      <c r="M614" s="11"/>
      <c r="N614" s="11"/>
      <c r="O614" s="3"/>
    </row>
    <row r="615" spans="1:15" ht="37.5" customHeight="1" x14ac:dyDescent="0.25">
      <c r="A615" s="9" t="str">
        <f t="shared" si="1"/>
        <v/>
      </c>
      <c r="B615" s="2"/>
      <c r="C615" s="2"/>
      <c r="D615" s="2"/>
      <c r="E615" s="2"/>
      <c r="F615" s="2"/>
      <c r="G615" s="10"/>
      <c r="H615" s="11"/>
      <c r="I615" s="11"/>
      <c r="J615" s="11"/>
      <c r="K615" s="11"/>
      <c r="L615" s="11"/>
      <c r="M615" s="11"/>
      <c r="N615" s="11"/>
      <c r="O615" s="3"/>
    </row>
    <row r="616" spans="1:15" ht="37.5" customHeight="1" x14ac:dyDescent="0.25">
      <c r="A616" s="9" t="str">
        <f t="shared" si="1"/>
        <v/>
      </c>
      <c r="B616" s="2"/>
      <c r="C616" s="2"/>
      <c r="D616" s="2"/>
      <c r="E616" s="2"/>
      <c r="F616" s="2"/>
      <c r="G616" s="10"/>
      <c r="H616" s="11"/>
      <c r="I616" s="11"/>
      <c r="J616" s="11"/>
      <c r="K616" s="11"/>
      <c r="L616" s="11"/>
      <c r="M616" s="11"/>
      <c r="N616" s="11"/>
      <c r="O616" s="3"/>
    </row>
    <row r="617" spans="1:15" ht="37.5" customHeight="1" x14ac:dyDescent="0.25">
      <c r="A617" s="9" t="str">
        <f t="shared" si="1"/>
        <v/>
      </c>
      <c r="B617" s="2"/>
      <c r="C617" s="2"/>
      <c r="D617" s="2"/>
      <c r="E617" s="2"/>
      <c r="F617" s="2"/>
      <c r="G617" s="10"/>
      <c r="H617" s="11"/>
      <c r="I617" s="11"/>
      <c r="J617" s="11"/>
      <c r="K617" s="11"/>
      <c r="L617" s="11"/>
      <c r="M617" s="11"/>
      <c r="N617" s="11"/>
      <c r="O617" s="3"/>
    </row>
    <row r="618" spans="1:15" ht="37.5" customHeight="1" x14ac:dyDescent="0.25">
      <c r="A618" s="9" t="str">
        <f t="shared" si="1"/>
        <v/>
      </c>
      <c r="B618" s="2"/>
      <c r="C618" s="2"/>
      <c r="D618" s="2"/>
      <c r="E618" s="2"/>
      <c r="F618" s="2"/>
      <c r="G618" s="10"/>
      <c r="H618" s="11"/>
      <c r="I618" s="11"/>
      <c r="J618" s="11"/>
      <c r="K618" s="11"/>
      <c r="L618" s="11"/>
      <c r="M618" s="11"/>
      <c r="N618" s="11"/>
      <c r="O618" s="3"/>
    </row>
    <row r="619" spans="1:15" ht="37.5" customHeight="1" x14ac:dyDescent="0.25">
      <c r="A619" s="9" t="str">
        <f t="shared" si="1"/>
        <v/>
      </c>
      <c r="B619" s="2"/>
      <c r="C619" s="2"/>
      <c r="D619" s="2"/>
      <c r="E619" s="2"/>
      <c r="F619" s="2"/>
      <c r="G619" s="10"/>
      <c r="H619" s="11"/>
      <c r="I619" s="11"/>
      <c r="J619" s="11"/>
      <c r="K619" s="11"/>
      <c r="L619" s="11"/>
      <c r="M619" s="11"/>
      <c r="N619" s="11"/>
      <c r="O619" s="3"/>
    </row>
    <row r="620" spans="1:15" ht="37.5" customHeight="1" x14ac:dyDescent="0.25">
      <c r="A620" s="9" t="str">
        <f t="shared" si="1"/>
        <v/>
      </c>
      <c r="B620" s="2"/>
      <c r="C620" s="2"/>
      <c r="D620" s="2"/>
      <c r="E620" s="2"/>
      <c r="F620" s="2"/>
      <c r="G620" s="10"/>
      <c r="H620" s="11"/>
      <c r="I620" s="11"/>
      <c r="J620" s="11"/>
      <c r="K620" s="11"/>
      <c r="L620" s="11"/>
      <c r="M620" s="11"/>
      <c r="N620" s="11"/>
      <c r="O620" s="3"/>
    </row>
    <row r="621" spans="1:15" ht="37.5" customHeight="1" x14ac:dyDescent="0.25">
      <c r="A621" s="9" t="str">
        <f t="shared" si="1"/>
        <v/>
      </c>
      <c r="B621" s="2"/>
      <c r="C621" s="2"/>
      <c r="D621" s="2"/>
      <c r="E621" s="2"/>
      <c r="F621" s="2"/>
      <c r="G621" s="10"/>
      <c r="H621" s="11"/>
      <c r="I621" s="11"/>
      <c r="J621" s="11"/>
      <c r="K621" s="11"/>
      <c r="L621" s="11"/>
      <c r="M621" s="11"/>
      <c r="N621" s="11"/>
      <c r="O621" s="3"/>
    </row>
    <row r="622" spans="1:15" ht="37.5" customHeight="1" x14ac:dyDescent="0.25">
      <c r="A622" s="9" t="str">
        <f t="shared" si="1"/>
        <v/>
      </c>
      <c r="B622" s="2"/>
      <c r="C622" s="2"/>
      <c r="D622" s="2"/>
      <c r="E622" s="2"/>
      <c r="F622" s="2"/>
      <c r="G622" s="10"/>
      <c r="H622" s="11"/>
      <c r="I622" s="11"/>
      <c r="J622" s="11"/>
      <c r="K622" s="11"/>
      <c r="L622" s="11"/>
      <c r="M622" s="11"/>
      <c r="N622" s="11"/>
      <c r="O622" s="3"/>
    </row>
    <row r="623" spans="1:15" ht="37.5" customHeight="1" x14ac:dyDescent="0.25">
      <c r="A623" s="9" t="str">
        <f t="shared" si="1"/>
        <v/>
      </c>
      <c r="B623" s="2"/>
      <c r="C623" s="2"/>
      <c r="D623" s="2"/>
      <c r="E623" s="2"/>
      <c r="F623" s="2"/>
      <c r="G623" s="10"/>
      <c r="H623" s="11"/>
      <c r="I623" s="11"/>
      <c r="J623" s="11"/>
      <c r="K623" s="11"/>
      <c r="L623" s="11"/>
      <c r="M623" s="11"/>
      <c r="N623" s="11"/>
      <c r="O623" s="3"/>
    </row>
    <row r="624" spans="1:15" ht="37.5" customHeight="1" x14ac:dyDescent="0.25">
      <c r="A624" s="9" t="str">
        <f t="shared" si="1"/>
        <v/>
      </c>
      <c r="B624" s="2"/>
      <c r="C624" s="2"/>
      <c r="D624" s="2"/>
      <c r="E624" s="2"/>
      <c r="F624" s="2"/>
      <c r="G624" s="10"/>
      <c r="H624" s="11"/>
      <c r="I624" s="11"/>
      <c r="J624" s="11"/>
      <c r="K624" s="11"/>
      <c r="L624" s="11"/>
      <c r="M624" s="11"/>
      <c r="N624" s="11"/>
      <c r="O624" s="3"/>
    </row>
    <row r="625" spans="1:15" ht="37.5" customHeight="1" x14ac:dyDescent="0.25">
      <c r="A625" s="9" t="str">
        <f t="shared" si="1"/>
        <v/>
      </c>
      <c r="B625" s="2"/>
      <c r="C625" s="2"/>
      <c r="D625" s="2"/>
      <c r="E625" s="2"/>
      <c r="F625" s="2"/>
      <c r="G625" s="10"/>
      <c r="H625" s="11"/>
      <c r="I625" s="11"/>
      <c r="J625" s="11"/>
      <c r="K625" s="11"/>
      <c r="L625" s="11"/>
      <c r="M625" s="11"/>
      <c r="N625" s="11"/>
      <c r="O625" s="3"/>
    </row>
    <row r="626" spans="1:15" ht="37.5" customHeight="1" x14ac:dyDescent="0.25">
      <c r="A626" s="9" t="str">
        <f t="shared" si="1"/>
        <v/>
      </c>
      <c r="B626" s="2"/>
      <c r="C626" s="2"/>
      <c r="D626" s="2"/>
      <c r="E626" s="2"/>
      <c r="F626" s="2"/>
      <c r="G626" s="10"/>
      <c r="H626" s="11"/>
      <c r="I626" s="11"/>
      <c r="J626" s="11"/>
      <c r="K626" s="11"/>
      <c r="L626" s="11"/>
      <c r="M626" s="11"/>
      <c r="N626" s="11"/>
      <c r="O626" s="3"/>
    </row>
    <row r="627" spans="1:15" ht="37.5" customHeight="1" x14ac:dyDescent="0.25">
      <c r="A627" s="9" t="str">
        <f t="shared" si="1"/>
        <v/>
      </c>
      <c r="B627" s="2"/>
      <c r="C627" s="2"/>
      <c r="D627" s="2"/>
      <c r="E627" s="2"/>
      <c r="F627" s="2"/>
      <c r="G627" s="10"/>
      <c r="H627" s="11"/>
      <c r="I627" s="11"/>
      <c r="J627" s="11"/>
      <c r="K627" s="11"/>
      <c r="L627" s="11"/>
      <c r="M627" s="11"/>
      <c r="N627" s="11"/>
      <c r="O627" s="3"/>
    </row>
    <row r="628" spans="1:15" ht="37.5" customHeight="1" x14ac:dyDescent="0.25">
      <c r="A628" s="9" t="str">
        <f t="shared" si="1"/>
        <v/>
      </c>
      <c r="B628" s="2"/>
      <c r="C628" s="2"/>
      <c r="D628" s="2"/>
      <c r="E628" s="2"/>
      <c r="F628" s="2"/>
      <c r="G628" s="10"/>
      <c r="H628" s="11"/>
      <c r="I628" s="11"/>
      <c r="J628" s="11"/>
      <c r="K628" s="11"/>
      <c r="L628" s="11"/>
      <c r="M628" s="11"/>
      <c r="N628" s="11"/>
      <c r="O628" s="3"/>
    </row>
    <row r="629" spans="1:15" ht="37.5" customHeight="1" x14ac:dyDescent="0.25">
      <c r="A629" s="9" t="str">
        <f t="shared" si="1"/>
        <v/>
      </c>
      <c r="B629" s="2"/>
      <c r="C629" s="2"/>
      <c r="D629" s="2"/>
      <c r="E629" s="2"/>
      <c r="F629" s="2"/>
      <c r="G629" s="10"/>
      <c r="H629" s="11"/>
      <c r="I629" s="11"/>
      <c r="J629" s="11"/>
      <c r="K629" s="11"/>
      <c r="L629" s="11"/>
      <c r="M629" s="11"/>
      <c r="N629" s="11"/>
      <c r="O629" s="3"/>
    </row>
    <row r="630" spans="1:15" ht="37.5" customHeight="1" x14ac:dyDescent="0.25">
      <c r="A630" s="9" t="str">
        <f t="shared" si="1"/>
        <v/>
      </c>
      <c r="B630" s="2"/>
      <c r="C630" s="2"/>
      <c r="D630" s="2"/>
      <c r="E630" s="2"/>
      <c r="F630" s="2"/>
      <c r="G630" s="10"/>
      <c r="H630" s="11"/>
      <c r="I630" s="11"/>
      <c r="J630" s="11"/>
      <c r="K630" s="11"/>
      <c r="L630" s="11"/>
      <c r="M630" s="11"/>
      <c r="N630" s="11"/>
      <c r="O630" s="3"/>
    </row>
    <row r="631" spans="1:15" ht="37.5" customHeight="1" x14ac:dyDescent="0.25">
      <c r="A631" s="9" t="str">
        <f t="shared" si="1"/>
        <v/>
      </c>
      <c r="B631" s="2"/>
      <c r="C631" s="2"/>
      <c r="D631" s="2"/>
      <c r="E631" s="2"/>
      <c r="F631" s="2"/>
      <c r="G631" s="10"/>
      <c r="H631" s="11"/>
      <c r="I631" s="11"/>
      <c r="J631" s="11"/>
      <c r="K631" s="11"/>
      <c r="L631" s="11"/>
      <c r="M631" s="11"/>
      <c r="N631" s="11"/>
      <c r="O631" s="3"/>
    </row>
    <row r="632" spans="1:15" ht="37.5" customHeight="1" x14ac:dyDescent="0.25">
      <c r="A632" s="9" t="str">
        <f t="shared" si="1"/>
        <v/>
      </c>
      <c r="B632" s="2"/>
      <c r="C632" s="2"/>
      <c r="D632" s="2"/>
      <c r="E632" s="2"/>
      <c r="F632" s="2"/>
      <c r="G632" s="10"/>
      <c r="H632" s="11"/>
      <c r="I632" s="11"/>
      <c r="J632" s="11"/>
      <c r="K632" s="11"/>
      <c r="L632" s="11"/>
      <c r="M632" s="11"/>
      <c r="N632" s="11"/>
      <c r="O632" s="3"/>
    </row>
    <row r="633" spans="1:15" ht="37.5" customHeight="1" x14ac:dyDescent="0.25">
      <c r="A633" s="9" t="str">
        <f t="shared" si="1"/>
        <v/>
      </c>
      <c r="B633" s="2"/>
      <c r="C633" s="2"/>
      <c r="D633" s="2"/>
      <c r="E633" s="2"/>
      <c r="F633" s="2"/>
      <c r="G633" s="10"/>
      <c r="H633" s="11"/>
      <c r="I633" s="11"/>
      <c r="J633" s="11"/>
      <c r="K633" s="11"/>
      <c r="L633" s="11"/>
      <c r="M633" s="11"/>
      <c r="N633" s="11"/>
      <c r="O633" s="3"/>
    </row>
    <row r="634" spans="1:15" ht="37.5" customHeight="1" x14ac:dyDescent="0.25">
      <c r="A634" s="9" t="str">
        <f t="shared" si="1"/>
        <v/>
      </c>
      <c r="B634" s="2"/>
      <c r="C634" s="2"/>
      <c r="D634" s="2"/>
      <c r="E634" s="2"/>
      <c r="F634" s="2"/>
      <c r="G634" s="10"/>
      <c r="H634" s="11"/>
      <c r="I634" s="11"/>
      <c r="J634" s="11"/>
      <c r="K634" s="11"/>
      <c r="L634" s="11"/>
      <c r="M634" s="11"/>
      <c r="N634" s="11"/>
      <c r="O634" s="3"/>
    </row>
    <row r="635" spans="1:15" ht="37.5" customHeight="1" x14ac:dyDescent="0.25">
      <c r="A635" s="9" t="str">
        <f t="shared" si="1"/>
        <v/>
      </c>
      <c r="B635" s="2"/>
      <c r="C635" s="2"/>
      <c r="D635" s="2"/>
      <c r="E635" s="2"/>
      <c r="F635" s="2"/>
      <c r="G635" s="10"/>
      <c r="H635" s="11"/>
      <c r="I635" s="11"/>
      <c r="J635" s="11"/>
      <c r="K635" s="11"/>
      <c r="L635" s="11"/>
      <c r="M635" s="11"/>
      <c r="N635" s="11"/>
      <c r="O635" s="3"/>
    </row>
    <row r="636" spans="1:15" ht="37.5" customHeight="1" x14ac:dyDescent="0.25">
      <c r="A636" s="9" t="str">
        <f t="shared" si="1"/>
        <v/>
      </c>
      <c r="B636" s="2"/>
      <c r="C636" s="2"/>
      <c r="D636" s="2"/>
      <c r="E636" s="2"/>
      <c r="F636" s="2"/>
      <c r="G636" s="10"/>
      <c r="H636" s="11"/>
      <c r="I636" s="11"/>
      <c r="J636" s="11"/>
      <c r="K636" s="11"/>
      <c r="L636" s="11"/>
      <c r="M636" s="11"/>
      <c r="N636" s="11"/>
      <c r="O636" s="3"/>
    </row>
    <row r="637" spans="1:15" ht="37.5" customHeight="1" x14ac:dyDescent="0.25">
      <c r="A637" s="9" t="str">
        <f t="shared" si="1"/>
        <v/>
      </c>
      <c r="B637" s="2"/>
      <c r="C637" s="2"/>
      <c r="D637" s="2"/>
      <c r="E637" s="2"/>
      <c r="F637" s="2"/>
      <c r="G637" s="10"/>
      <c r="H637" s="11"/>
      <c r="I637" s="11"/>
      <c r="J637" s="11"/>
      <c r="K637" s="11"/>
      <c r="L637" s="11"/>
      <c r="M637" s="11"/>
      <c r="N637" s="11"/>
      <c r="O637" s="3"/>
    </row>
    <row r="638" spans="1:15" ht="37.5" customHeight="1" x14ac:dyDescent="0.25">
      <c r="A638" s="9" t="str">
        <f t="shared" si="1"/>
        <v/>
      </c>
      <c r="B638" s="2"/>
      <c r="C638" s="2"/>
      <c r="D638" s="2"/>
      <c r="E638" s="2"/>
      <c r="F638" s="2"/>
      <c r="G638" s="10"/>
      <c r="H638" s="11"/>
      <c r="I638" s="11"/>
      <c r="J638" s="11"/>
      <c r="K638" s="11"/>
      <c r="L638" s="11"/>
      <c r="M638" s="11"/>
      <c r="N638" s="11"/>
      <c r="O638" s="3"/>
    </row>
    <row r="639" spans="1:15" ht="37.5" customHeight="1" x14ac:dyDescent="0.25">
      <c r="A639" s="9" t="str">
        <f t="shared" si="1"/>
        <v/>
      </c>
      <c r="B639" s="2"/>
      <c r="C639" s="2"/>
      <c r="D639" s="2"/>
      <c r="E639" s="2"/>
      <c r="F639" s="2"/>
      <c r="G639" s="10"/>
      <c r="H639" s="11"/>
      <c r="I639" s="11"/>
      <c r="J639" s="11"/>
      <c r="K639" s="11"/>
      <c r="L639" s="11"/>
      <c r="M639" s="11"/>
      <c r="N639" s="11"/>
      <c r="O639" s="3"/>
    </row>
    <row r="640" spans="1:15" ht="37.5" customHeight="1" x14ac:dyDescent="0.25">
      <c r="A640" s="9" t="str">
        <f t="shared" si="1"/>
        <v/>
      </c>
      <c r="B640" s="2"/>
      <c r="C640" s="2"/>
      <c r="D640" s="2"/>
      <c r="E640" s="2"/>
      <c r="F640" s="2"/>
      <c r="G640" s="10"/>
      <c r="H640" s="11"/>
      <c r="I640" s="11"/>
      <c r="J640" s="11"/>
      <c r="K640" s="11"/>
      <c r="L640" s="11"/>
      <c r="M640" s="11"/>
      <c r="N640" s="11"/>
      <c r="O640" s="3"/>
    </row>
    <row r="641" spans="1:15" ht="37.5" customHeight="1" x14ac:dyDescent="0.25">
      <c r="A641" s="9" t="str">
        <f t="shared" si="1"/>
        <v/>
      </c>
      <c r="B641" s="2"/>
      <c r="C641" s="2"/>
      <c r="D641" s="2"/>
      <c r="E641" s="2"/>
      <c r="F641" s="2"/>
      <c r="G641" s="10"/>
      <c r="H641" s="11"/>
      <c r="I641" s="11"/>
      <c r="J641" s="11"/>
      <c r="K641" s="11"/>
      <c r="L641" s="11"/>
      <c r="M641" s="11"/>
      <c r="N641" s="11"/>
      <c r="O641" s="3"/>
    </row>
    <row r="642" spans="1:15" ht="37.5" customHeight="1" x14ac:dyDescent="0.25">
      <c r="A642" s="9" t="str">
        <f t="shared" si="1"/>
        <v/>
      </c>
      <c r="B642" s="2"/>
      <c r="C642" s="2"/>
      <c r="D642" s="2"/>
      <c r="E642" s="2"/>
      <c r="F642" s="2"/>
      <c r="G642" s="10"/>
      <c r="H642" s="11"/>
      <c r="I642" s="11"/>
      <c r="J642" s="11"/>
      <c r="K642" s="11"/>
      <c r="L642" s="11"/>
      <c r="M642" s="11"/>
      <c r="N642" s="11"/>
      <c r="O642" s="3"/>
    </row>
    <row r="643" spans="1:15" ht="37.5" customHeight="1" x14ac:dyDescent="0.25">
      <c r="A643" s="9" t="str">
        <f t="shared" si="1"/>
        <v/>
      </c>
      <c r="B643" s="2"/>
      <c r="C643" s="2"/>
      <c r="D643" s="2"/>
      <c r="E643" s="2"/>
      <c r="F643" s="2"/>
      <c r="G643" s="10"/>
      <c r="H643" s="11"/>
      <c r="I643" s="11"/>
      <c r="J643" s="11"/>
      <c r="K643" s="11"/>
      <c r="L643" s="11"/>
      <c r="M643" s="11"/>
      <c r="N643" s="11"/>
      <c r="O643" s="3"/>
    </row>
    <row r="644" spans="1:15" ht="37.5" customHeight="1" x14ac:dyDescent="0.25">
      <c r="A644" s="9" t="str">
        <f t="shared" si="1"/>
        <v/>
      </c>
      <c r="B644" s="2"/>
      <c r="C644" s="2"/>
      <c r="D644" s="2"/>
      <c r="E644" s="2"/>
      <c r="F644" s="2"/>
      <c r="G644" s="10"/>
      <c r="H644" s="11"/>
      <c r="I644" s="11"/>
      <c r="J644" s="11"/>
      <c r="K644" s="11"/>
      <c r="L644" s="11"/>
      <c r="M644" s="11"/>
      <c r="N644" s="11"/>
      <c r="O644" s="3"/>
    </row>
    <row r="645" spans="1:15" ht="37.5" customHeight="1" x14ac:dyDescent="0.25">
      <c r="A645" s="9" t="str">
        <f t="shared" si="1"/>
        <v/>
      </c>
      <c r="B645" s="2"/>
      <c r="C645" s="2"/>
      <c r="D645" s="2"/>
      <c r="E645" s="2"/>
      <c r="F645" s="2"/>
      <c r="G645" s="10"/>
      <c r="H645" s="11"/>
      <c r="I645" s="11"/>
      <c r="J645" s="11"/>
      <c r="K645" s="11"/>
      <c r="L645" s="11"/>
      <c r="M645" s="11"/>
      <c r="N645" s="11"/>
      <c r="O645" s="3"/>
    </row>
    <row r="646" spans="1:15" ht="37.5" customHeight="1" x14ac:dyDescent="0.25">
      <c r="A646" s="9" t="str">
        <f t="shared" si="1"/>
        <v/>
      </c>
      <c r="B646" s="2"/>
      <c r="C646" s="2"/>
      <c r="D646" s="2"/>
      <c r="E646" s="2"/>
      <c r="F646" s="2"/>
      <c r="G646" s="10"/>
      <c r="H646" s="11"/>
      <c r="I646" s="11"/>
      <c r="J646" s="11"/>
      <c r="K646" s="11"/>
      <c r="L646" s="11"/>
      <c r="M646" s="11"/>
      <c r="N646" s="11"/>
      <c r="O646" s="3"/>
    </row>
    <row r="647" spans="1:15" ht="37.5" customHeight="1" x14ac:dyDescent="0.25">
      <c r="A647" s="9" t="str">
        <f t="shared" si="1"/>
        <v/>
      </c>
      <c r="B647" s="2"/>
      <c r="C647" s="2"/>
      <c r="D647" s="2"/>
      <c r="E647" s="2"/>
      <c r="F647" s="2"/>
      <c r="G647" s="10"/>
      <c r="H647" s="11"/>
      <c r="I647" s="11"/>
      <c r="J647" s="11"/>
      <c r="K647" s="11"/>
      <c r="L647" s="11"/>
      <c r="M647" s="11"/>
      <c r="N647" s="11"/>
      <c r="O647" s="3"/>
    </row>
    <row r="648" spans="1:15" ht="37.5" customHeight="1" x14ac:dyDescent="0.25">
      <c r="A648" s="9" t="str">
        <f t="shared" si="1"/>
        <v/>
      </c>
      <c r="B648" s="2"/>
      <c r="C648" s="2"/>
      <c r="D648" s="2"/>
      <c r="E648" s="2"/>
      <c r="F648" s="2"/>
      <c r="G648" s="10"/>
      <c r="H648" s="11"/>
      <c r="I648" s="11"/>
      <c r="J648" s="11"/>
      <c r="K648" s="11"/>
      <c r="L648" s="11"/>
      <c r="M648" s="11"/>
      <c r="N648" s="11"/>
      <c r="O648" s="3"/>
    </row>
    <row r="649" spans="1:15" ht="37.5" customHeight="1" x14ac:dyDescent="0.25">
      <c r="A649" s="9" t="str">
        <f t="shared" si="1"/>
        <v/>
      </c>
      <c r="B649" s="2"/>
      <c r="C649" s="2"/>
      <c r="D649" s="2"/>
      <c r="E649" s="2"/>
      <c r="F649" s="2"/>
      <c r="G649" s="10"/>
      <c r="H649" s="11"/>
      <c r="I649" s="11"/>
      <c r="J649" s="11"/>
      <c r="K649" s="11"/>
      <c r="L649" s="11"/>
      <c r="M649" s="11"/>
      <c r="N649" s="11"/>
      <c r="O649" s="3"/>
    </row>
    <row r="650" spans="1:15" ht="37.5" customHeight="1" x14ac:dyDescent="0.25">
      <c r="A650" s="9" t="str">
        <f t="shared" si="1"/>
        <v/>
      </c>
      <c r="B650" s="2"/>
      <c r="C650" s="2"/>
      <c r="D650" s="2"/>
      <c r="E650" s="2"/>
      <c r="F650" s="2"/>
      <c r="G650" s="10"/>
      <c r="H650" s="11"/>
      <c r="I650" s="11"/>
      <c r="J650" s="11"/>
      <c r="K650" s="11"/>
      <c r="L650" s="11"/>
      <c r="M650" s="11"/>
      <c r="N650" s="11"/>
      <c r="O650" s="3"/>
    </row>
    <row r="651" spans="1:15" ht="37.5" customHeight="1" x14ac:dyDescent="0.25">
      <c r="A651" s="9" t="str">
        <f t="shared" si="1"/>
        <v/>
      </c>
      <c r="B651" s="2"/>
      <c r="C651" s="2"/>
      <c r="D651" s="2"/>
      <c r="E651" s="2"/>
      <c r="F651" s="2"/>
      <c r="G651" s="10"/>
      <c r="H651" s="11"/>
      <c r="I651" s="11"/>
      <c r="J651" s="11"/>
      <c r="K651" s="11"/>
      <c r="L651" s="11"/>
      <c r="M651" s="11"/>
      <c r="N651" s="11"/>
      <c r="O651" s="3"/>
    </row>
  </sheetData>
  <pageMargins left="0.511811024" right="0.511811024" top="0.78740157499999996" bottom="0.78740157499999996" header="0.31496062000000002" footer="0.31496062000000002"/>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heetPr>
  <dimension ref="A1:O17"/>
  <sheetViews>
    <sheetView showGridLines="0" tabSelected="1" workbookViewId="0">
      <pane xSplit="5" ySplit="2" topLeftCell="F3" activePane="bottomRight" state="frozen"/>
      <selection pane="topRight" activeCell="F1" sqref="F1"/>
      <selection pane="bottomLeft" activeCell="A3" sqref="A3"/>
      <selection pane="bottomRight" activeCell="I15" sqref="I15"/>
    </sheetView>
  </sheetViews>
  <sheetFormatPr defaultColWidth="12.54296875" defaultRowHeight="15.75" customHeight="1" outlineLevelCol="1" x14ac:dyDescent="0.25"/>
  <cols>
    <col min="1" max="3" width="12.54296875" hidden="1" customWidth="1" outlineLevel="1"/>
    <col min="4" max="4" width="29" customWidth="1" collapsed="1"/>
    <col min="5" max="5" width="37.54296875" customWidth="1"/>
    <col min="6" max="6" width="28.81640625" customWidth="1"/>
    <col min="7" max="7" width="17.1796875" customWidth="1"/>
    <col min="10" max="12" width="18.81640625" customWidth="1"/>
    <col min="13" max="13" width="16.453125" customWidth="1"/>
    <col min="14" max="14" width="61.453125" customWidth="1"/>
  </cols>
  <sheetData>
    <row r="1" spans="1:15" ht="22.5" customHeight="1" thickBot="1" x14ac:dyDescent="0.3">
      <c r="A1" s="78" t="s">
        <v>14</v>
      </c>
      <c r="B1" s="79"/>
      <c r="C1" s="80"/>
      <c r="D1" s="12"/>
      <c r="E1" s="13"/>
      <c r="F1" s="13"/>
      <c r="G1" s="13"/>
      <c r="H1" s="13"/>
      <c r="I1" s="14" t="s">
        <v>15</v>
      </c>
      <c r="J1" s="13"/>
      <c r="K1" s="15"/>
      <c r="L1" s="13"/>
      <c r="M1" s="16"/>
      <c r="N1" s="16"/>
      <c r="O1" s="17"/>
    </row>
    <row r="2" spans="1:15" ht="52.5" customHeight="1" thickBot="1" x14ac:dyDescent="0.3">
      <c r="A2" s="18" t="s">
        <v>19</v>
      </c>
      <c r="B2" s="19" t="s">
        <v>20</v>
      </c>
      <c r="C2" s="19" t="s">
        <v>21</v>
      </c>
      <c r="D2" s="20" t="s">
        <v>22</v>
      </c>
      <c r="E2" s="21" t="s">
        <v>6</v>
      </c>
      <c r="F2" s="21" t="s">
        <v>7</v>
      </c>
      <c r="G2" s="21" t="s">
        <v>23</v>
      </c>
      <c r="H2" s="21" t="s">
        <v>8</v>
      </c>
      <c r="I2" s="22"/>
    </row>
    <row r="3" spans="1:15" ht="67.5" customHeight="1" x14ac:dyDescent="0.25">
      <c r="A3" s="23" t="str">
        <f t="shared" ref="A3:A17" si="0">D3&amp;"/"&amp;E3&amp;"/"&amp;F3&amp;"/"&amp;H3</f>
        <v>AREIA/ASSENTAMENTO UNIAO/AGENTE DE DESENVOLVIMENTO COOPERATIVISTA/TARDE</v>
      </c>
      <c r="B3" s="24" t="str">
        <f t="shared" ref="B3:B17" si="1">D3&amp;"/"&amp;E3&amp;"/"&amp;H3</f>
        <v>AREIA/ASSENTAMENTO UNIAO/TARDE</v>
      </c>
      <c r="C3" s="24" t="str">
        <f t="shared" ref="C3:C17" si="2">D3&amp;"/"&amp;E3&amp;"/"&amp;H3</f>
        <v>AREIA/ASSENTAMENTO UNIAO/TARDE</v>
      </c>
      <c r="D3" s="25" t="s">
        <v>27</v>
      </c>
      <c r="E3" s="11" t="s">
        <v>28</v>
      </c>
      <c r="F3" s="27" t="s">
        <v>29</v>
      </c>
      <c r="G3" s="26">
        <f>VLOOKUP(F3,COD_CURSOS!$B$1:$D$145,2,0)</f>
        <v>160</v>
      </c>
      <c r="H3" s="27" t="s">
        <v>30</v>
      </c>
      <c r="I3" s="29"/>
    </row>
    <row r="4" spans="1:15" ht="67.5" customHeight="1" x14ac:dyDescent="0.25">
      <c r="A4" s="23" t="str">
        <f t="shared" si="0"/>
        <v>AREIA/Escola Estadual Monsenhor João Coutinho /AGENTE DE DESENVOLVIMENTO COOPERATIVISTA/TARDE</v>
      </c>
      <c r="B4" s="30" t="str">
        <f t="shared" si="1"/>
        <v>AREIA/Escola Estadual Monsenhor João Coutinho /TARDE</v>
      </c>
      <c r="C4" s="24" t="str">
        <f t="shared" si="2"/>
        <v>AREIA/Escola Estadual Monsenhor João Coutinho /TARDE</v>
      </c>
      <c r="D4" s="25" t="s">
        <v>27</v>
      </c>
      <c r="E4" s="27" t="s">
        <v>3935</v>
      </c>
      <c r="F4" s="27" t="s">
        <v>29</v>
      </c>
      <c r="G4" s="26">
        <f>VLOOKUP(F4,COD_CURSOS!$B$1:$D$145,2,0)</f>
        <v>160</v>
      </c>
      <c r="H4" s="27" t="s">
        <v>30</v>
      </c>
      <c r="I4" s="29"/>
    </row>
    <row r="5" spans="1:15" ht="67.5" customHeight="1" x14ac:dyDescent="0.25">
      <c r="A5" s="23" t="str">
        <f t="shared" si="0"/>
        <v>BAYEUX/ESCOLA MUNICIPAL RUI CARNEIRO/ASSISTENTE ESCOLAR/TARDE</v>
      </c>
      <c r="B5" s="30" t="str">
        <f t="shared" si="1"/>
        <v>BAYEUX/ESCOLA MUNICIPAL RUI CARNEIRO/TARDE</v>
      </c>
      <c r="C5" s="24" t="str">
        <f t="shared" si="2"/>
        <v>BAYEUX/ESCOLA MUNICIPAL RUI CARNEIRO/TARDE</v>
      </c>
      <c r="D5" s="25" t="s">
        <v>31</v>
      </c>
      <c r="E5" s="11" t="s">
        <v>3943</v>
      </c>
      <c r="F5" s="27" t="s">
        <v>32</v>
      </c>
      <c r="G5" s="26">
        <f>VLOOKUP(F5,COD_CURSOS!$B$1:$D$145,2,0)</f>
        <v>160</v>
      </c>
      <c r="H5" s="27" t="s">
        <v>30</v>
      </c>
      <c r="I5" s="29"/>
    </row>
    <row r="6" spans="1:15" ht="67.5" customHeight="1" x14ac:dyDescent="0.25">
      <c r="A6" s="23" t="str">
        <f t="shared" si="0"/>
        <v>BAIA DA TRAICAO/EMEF CENTRO SOCIAL SAO MIGUEL/AGRICULTOR ORGANICO/TARDE</v>
      </c>
      <c r="B6" s="30" t="str">
        <f t="shared" si="1"/>
        <v>BAIA DA TRAICAO/EMEF CENTRO SOCIAL SAO MIGUEL/TARDE</v>
      </c>
      <c r="C6" s="24" t="str">
        <f t="shared" si="2"/>
        <v>BAIA DA TRAICAO/EMEF CENTRO SOCIAL SAO MIGUEL/TARDE</v>
      </c>
      <c r="D6" s="28" t="s">
        <v>33</v>
      </c>
      <c r="E6" s="27" t="s">
        <v>34</v>
      </c>
      <c r="F6" s="11" t="s">
        <v>35</v>
      </c>
      <c r="G6" s="26">
        <f>VLOOKUP(F6,COD_CURSOS!$B$1:$D$145,2,0)</f>
        <v>160</v>
      </c>
      <c r="H6" s="27" t="s">
        <v>30</v>
      </c>
      <c r="I6" s="29"/>
    </row>
    <row r="7" spans="1:15" ht="67.5" customHeight="1" x14ac:dyDescent="0.25">
      <c r="A7" s="23"/>
      <c r="B7" s="51"/>
      <c r="C7" s="41"/>
      <c r="D7" s="28" t="s">
        <v>36</v>
      </c>
      <c r="E7" s="27" t="s">
        <v>3937</v>
      </c>
      <c r="F7" s="27" t="s">
        <v>37</v>
      </c>
      <c r="G7" s="52" t="s">
        <v>3938</v>
      </c>
      <c r="H7" s="27" t="s">
        <v>30</v>
      </c>
      <c r="I7" s="29"/>
    </row>
    <row r="8" spans="1:15" ht="67.5" customHeight="1" x14ac:dyDescent="0.25">
      <c r="A8" s="23" t="str">
        <f t="shared" si="0"/>
        <v>CAMPINA GRANDE/EEEFM SEN ARGEMIRO DE FIGUEIREDO/VENDEDOR/NOITE</v>
      </c>
      <c r="B8" s="30" t="str">
        <f t="shared" si="1"/>
        <v>CAMPINA GRANDE/EEEFM SEN ARGEMIRO DE FIGUEIREDO/NOITE</v>
      </c>
      <c r="C8" s="24" t="str">
        <f t="shared" si="2"/>
        <v>CAMPINA GRANDE/EEEFM SEN ARGEMIRO DE FIGUEIREDO/NOITE</v>
      </c>
      <c r="D8" s="25" t="s">
        <v>38</v>
      </c>
      <c r="E8" s="27" t="s">
        <v>40</v>
      </c>
      <c r="F8" s="27" t="s">
        <v>41</v>
      </c>
      <c r="G8" s="26">
        <f>VLOOKUP(F8,COD_CURSOS!$B$1:$D$145,2,0)</f>
        <v>160</v>
      </c>
      <c r="H8" s="27" t="s">
        <v>42</v>
      </c>
      <c r="I8" s="29"/>
    </row>
    <row r="9" spans="1:15" ht="67.5" customHeight="1" x14ac:dyDescent="0.25">
      <c r="A9" s="23" t="str">
        <f t="shared" si="0"/>
        <v>GURINHEM/SINDICATO DOS TRABALHADORES RURAIS AGRICULTORES E AGRICULTORAS FAMILIARES DE GURINHEM/AGRICULTOR ORGANICO/MANHA</v>
      </c>
      <c r="B9" s="30" t="str">
        <f t="shared" si="1"/>
        <v>GURINHEM/SINDICATO DOS TRABALHADORES RURAIS AGRICULTORES E AGRICULTORAS FAMILIARES DE GURINHEM/MANHA</v>
      </c>
      <c r="C9" s="24" t="str">
        <f t="shared" si="2"/>
        <v>GURINHEM/SINDICATO DOS TRABALHADORES RURAIS AGRICULTORES E AGRICULTORAS FAMILIARES DE GURINHEM/MANHA</v>
      </c>
      <c r="D9" s="25" t="s">
        <v>46</v>
      </c>
      <c r="E9" s="11" t="s">
        <v>47</v>
      </c>
      <c r="F9" s="27" t="s">
        <v>35</v>
      </c>
      <c r="G9" s="26">
        <f>VLOOKUP(F9,COD_CURSOS!$B$1:$D$145,2,0)</f>
        <v>160</v>
      </c>
      <c r="H9" s="27" t="s">
        <v>45</v>
      </c>
      <c r="I9" s="29"/>
    </row>
    <row r="10" spans="1:15" ht="67.5" customHeight="1" x14ac:dyDescent="0.25">
      <c r="A10" s="23"/>
      <c r="B10" s="51"/>
      <c r="C10" s="41"/>
      <c r="D10" s="28" t="s">
        <v>3939</v>
      </c>
      <c r="E10" s="27" t="s">
        <v>3940</v>
      </c>
      <c r="F10" s="27" t="s">
        <v>29</v>
      </c>
      <c r="G10" s="52" t="s">
        <v>3938</v>
      </c>
      <c r="H10" s="27" t="s">
        <v>30</v>
      </c>
      <c r="I10" s="29"/>
    </row>
    <row r="11" spans="1:15" ht="67.5" customHeight="1" x14ac:dyDescent="0.25">
      <c r="A11" s="23"/>
      <c r="B11" s="51"/>
      <c r="C11" s="41"/>
      <c r="D11" s="28" t="s">
        <v>3939</v>
      </c>
      <c r="E11" s="27" t="s">
        <v>3936</v>
      </c>
      <c r="F11" s="27" t="s">
        <v>3941</v>
      </c>
      <c r="G11" s="52" t="s">
        <v>3938</v>
      </c>
      <c r="H11" s="27" t="s">
        <v>30</v>
      </c>
      <c r="I11" s="29"/>
    </row>
    <row r="12" spans="1:15" ht="67.5" customHeight="1" x14ac:dyDescent="0.25">
      <c r="A12" s="23" t="str">
        <f t="shared" si="0"/>
        <v>JOAO PESSOA/ASSOCIACAO BENEFICENTE MULHERES DO BEM - ALTO DO MATEUS/CUIDADOR DE IDOSO/NOITE</v>
      </c>
      <c r="B12" s="30" t="str">
        <f t="shared" si="1"/>
        <v>JOAO PESSOA/ASSOCIACAO BENEFICENTE MULHERES DO BEM - ALTO DO MATEUS/NOITE</v>
      </c>
      <c r="C12" s="24" t="str">
        <f t="shared" si="2"/>
        <v>JOAO PESSOA/ASSOCIACAO BENEFICENTE MULHERES DO BEM - ALTO DO MATEUS/NOITE</v>
      </c>
      <c r="D12" s="25" t="s">
        <v>48</v>
      </c>
      <c r="E12" s="27" t="s">
        <v>49</v>
      </c>
      <c r="F12" s="27" t="s">
        <v>50</v>
      </c>
      <c r="G12" s="26">
        <f>VLOOKUP(F12,COD_CURSOS!$B$1:$D$145,2,0)</f>
        <v>160</v>
      </c>
      <c r="H12" s="27" t="s">
        <v>42</v>
      </c>
      <c r="I12" s="29"/>
    </row>
    <row r="13" spans="1:15" ht="67.5" customHeight="1" x14ac:dyDescent="0.25">
      <c r="A13" s="23" t="str">
        <f t="shared" si="0"/>
        <v>JOAO PESSOA/CENTRO SOCIAL URBANO MONSENHOR JOSE COUTINHO - BAIRRO DOS IPES/CUIDADOR INFANTIL/TARDE</v>
      </c>
      <c r="B13" s="30" t="str">
        <f t="shared" si="1"/>
        <v>JOAO PESSOA/CENTRO SOCIAL URBANO MONSENHOR JOSE COUTINHO - BAIRRO DOS IPES/TARDE</v>
      </c>
      <c r="C13" s="24" t="str">
        <f t="shared" si="2"/>
        <v>JOAO PESSOA/CENTRO SOCIAL URBANO MONSENHOR JOSE COUTINHO - BAIRRO DOS IPES/TARDE</v>
      </c>
      <c r="D13" s="25" t="s">
        <v>48</v>
      </c>
      <c r="E13" s="27" t="s">
        <v>51</v>
      </c>
      <c r="F13" s="27" t="s">
        <v>52</v>
      </c>
      <c r="G13" s="26">
        <f>VLOOKUP(F13,COD_CURSOS!$B$1:$D$145,2,0)</f>
        <v>160</v>
      </c>
      <c r="H13" s="27" t="s">
        <v>30</v>
      </c>
      <c r="I13" s="29"/>
    </row>
    <row r="14" spans="1:15" ht="67.5" customHeight="1" x14ac:dyDescent="0.25">
      <c r="A14" s="23" t="str">
        <f t="shared" si="0"/>
        <v>JOAO PESSOA/ASSOCIACAO BENEFICENTE SAO JOSE/VENDEDOR/TARDE</v>
      </c>
      <c r="B14" s="30" t="str">
        <f t="shared" si="1"/>
        <v>JOAO PESSOA/ASSOCIACAO BENEFICENTE SAO JOSE/TARDE</v>
      </c>
      <c r="C14" s="24" t="str">
        <f t="shared" si="2"/>
        <v>JOAO PESSOA/ASSOCIACAO BENEFICENTE SAO JOSE/TARDE</v>
      </c>
      <c r="D14" s="25" t="s">
        <v>48</v>
      </c>
      <c r="E14" s="11" t="s">
        <v>53</v>
      </c>
      <c r="F14" s="27" t="s">
        <v>41</v>
      </c>
      <c r="G14" s="26">
        <f>VLOOKUP(F14,COD_CURSOS!$B$1:$D$145,2,0)</f>
        <v>160</v>
      </c>
      <c r="H14" s="27" t="s">
        <v>30</v>
      </c>
      <c r="I14" s="29"/>
    </row>
    <row r="15" spans="1:15" ht="30" customHeight="1" x14ac:dyDescent="0.25">
      <c r="A15" s="23" t="str">
        <f t="shared" si="0"/>
        <v>POMBAL/ECIT Monsenhor Vicente Freitas/MICROEMPREENDEDOR INDIVIDUAL (MEI)/NOITE</v>
      </c>
      <c r="B15" s="30" t="str">
        <f t="shared" si="1"/>
        <v>POMBAL/ECIT Monsenhor Vicente Freitas/NOITE</v>
      </c>
      <c r="C15" s="24" t="str">
        <f t="shared" si="2"/>
        <v>POMBAL/ECIT Monsenhor Vicente Freitas/NOITE</v>
      </c>
      <c r="D15" s="25" t="s">
        <v>57</v>
      </c>
      <c r="E15" s="27" t="s">
        <v>3942</v>
      </c>
      <c r="F15" s="27" t="s">
        <v>58</v>
      </c>
      <c r="G15" s="26">
        <f>VLOOKUP(F15,COD_CURSOS!$B$1:$D$145,2,0)</f>
        <v>160</v>
      </c>
      <c r="H15" s="27" t="s">
        <v>42</v>
      </c>
      <c r="I15" s="29"/>
    </row>
    <row r="16" spans="1:15" ht="30.75" customHeight="1" x14ac:dyDescent="0.25">
      <c r="A16" s="23" t="str">
        <f t="shared" si="0"/>
        <v>SAO FRANCISCO/EMEF. FRANCISCO SALES GADELHA DE OLIVEIRA/CUIDADOR INFANTIL/NOITE</v>
      </c>
      <c r="B16" s="30" t="str">
        <f t="shared" si="1"/>
        <v>SAO FRANCISCO/EMEF. FRANCISCO SALES GADELHA DE OLIVEIRA/NOITE</v>
      </c>
      <c r="C16" s="24" t="str">
        <f t="shared" si="2"/>
        <v>SAO FRANCISCO/EMEF. FRANCISCO SALES GADELHA DE OLIVEIRA/NOITE</v>
      </c>
      <c r="D16" s="25" t="s">
        <v>62</v>
      </c>
      <c r="E16" s="11" t="s">
        <v>63</v>
      </c>
      <c r="F16" s="27" t="s">
        <v>52</v>
      </c>
      <c r="G16" s="26">
        <f>VLOOKUP(F16,COD_CURSOS!$B$1:$D$145,2,0)</f>
        <v>160</v>
      </c>
      <c r="H16" s="27" t="s">
        <v>42</v>
      </c>
      <c r="I16" s="29"/>
    </row>
    <row r="17" spans="1:9" ht="15.75" customHeight="1" x14ac:dyDescent="0.25">
      <c r="A17" s="23" t="str">
        <f t="shared" si="0"/>
        <v>UIRAUNA/ECIT DR. JOSE DUARTE FILHO/CUIDADOR DE IDOSO/NOITE</v>
      </c>
      <c r="B17" s="30" t="str">
        <f t="shared" si="1"/>
        <v>UIRAUNA/ECIT DR. JOSE DUARTE FILHO/NOITE</v>
      </c>
      <c r="C17" s="24" t="str">
        <f t="shared" si="2"/>
        <v>UIRAUNA/ECIT DR. JOSE DUARTE FILHO/NOITE</v>
      </c>
      <c r="D17" s="25" t="s">
        <v>64</v>
      </c>
      <c r="E17" s="27" t="s">
        <v>65</v>
      </c>
      <c r="F17" s="27" t="s">
        <v>50</v>
      </c>
      <c r="G17" s="26">
        <f>VLOOKUP(F17,COD_CURSOS!$B$1:$D$145,2,0)</f>
        <v>160</v>
      </c>
      <c r="H17" s="27" t="s">
        <v>42</v>
      </c>
      <c r="I17" s="29"/>
    </row>
  </sheetData>
  <customSheetViews>
    <customSheetView guid="{75476AD5-ADDD-46AF-8FEE-3751C92C75AE}" filter="1" showAutoFilter="1">
      <pageMargins left="0.511811024" right="0.511811024" top="0.78740157499999996" bottom="0.78740157499999996" header="0.31496062000000002" footer="0.31496062000000002"/>
      <autoFilter ref="A2:AQ23" xr:uid="{00000000-0000-0000-0000-000000000000}">
        <filterColumn colId="3">
          <filters>
            <filter val="GURINHEM"/>
          </filters>
        </filterColumn>
      </autoFilter>
    </customSheetView>
  </customSheetViews>
  <mergeCells count="1">
    <mergeCell ref="A1:C1"/>
  </mergeCells>
  <conditionalFormatting sqref="D3:H17">
    <cfRule type="expression" dxfId="2" priority="32">
      <formula>#REF!="CANCELADA"</formula>
    </cfRule>
  </conditionalFormatting>
  <conditionalFormatting sqref="D3:H17">
    <cfRule type="expression" dxfId="1" priority="34">
      <formula>#REF!="SUSPENSA"</formula>
    </cfRule>
  </conditionalFormatting>
  <pageMargins left="0.511811024" right="0.511811024" top="0.78740157499999996" bottom="0.78740157499999996" header="0.31496062000000002" footer="0.31496062000000002"/>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AA84F"/>
    <outlinePr summaryBelow="0"/>
  </sheetPr>
  <dimension ref="A1:O684"/>
  <sheetViews>
    <sheetView showGridLines="0" workbookViewId="0">
      <pane ySplit="2" topLeftCell="A3" activePane="bottomLeft" state="frozen"/>
      <selection pane="bottomLeft" activeCell="B4" sqref="B4"/>
    </sheetView>
  </sheetViews>
  <sheetFormatPr defaultColWidth="12.54296875" defaultRowHeight="15.75" customHeight="1" outlineLevelCol="1" x14ac:dyDescent="0.25"/>
  <cols>
    <col min="1" max="1" width="20.1796875" customWidth="1" outlineLevel="1"/>
    <col min="2" max="2" width="22.54296875" customWidth="1" outlineLevel="1"/>
    <col min="3" max="3" width="18.81640625" customWidth="1"/>
    <col min="4" max="4" width="43.81640625" customWidth="1"/>
    <col min="6" max="6" width="31.453125" customWidth="1"/>
    <col min="7" max="8" width="50.1796875" customWidth="1"/>
    <col min="10" max="10" width="22.54296875" customWidth="1"/>
    <col min="11" max="12" width="37.54296875" customWidth="1"/>
    <col min="13" max="14" width="18.81640625" customWidth="1"/>
  </cols>
  <sheetData>
    <row r="1" spans="1:15" ht="22.5" customHeight="1" x14ac:dyDescent="0.25">
      <c r="A1" s="33" t="s">
        <v>66</v>
      </c>
      <c r="B1" s="34">
        <f t="shared" ref="B1:N1" si="0">A1+1</f>
        <v>2</v>
      </c>
      <c r="C1" s="34">
        <f t="shared" si="0"/>
        <v>3</v>
      </c>
      <c r="D1" s="34">
        <f t="shared" si="0"/>
        <v>4</v>
      </c>
      <c r="E1" s="34">
        <f t="shared" si="0"/>
        <v>5</v>
      </c>
      <c r="F1" s="34">
        <f t="shared" si="0"/>
        <v>6</v>
      </c>
      <c r="G1" s="34">
        <f t="shared" si="0"/>
        <v>7</v>
      </c>
      <c r="H1" s="34">
        <f t="shared" si="0"/>
        <v>8</v>
      </c>
      <c r="I1" s="34">
        <f t="shared" si="0"/>
        <v>9</v>
      </c>
      <c r="J1" s="34">
        <f t="shared" si="0"/>
        <v>10</v>
      </c>
      <c r="K1" s="34">
        <f t="shared" si="0"/>
        <v>11</v>
      </c>
      <c r="L1" s="34">
        <f t="shared" si="0"/>
        <v>12</v>
      </c>
      <c r="M1" s="34">
        <f t="shared" si="0"/>
        <v>13</v>
      </c>
      <c r="N1" s="34">
        <f t="shared" si="0"/>
        <v>14</v>
      </c>
      <c r="O1" s="35"/>
    </row>
    <row r="2" spans="1:15" ht="45" customHeight="1" x14ac:dyDescent="0.25">
      <c r="A2" s="36" t="s">
        <v>0</v>
      </c>
      <c r="B2" s="5" t="s">
        <v>1</v>
      </c>
      <c r="C2" s="5" t="s">
        <v>2</v>
      </c>
      <c r="D2" s="5" t="s">
        <v>3</v>
      </c>
      <c r="E2" s="5" t="s">
        <v>4</v>
      </c>
      <c r="F2" s="5" t="s">
        <v>5</v>
      </c>
      <c r="G2" s="6" t="s">
        <v>6</v>
      </c>
      <c r="H2" s="6" t="s">
        <v>7</v>
      </c>
      <c r="I2" s="32" t="s">
        <v>8</v>
      </c>
      <c r="J2" s="32" t="s">
        <v>9</v>
      </c>
      <c r="K2" s="37" t="s">
        <v>10</v>
      </c>
      <c r="L2" s="37" t="s">
        <v>11</v>
      </c>
      <c r="M2" s="37" t="s">
        <v>12</v>
      </c>
      <c r="N2" s="37" t="s">
        <v>13</v>
      </c>
      <c r="O2" s="35"/>
    </row>
    <row r="3" spans="1:15" ht="37.5" customHeight="1" x14ac:dyDescent="0.25">
      <c r="A3" s="38" t="str">
        <f t="shared" ref="A3:A684" ca="1" si="1">IF(B3="","",F3&amp;"/"&amp;G3&amp;"/"&amp;H3&amp;"/"&amp;I3)</f>
        <v>JOAO PESSOA/ASSOCIACAO BENEFICENTE SAO JOSE/VENDEDOR/TARDE</v>
      </c>
      <c r="B3" s="2" t="str">
        <f ca="1">IFERROR(__xludf.DUMMYFUNCTION("QUERY(CONVOCADOS!$C$3:$X684,""SELECT Col1,Col7,Col8,Col9,Col3,Col4,Col5,Col6,Col21,Col16,Col17,Col18,Col19 WHERE Col9='PROFESSOR' AND Col22='NÃO'"",0)"),"004/2025/049.737.154-50")</f>
        <v>004/2025/049.737.154-50</v>
      </c>
      <c r="C3" s="2" t="str">
        <f ca="1">IFERROR(__xludf.DUMMYFUNCTION("""COMPUTED_VALUE"""),"049.737.154-50")</f>
        <v>049.737.154-50</v>
      </c>
      <c r="D3" s="2" t="str">
        <f ca="1">IFERROR(__xludf.DUMMYFUNCTION("""COMPUTED_VALUE"""),"SAMIRIA LISSE JACOME DA SILVEIRA")</f>
        <v>SAMIRIA LISSE JACOME DA SILVEIRA</v>
      </c>
      <c r="E3" s="2" t="str">
        <f ca="1">IFERROR(__xludf.DUMMYFUNCTION("""COMPUTED_VALUE"""),"PROFESSOR")</f>
        <v>PROFESSOR</v>
      </c>
      <c r="F3" s="2" t="str">
        <f ca="1">IFERROR(__xludf.DUMMYFUNCTION("""COMPUTED_VALUE"""),"JOAO PESSOA")</f>
        <v>JOAO PESSOA</v>
      </c>
      <c r="G3" s="39" t="str">
        <f ca="1">IFERROR(__xludf.DUMMYFUNCTION("""COMPUTED_VALUE"""),"ASSOCIACAO BENEFICENTE SAO JOSE")</f>
        <v>ASSOCIACAO BENEFICENTE SAO JOSE</v>
      </c>
      <c r="H3" s="39" t="str">
        <f ca="1">IFERROR(__xludf.DUMMYFUNCTION("""COMPUTED_VALUE"""),"VENDEDOR")</f>
        <v>VENDEDOR</v>
      </c>
      <c r="I3" s="11" t="str">
        <f ca="1">IFERROR(__xludf.DUMMYFUNCTION("""COMPUTED_VALUE"""),"TARDE")</f>
        <v>TARDE</v>
      </c>
      <c r="J3" s="11" t="str">
        <f ca="1">IFERROR(__xludf.DUMMYFUNCTION("""COMPUTED_VALUE"""),"POSSE VALIDADA")</f>
        <v>POSSE VALIDADA</v>
      </c>
      <c r="K3" s="11" t="str">
        <f ca="1">IFERROR(__xludf.DUMMYFUNCTION("""COMPUTED_VALUE"""),"samirialisse@gmail.com")</f>
        <v>samirialisse@gmail.com</v>
      </c>
      <c r="L3" s="11" t="str">
        <f ca="1">IFERROR(__xludf.DUMMYFUNCTION("""COMPUTED_VALUE"""),"samiria_lisse@yahoo.com.br")</f>
        <v>samiria_lisse@yahoo.com.br</v>
      </c>
      <c r="M3" s="11" t="str">
        <f ca="1">IFERROR(__xludf.DUMMYFUNCTION("""COMPUTED_VALUE"""),"(84)99143-8860")</f>
        <v>(84)99143-8860</v>
      </c>
      <c r="N3" s="11" t="str">
        <f ca="1">IFERROR(__xludf.DUMMYFUNCTION("""COMPUTED_VALUE"""),"(84)99109-8962")</f>
        <v>(84)99109-8962</v>
      </c>
      <c r="O3" s="35"/>
    </row>
    <row r="4" spans="1:15" ht="37.5" customHeight="1" x14ac:dyDescent="0.25">
      <c r="A4" s="38" t="str">
        <f t="shared" ca="1" si="1"/>
        <v>SAO FRANCISCO/EMEF. FRANCISCO SALES GADELHA DE OLIVEIRA/CUIDADOR INFANTIL/NOITE</v>
      </c>
      <c r="B4" s="2" t="str">
        <f ca="1">IFERROR(__xludf.DUMMYFUNCTION("""COMPUTED_VALUE"""),"004/2025/100.879.724-33")</f>
        <v>004/2025/100.879.724-33</v>
      </c>
      <c r="C4" s="2" t="str">
        <f ca="1">IFERROR(__xludf.DUMMYFUNCTION("""COMPUTED_VALUE"""),"100.879.724-33")</f>
        <v>100.879.724-33</v>
      </c>
      <c r="D4" s="2" t="str">
        <f ca="1">IFERROR(__xludf.DUMMYFUNCTION("""COMPUTED_VALUE"""),"FELIPE LOURENÇO DE SOUSA")</f>
        <v>FELIPE LOURENÇO DE SOUSA</v>
      </c>
      <c r="E4" s="2" t="str">
        <f ca="1">IFERROR(__xludf.DUMMYFUNCTION("""COMPUTED_VALUE"""),"PROFESSOR")</f>
        <v>PROFESSOR</v>
      </c>
      <c r="F4" s="2" t="str">
        <f ca="1">IFERROR(__xludf.DUMMYFUNCTION("""COMPUTED_VALUE"""),"SAO FRANCISCO")</f>
        <v>SAO FRANCISCO</v>
      </c>
      <c r="G4" s="39" t="str">
        <f ca="1">IFERROR(__xludf.DUMMYFUNCTION("""COMPUTED_VALUE"""),"EMEF. FRANCISCO SALES GADELHA DE OLIVEIRA")</f>
        <v>EMEF. FRANCISCO SALES GADELHA DE OLIVEIRA</v>
      </c>
      <c r="H4" s="39" t="str">
        <f ca="1">IFERROR(__xludf.DUMMYFUNCTION("""COMPUTED_VALUE"""),"CUIDADOR INFANTIL")</f>
        <v>CUIDADOR INFANTIL</v>
      </c>
      <c r="I4" s="11" t="str">
        <f ca="1">IFERROR(__xludf.DUMMYFUNCTION("""COMPUTED_VALUE"""),"NOITE")</f>
        <v>NOITE</v>
      </c>
      <c r="J4" s="11" t="str">
        <f ca="1">IFERROR(__xludf.DUMMYFUNCTION("""COMPUTED_VALUE"""),"POSSE VALIDADA")</f>
        <v>POSSE VALIDADA</v>
      </c>
      <c r="K4" s="11" t="str">
        <f ca="1">IFERROR(__xludf.DUMMYFUNCTION("""COMPUTED_VALUE"""),"professor-felipe2011@hotmail.com")</f>
        <v>professor-felipe2011@hotmail.com</v>
      </c>
      <c r="L4" s="11" t="str">
        <f ca="1">IFERROR(__xludf.DUMMYFUNCTION("""COMPUTED_VALUE"""),"felipedeviola@gmail.com")</f>
        <v>felipedeviola@gmail.com</v>
      </c>
      <c r="M4" s="11" t="str">
        <f ca="1">IFERROR(__xludf.DUMMYFUNCTION("""COMPUTED_VALUE"""),"(83)982289053")</f>
        <v>(83)982289053</v>
      </c>
      <c r="N4" s="11" t="str">
        <f ca="1">IFERROR(__xludf.DUMMYFUNCTION("""COMPUTED_VALUE"""),"(83)981258056")</f>
        <v>(83)981258056</v>
      </c>
      <c r="O4" s="35"/>
    </row>
    <row r="5" spans="1:15" ht="37.5" customHeight="1" x14ac:dyDescent="0.25">
      <c r="A5" s="38" t="str">
        <f t="shared" ca="1" si="1"/>
        <v>UIRAUNA/ECIT DR. JOSE DUARTE FILHO/CUIDADOR DE IDOSO/NOITE</v>
      </c>
      <c r="B5" s="2" t="str">
        <f ca="1">IFERROR(__xludf.DUMMYFUNCTION("""COMPUTED_VALUE"""),"004/2025/071.531.824-11")</f>
        <v>004/2025/071.531.824-11</v>
      </c>
      <c r="C5" s="2" t="str">
        <f ca="1">IFERROR(__xludf.DUMMYFUNCTION("""COMPUTED_VALUE"""),"071.531.824-11")</f>
        <v>071.531.824-11</v>
      </c>
      <c r="D5" s="2" t="str">
        <f ca="1">IFERROR(__xludf.DUMMYFUNCTION("""COMPUTED_VALUE"""),"PALOMA LEITE DA SILVA")</f>
        <v>PALOMA LEITE DA SILVA</v>
      </c>
      <c r="E5" s="2" t="str">
        <f ca="1">IFERROR(__xludf.DUMMYFUNCTION("""COMPUTED_VALUE"""),"PROFESSOR")</f>
        <v>PROFESSOR</v>
      </c>
      <c r="F5" s="2" t="str">
        <f ca="1">IFERROR(__xludf.DUMMYFUNCTION("""COMPUTED_VALUE"""),"UIRAUNA")</f>
        <v>UIRAUNA</v>
      </c>
      <c r="G5" s="39" t="str">
        <f ca="1">IFERROR(__xludf.DUMMYFUNCTION("""COMPUTED_VALUE"""),"ECIT DR. JOSE DUARTE FILHO")</f>
        <v>ECIT DR. JOSE DUARTE FILHO</v>
      </c>
      <c r="H5" s="39" t="str">
        <f ca="1">IFERROR(__xludf.DUMMYFUNCTION("""COMPUTED_VALUE"""),"CUIDADOR DE IDOSO")</f>
        <v>CUIDADOR DE IDOSO</v>
      </c>
      <c r="I5" s="11" t="str">
        <f ca="1">IFERROR(__xludf.DUMMYFUNCTION("""COMPUTED_VALUE"""),"NOITE")</f>
        <v>NOITE</v>
      </c>
      <c r="J5" s="11" t="str">
        <f ca="1">IFERROR(__xludf.DUMMYFUNCTION("""COMPUTED_VALUE"""),"POSSE VALIDADA")</f>
        <v>POSSE VALIDADA</v>
      </c>
      <c r="K5" s="11" t="str">
        <f ca="1">IFERROR(__xludf.DUMMYFUNCTION("""COMPUTED_VALUE"""),"leitepaloma@yahoo.com.br")</f>
        <v>leitepaloma@yahoo.com.br</v>
      </c>
      <c r="L5" s="11" t="str">
        <f ca="1">IFERROR(__xludf.DUMMYFUNCTION("""COMPUTED_VALUE"""),"leitepaloma@yahoo.com.br")</f>
        <v>leitepaloma@yahoo.com.br</v>
      </c>
      <c r="M5" s="11" t="str">
        <f ca="1">IFERROR(__xludf.DUMMYFUNCTION("""COMPUTED_VALUE"""),"(83)996230704")</f>
        <v>(83)996230704</v>
      </c>
      <c r="N5" s="11" t="str">
        <f ca="1">IFERROR(__xludf.DUMMYFUNCTION("""COMPUTED_VALUE"""),"(83)996230704")</f>
        <v>(83)996230704</v>
      </c>
      <c r="O5" s="35"/>
    </row>
    <row r="6" spans="1:15" ht="37.5" customHeight="1" x14ac:dyDescent="0.25">
      <c r="A6" s="38" t="str">
        <f t="shared" ca="1" si="1"/>
        <v>BAYEUX/CENTRO DE CONVIVENCIA DOM HELDER/ASSISTENTE ESCOLAR/TARDE</v>
      </c>
      <c r="B6" s="2" t="str">
        <f ca="1">IFERROR(__xludf.DUMMYFUNCTION("""COMPUTED_VALUE"""),"004/2025/113.390.074-79")</f>
        <v>004/2025/113.390.074-79</v>
      </c>
      <c r="C6" s="2" t="str">
        <f ca="1">IFERROR(__xludf.DUMMYFUNCTION("""COMPUTED_VALUE"""),"113.390.074-79")</f>
        <v>113.390.074-79</v>
      </c>
      <c r="D6" s="2" t="str">
        <f ca="1">IFERROR(__xludf.DUMMYFUNCTION("""COMPUTED_VALUE"""),"FRANCISCO RIBEIRO DOS SANTOS JUNIOR")</f>
        <v>FRANCISCO RIBEIRO DOS SANTOS JUNIOR</v>
      </c>
      <c r="E6" s="2" t="str">
        <f ca="1">IFERROR(__xludf.DUMMYFUNCTION("""COMPUTED_VALUE"""),"PROFESSOR")</f>
        <v>PROFESSOR</v>
      </c>
      <c r="F6" s="2" t="str">
        <f ca="1">IFERROR(__xludf.DUMMYFUNCTION("""COMPUTED_VALUE"""),"BAYEUX")</f>
        <v>BAYEUX</v>
      </c>
      <c r="G6" s="39" t="str">
        <f ca="1">IFERROR(__xludf.DUMMYFUNCTION("""COMPUTED_VALUE"""),"CENTRO DE CONVIVENCIA DOM HELDER")</f>
        <v>CENTRO DE CONVIVENCIA DOM HELDER</v>
      </c>
      <c r="H6" s="39" t="str">
        <f ca="1">IFERROR(__xludf.DUMMYFUNCTION("""COMPUTED_VALUE"""),"ASSISTENTE ESCOLAR")</f>
        <v>ASSISTENTE ESCOLAR</v>
      </c>
      <c r="I6" s="11" t="str">
        <f ca="1">IFERROR(__xludf.DUMMYFUNCTION("""COMPUTED_VALUE"""),"TARDE")</f>
        <v>TARDE</v>
      </c>
      <c r="J6" s="11" t="str">
        <f ca="1">IFERROR(__xludf.DUMMYFUNCTION("""COMPUTED_VALUE"""),"POSSE VALIDADA")</f>
        <v>POSSE VALIDADA</v>
      </c>
      <c r="K6" s="11" t="str">
        <f ca="1">IFERROR(__xludf.DUMMYFUNCTION("""COMPUTED_VALUE"""),"ribeiro.juniorsantos@gmail.com")</f>
        <v>ribeiro.juniorsantos@gmail.com</v>
      </c>
      <c r="L6" s="11" t="str">
        <f ca="1">IFERROR(__xludf.DUMMYFUNCTION("""COMPUTED_VALUE"""),"ribeiro.juniorsantos@gmail.com")</f>
        <v>ribeiro.juniorsantos@gmail.com</v>
      </c>
      <c r="M6" s="11" t="str">
        <f ca="1">IFERROR(__xludf.DUMMYFUNCTION("""COMPUTED_VALUE"""),"(83)98123-0849")</f>
        <v>(83)98123-0849</v>
      </c>
      <c r="N6" s="11" t="str">
        <f ca="1">IFERROR(__xludf.DUMMYFUNCTION("""COMPUTED_VALUE"""),"(83)98854-7720")</f>
        <v>(83)98854-7720</v>
      </c>
      <c r="O6" s="35"/>
    </row>
    <row r="7" spans="1:15" ht="37.5" customHeight="1" x14ac:dyDescent="0.25">
      <c r="A7" s="38" t="str">
        <f t="shared" ca="1" si="1"/>
        <v>BAIA DA TRAICAO/EMEF CENTRO SOCIAL SAO MIGUEL/AGRICULTOR ORGANICO/TARDE</v>
      </c>
      <c r="B7" s="2" t="str">
        <f ca="1">IFERROR(__xludf.DUMMYFUNCTION("""COMPUTED_VALUE"""),"004/2025/701.307.224-99")</f>
        <v>004/2025/701.307.224-99</v>
      </c>
      <c r="C7" s="2" t="str">
        <f ca="1">IFERROR(__xludf.DUMMYFUNCTION("""COMPUTED_VALUE"""),"701.307.224-99")</f>
        <v>701.307.224-99</v>
      </c>
      <c r="D7" s="2" t="str">
        <f ca="1">IFERROR(__xludf.DUMMYFUNCTION("""COMPUTED_VALUE"""),"IHEDILLA HUMBERTA SINESIO CANDIDO DA SILVA")</f>
        <v>IHEDILLA HUMBERTA SINESIO CANDIDO DA SILVA</v>
      </c>
      <c r="E7" s="2" t="str">
        <f ca="1">IFERROR(__xludf.DUMMYFUNCTION("""COMPUTED_VALUE"""),"PROFESSOR")</f>
        <v>PROFESSOR</v>
      </c>
      <c r="F7" s="2" t="str">
        <f ca="1">IFERROR(__xludf.DUMMYFUNCTION("""COMPUTED_VALUE"""),"BAIA DA TRAICAO")</f>
        <v>BAIA DA TRAICAO</v>
      </c>
      <c r="G7" s="39" t="str">
        <f ca="1">IFERROR(__xludf.DUMMYFUNCTION("""COMPUTED_VALUE"""),"EMEF CENTRO SOCIAL SAO MIGUEL")</f>
        <v>EMEF CENTRO SOCIAL SAO MIGUEL</v>
      </c>
      <c r="H7" s="39" t="str">
        <f ca="1">IFERROR(__xludf.DUMMYFUNCTION("""COMPUTED_VALUE"""),"AGRICULTOR ORGANICO")</f>
        <v>AGRICULTOR ORGANICO</v>
      </c>
      <c r="I7" s="11" t="str">
        <f ca="1">IFERROR(__xludf.DUMMYFUNCTION("""COMPUTED_VALUE"""),"TARDE")</f>
        <v>TARDE</v>
      </c>
      <c r="J7" s="11" t="str">
        <f ca="1">IFERROR(__xludf.DUMMYFUNCTION("""COMPUTED_VALUE"""),"POSSE VALIDADA")</f>
        <v>POSSE VALIDADA</v>
      </c>
      <c r="K7" s="11" t="str">
        <f ca="1">IFERROR(__xludf.DUMMYFUNCTION("""COMPUTED_VALUE"""),"ihedilla.silva@ufv.br")</f>
        <v>ihedilla.silva@ufv.br</v>
      </c>
      <c r="L7" s="11" t="str">
        <f ca="1">IFERROR(__xludf.DUMMYFUNCTION("""COMPUTED_VALUE"""),"ihedillah@gmail.com")</f>
        <v>ihedillah@gmail.com</v>
      </c>
      <c r="M7" s="11" t="str">
        <f ca="1">IFERROR(__xludf.DUMMYFUNCTION("""COMPUTED_VALUE"""),"(83)998365142")</f>
        <v>(83)998365142</v>
      </c>
      <c r="N7" s="11" t="str">
        <f ca="1">IFERROR(__xludf.DUMMYFUNCTION("""COMPUTED_VALUE"""),"(83)998365142")</f>
        <v>(83)998365142</v>
      </c>
      <c r="O7" s="35"/>
    </row>
    <row r="8" spans="1:15" ht="37.5" customHeight="1" x14ac:dyDescent="0.25">
      <c r="A8" s="38" t="str">
        <f t="shared" ca="1" si="1"/>
        <v>CAMPINA GRANDE/EEEFM SEN ARGEMIRO DE FIGUEIREDO/VENDEDOR/NOITE</v>
      </c>
      <c r="B8" s="2" t="str">
        <f ca="1">IFERROR(__xludf.DUMMYFUNCTION("""COMPUTED_VALUE"""),"004/2025/080.767.244-06")</f>
        <v>004/2025/080.767.244-06</v>
      </c>
      <c r="C8" s="2" t="str">
        <f ca="1">IFERROR(__xludf.DUMMYFUNCTION("""COMPUTED_VALUE"""),"080.767.244-06")</f>
        <v>080.767.244-06</v>
      </c>
      <c r="D8" s="2" t="str">
        <f ca="1">IFERROR(__xludf.DUMMYFUNCTION("""COMPUTED_VALUE"""),"MARCILIO MARCIO SILVA CORREIA")</f>
        <v>MARCILIO MARCIO SILVA CORREIA</v>
      </c>
      <c r="E8" s="2" t="str">
        <f ca="1">IFERROR(__xludf.DUMMYFUNCTION("""COMPUTED_VALUE"""),"PROFESSOR")</f>
        <v>PROFESSOR</v>
      </c>
      <c r="F8" s="2" t="str">
        <f ca="1">IFERROR(__xludf.DUMMYFUNCTION("""COMPUTED_VALUE"""),"CAMPINA GRANDE")</f>
        <v>CAMPINA GRANDE</v>
      </c>
      <c r="G8" s="39" t="str">
        <f ca="1">IFERROR(__xludf.DUMMYFUNCTION("""COMPUTED_VALUE"""),"EEEFM SEN ARGEMIRO DE FIGUEIREDO")</f>
        <v>EEEFM SEN ARGEMIRO DE FIGUEIREDO</v>
      </c>
      <c r="H8" s="39" t="str">
        <f ca="1">IFERROR(__xludf.DUMMYFUNCTION("""COMPUTED_VALUE"""),"VENDEDOR")</f>
        <v>VENDEDOR</v>
      </c>
      <c r="I8" s="11" t="str">
        <f ca="1">IFERROR(__xludf.DUMMYFUNCTION("""COMPUTED_VALUE"""),"NOITE")</f>
        <v>NOITE</v>
      </c>
      <c r="J8" s="11" t="str">
        <f ca="1">IFERROR(__xludf.DUMMYFUNCTION("""COMPUTED_VALUE"""),"POSSE VALIDADA")</f>
        <v>POSSE VALIDADA</v>
      </c>
      <c r="K8" s="11" t="str">
        <f ca="1">IFERROR(__xludf.DUMMYFUNCTION("""COMPUTED_VALUE"""),"marciliocorreia.professor@gmail.com")</f>
        <v>marciliocorreia.professor@gmail.com</v>
      </c>
      <c r="L8" s="11"/>
      <c r="M8" s="11" t="str">
        <f ca="1">IFERROR(__xludf.DUMMYFUNCTION("""COMPUTED_VALUE"""),"(83)99615-7692")</f>
        <v>(83)99615-7692</v>
      </c>
      <c r="N8" s="11" t="str">
        <f ca="1">IFERROR(__xludf.DUMMYFUNCTION("""COMPUTED_VALUE"""),"(83)98809-7658")</f>
        <v>(83)98809-7658</v>
      </c>
      <c r="O8" s="35"/>
    </row>
    <row r="9" spans="1:15" ht="37.5" customHeight="1" x14ac:dyDescent="0.25">
      <c r="A9" s="38" t="str">
        <f t="shared" ca="1" si="1"/>
        <v>JOAO PESSOA/GERENCIA EXECUTIVA DE RESSOCIALIZACAO ( SEAP)/AGENTE DE DESENVOLVIMENTO COOPERATIVISTA/TARDE</v>
      </c>
      <c r="B9" s="2" t="str">
        <f ca="1">IFERROR(__xludf.DUMMYFUNCTION("""COMPUTED_VALUE"""),"004/2025/055.870.144-28")</f>
        <v>004/2025/055.870.144-28</v>
      </c>
      <c r="C9" s="2" t="str">
        <f ca="1">IFERROR(__xludf.DUMMYFUNCTION("""COMPUTED_VALUE"""),"055.870.144-28")</f>
        <v>055.870.144-28</v>
      </c>
      <c r="D9" s="2" t="str">
        <f ca="1">IFERROR(__xludf.DUMMYFUNCTION("""COMPUTED_VALUE"""),"DANUBIA LEITE FERREIRA")</f>
        <v>DANUBIA LEITE FERREIRA</v>
      </c>
      <c r="E9" s="2" t="str">
        <f ca="1">IFERROR(__xludf.DUMMYFUNCTION("""COMPUTED_VALUE"""),"PROFESSOR")</f>
        <v>PROFESSOR</v>
      </c>
      <c r="F9" s="2" t="str">
        <f ca="1">IFERROR(__xludf.DUMMYFUNCTION("""COMPUTED_VALUE"""),"JOAO PESSOA")</f>
        <v>JOAO PESSOA</v>
      </c>
      <c r="G9" s="39" t="str">
        <f ca="1">IFERROR(__xludf.DUMMYFUNCTION("""COMPUTED_VALUE"""),"GERENCIA EXECUTIVA DE RESSOCIALIZACAO ( SEAP)")</f>
        <v>GERENCIA EXECUTIVA DE RESSOCIALIZACAO ( SEAP)</v>
      </c>
      <c r="H9" s="39" t="str">
        <f ca="1">IFERROR(__xludf.DUMMYFUNCTION("""COMPUTED_VALUE"""),"AGENTE DE DESENVOLVIMENTO COOPERATIVISTA")</f>
        <v>AGENTE DE DESENVOLVIMENTO COOPERATIVISTA</v>
      </c>
      <c r="I9" s="11" t="str">
        <f ca="1">IFERROR(__xludf.DUMMYFUNCTION("""COMPUTED_VALUE"""),"TARDE")</f>
        <v>TARDE</v>
      </c>
      <c r="J9" s="11" t="str">
        <f ca="1">IFERROR(__xludf.DUMMYFUNCTION("""COMPUTED_VALUE"""),"POSSE VALIDADA")</f>
        <v>POSSE VALIDADA</v>
      </c>
      <c r="K9" s="11" t="str">
        <f ca="1">IFERROR(__xludf.DUMMYFUNCTION("""COMPUTED_VALUE"""),"danubialeite14@gmail.com")</f>
        <v>danubialeite14@gmail.com</v>
      </c>
      <c r="L9" s="11" t="str">
        <f ca="1">IFERROR(__xludf.DUMMYFUNCTION("""COMPUTED_VALUE"""),"danubialeite86@hotmail.com")</f>
        <v>danubialeite86@hotmail.com</v>
      </c>
      <c r="M9" s="11" t="str">
        <f ca="1">IFERROR(__xludf.DUMMYFUNCTION("""COMPUTED_VALUE"""),"(83)98894-3761")</f>
        <v>(83)98894-3761</v>
      </c>
      <c r="N9" s="11" t="str">
        <f ca="1">IFERROR(__xludf.DUMMYFUNCTION("""COMPUTED_VALUE"""),"(83)988014480")</f>
        <v>(83)988014480</v>
      </c>
      <c r="O9" s="35"/>
    </row>
    <row r="10" spans="1:15" ht="37.5" customHeight="1" x14ac:dyDescent="0.25">
      <c r="A10" s="38" t="str">
        <f t="shared" ca="1" si="1"/>
        <v>JOAO PESSOA/CENTRO SOCIAL URBANO MONSENHOR JOSE COUTINHO - BAIRRO DOS IPES/CUIDADOR INFANTIL/TARDE</v>
      </c>
      <c r="B10" s="2" t="str">
        <f ca="1">IFERROR(__xludf.DUMMYFUNCTION("""COMPUTED_VALUE"""),"004/2025/110.746.464-10")</f>
        <v>004/2025/110.746.464-10</v>
      </c>
      <c r="C10" s="2" t="str">
        <f ca="1">IFERROR(__xludf.DUMMYFUNCTION("""COMPUTED_VALUE"""),"110.746.464-10")</f>
        <v>110.746.464-10</v>
      </c>
      <c r="D10" s="2" t="str">
        <f ca="1">IFERROR(__xludf.DUMMYFUNCTION("""COMPUTED_VALUE"""),"MARIA RITA CHAVES PEREIRA NUNES")</f>
        <v>MARIA RITA CHAVES PEREIRA NUNES</v>
      </c>
      <c r="E10" s="2" t="str">
        <f ca="1">IFERROR(__xludf.DUMMYFUNCTION("""COMPUTED_VALUE"""),"PROFESSOR")</f>
        <v>PROFESSOR</v>
      </c>
      <c r="F10" s="2" t="str">
        <f ca="1">IFERROR(__xludf.DUMMYFUNCTION("""COMPUTED_VALUE"""),"JOAO PESSOA")</f>
        <v>JOAO PESSOA</v>
      </c>
      <c r="G10" s="39" t="str">
        <f ca="1">IFERROR(__xludf.DUMMYFUNCTION("""COMPUTED_VALUE"""),"CENTRO SOCIAL URBANO MONSENHOR JOSE COUTINHO - BAIRRO DOS IPES")</f>
        <v>CENTRO SOCIAL URBANO MONSENHOR JOSE COUTINHO - BAIRRO DOS IPES</v>
      </c>
      <c r="H10" s="39" t="str">
        <f ca="1">IFERROR(__xludf.DUMMYFUNCTION("""COMPUTED_VALUE"""),"CUIDADOR INFANTIL")</f>
        <v>CUIDADOR INFANTIL</v>
      </c>
      <c r="I10" s="11" t="str">
        <f ca="1">IFERROR(__xludf.DUMMYFUNCTION("""COMPUTED_VALUE"""),"TARDE")</f>
        <v>TARDE</v>
      </c>
      <c r="J10" s="11" t="str">
        <f ca="1">IFERROR(__xludf.DUMMYFUNCTION("""COMPUTED_VALUE"""),"POSSE VALIDADA")</f>
        <v>POSSE VALIDADA</v>
      </c>
      <c r="K10" s="11" t="str">
        <f ca="1">IFERROR(__xludf.DUMMYFUNCTION("""COMPUTED_VALUE"""),"ritinhachaves4@gmail.com")</f>
        <v>ritinhachaves4@gmail.com</v>
      </c>
      <c r="L10" s="11"/>
      <c r="M10" s="11" t="str">
        <f ca="1">IFERROR(__xludf.DUMMYFUNCTION("""COMPUTED_VALUE"""),"(83)99893-9196")</f>
        <v>(83)99893-9196</v>
      </c>
      <c r="N10" s="11" t="str">
        <f ca="1">IFERROR(__xludf.DUMMYFUNCTION("""COMPUTED_VALUE"""),"(83)99908-5912")</f>
        <v>(83)99908-5912</v>
      </c>
      <c r="O10" s="35"/>
    </row>
    <row r="11" spans="1:15" ht="37.5" customHeight="1" x14ac:dyDescent="0.25">
      <c r="A11" s="38" t="str">
        <f t="shared" ca="1" si="1"/>
        <v>AREIA/ASSENTAMENTO UNIAO/AGENTE DE DESENVOLVIMENTO COOPERATIVISTA/TARDE</v>
      </c>
      <c r="B11" s="2" t="str">
        <f ca="1">IFERROR(__xludf.DUMMYFUNCTION("""COMPUTED_VALUE"""),"004/2025/032.924.404-32")</f>
        <v>004/2025/032.924.404-32</v>
      </c>
      <c r="C11" s="2" t="str">
        <f ca="1">IFERROR(__xludf.DUMMYFUNCTION("""COMPUTED_VALUE"""),"032.924.404-32")</f>
        <v>032.924.404-32</v>
      </c>
      <c r="D11" s="2" t="str">
        <f ca="1">IFERROR(__xludf.DUMMYFUNCTION("""COMPUTED_VALUE"""),"ANDREIA LOURENÇO DA SILVA")</f>
        <v>ANDREIA LOURENÇO DA SILVA</v>
      </c>
      <c r="E11" s="2" t="str">
        <f ca="1">IFERROR(__xludf.DUMMYFUNCTION("""COMPUTED_VALUE"""),"PROFESSOR")</f>
        <v>PROFESSOR</v>
      </c>
      <c r="F11" s="2" t="str">
        <f ca="1">IFERROR(__xludf.DUMMYFUNCTION("""COMPUTED_VALUE"""),"AREIA")</f>
        <v>AREIA</v>
      </c>
      <c r="G11" s="39" t="str">
        <f ca="1">IFERROR(__xludf.DUMMYFUNCTION("""COMPUTED_VALUE"""),"ASSENTAMENTO UNIAO")</f>
        <v>ASSENTAMENTO UNIAO</v>
      </c>
      <c r="H11" s="39" t="str">
        <f ca="1">IFERROR(__xludf.DUMMYFUNCTION("""COMPUTED_VALUE"""),"AGENTE DE DESENVOLVIMENTO COOPERATIVISTA")</f>
        <v>AGENTE DE DESENVOLVIMENTO COOPERATIVISTA</v>
      </c>
      <c r="I11" s="11" t="str">
        <f ca="1">IFERROR(__xludf.DUMMYFUNCTION("""COMPUTED_VALUE"""),"TARDE")</f>
        <v>TARDE</v>
      </c>
      <c r="J11" s="11" t="str">
        <f ca="1">IFERROR(__xludf.DUMMYFUNCTION("""COMPUTED_VALUE"""),"POSSE VALIDADA")</f>
        <v>POSSE VALIDADA</v>
      </c>
      <c r="K11" s="11" t="str">
        <f ca="1">IFERROR(__xludf.DUMMYFUNCTION("""COMPUTED_VALUE"""),"andtutorabap@gmail.com")</f>
        <v>andtutorabap@gmail.com</v>
      </c>
      <c r="L11" s="11" t="str">
        <f ca="1">IFERROR(__xludf.DUMMYFUNCTION("""COMPUTED_VALUE"""),"andloureno@yahoo.com.br")</f>
        <v>andloureno@yahoo.com.br</v>
      </c>
      <c r="M11" s="11" t="str">
        <f ca="1">IFERROR(__xludf.DUMMYFUNCTION("""COMPUTED_VALUE"""),"(83)996470791")</f>
        <v>(83)996470791</v>
      </c>
      <c r="N11" s="11"/>
      <c r="O11" s="35"/>
    </row>
    <row r="12" spans="1:15" ht="37.5" customHeight="1" x14ac:dyDescent="0.25">
      <c r="A12" s="38" t="str">
        <f t="shared" ca="1" si="1"/>
        <v>AREIA/ASSENTAMENTO MULHERES EM ACAO/AGENTE DE DESENVOLVIMENTO COOPERATIVISTA/TARDE</v>
      </c>
      <c r="B12" s="2" t="str">
        <f ca="1">IFERROR(__xludf.DUMMYFUNCTION("""COMPUTED_VALUE"""),"004/2025/016.833.804-10")</f>
        <v>004/2025/016.833.804-10</v>
      </c>
      <c r="C12" s="2" t="str">
        <f ca="1">IFERROR(__xludf.DUMMYFUNCTION("""COMPUTED_VALUE"""),"016.833.804-10")</f>
        <v>016.833.804-10</v>
      </c>
      <c r="D12" s="2" t="str">
        <f ca="1">IFERROR(__xludf.DUMMYFUNCTION("""COMPUTED_VALUE"""),"LELIA NOGUEIRA DA SILVA")</f>
        <v>LELIA NOGUEIRA DA SILVA</v>
      </c>
      <c r="E12" s="2" t="str">
        <f ca="1">IFERROR(__xludf.DUMMYFUNCTION("""COMPUTED_VALUE"""),"PROFESSOR")</f>
        <v>PROFESSOR</v>
      </c>
      <c r="F12" s="2" t="str">
        <f ca="1">IFERROR(__xludf.DUMMYFUNCTION("""COMPUTED_VALUE"""),"AREIA")</f>
        <v>AREIA</v>
      </c>
      <c r="G12" s="39" t="str">
        <f ca="1">IFERROR(__xludf.DUMMYFUNCTION("""COMPUTED_VALUE"""),"ASSENTAMENTO MULHERES EM ACAO")</f>
        <v>ASSENTAMENTO MULHERES EM ACAO</v>
      </c>
      <c r="H12" s="39" t="str">
        <f ca="1">IFERROR(__xludf.DUMMYFUNCTION("""COMPUTED_VALUE"""),"AGENTE DE DESENVOLVIMENTO COOPERATIVISTA")</f>
        <v>AGENTE DE DESENVOLVIMENTO COOPERATIVISTA</v>
      </c>
      <c r="I12" s="11" t="str">
        <f ca="1">IFERROR(__xludf.DUMMYFUNCTION("""COMPUTED_VALUE"""),"TARDE")</f>
        <v>TARDE</v>
      </c>
      <c r="J12" s="11" t="str">
        <f ca="1">IFERROR(__xludf.DUMMYFUNCTION("""COMPUTED_VALUE"""),"POSSE VALIDADA")</f>
        <v>POSSE VALIDADA</v>
      </c>
      <c r="K12" s="11" t="str">
        <f ca="1">IFERROR(__xludf.DUMMYFUNCTION("""COMPUTED_VALUE"""),"Lelianogueira1992@gmail.com")</f>
        <v>Lelianogueira1992@gmail.com</v>
      </c>
      <c r="L12" s="11" t="str">
        <f ca="1">IFERROR(__xludf.DUMMYFUNCTION("""COMPUTED_VALUE"""),"leliatorres07@gmail.com")</f>
        <v>leliatorres07@gmail.com</v>
      </c>
      <c r="M12" s="11" t="str">
        <f ca="1">IFERROR(__xludf.DUMMYFUNCTION("""COMPUTED_VALUE"""),"(83)996372177")</f>
        <v>(83)996372177</v>
      </c>
      <c r="N12" s="11" t="str">
        <f ca="1">IFERROR(__xludf.DUMMYFUNCTION("""COMPUTED_VALUE"""),"(83)999121605")</f>
        <v>(83)999121605</v>
      </c>
      <c r="O12" s="35"/>
    </row>
    <row r="13" spans="1:15" ht="37.5" customHeight="1" x14ac:dyDescent="0.25">
      <c r="A13" s="38" t="str">
        <f t="shared" ca="1" si="1"/>
        <v>BAYEUX/CENTRO DE CONVIVENCIA DOM HELDER/ASSISTENTE ESCOLAR/TARDE</v>
      </c>
      <c r="B13" s="2" t="str">
        <f ca="1">IFERROR(__xludf.DUMMYFUNCTION("""COMPUTED_VALUE"""),"004/2025/027.703.214-80")</f>
        <v>004/2025/027.703.214-80</v>
      </c>
      <c r="C13" s="2" t="str">
        <f ca="1">IFERROR(__xludf.DUMMYFUNCTION("""COMPUTED_VALUE"""),"027.703.214-80")</f>
        <v>027.703.214-80</v>
      </c>
      <c r="D13" s="2" t="str">
        <f ca="1">IFERROR(__xludf.DUMMYFUNCTION("""COMPUTED_VALUE"""),"ANTONIO HENRIQUE CARNEIRO ARAUJO")</f>
        <v>ANTONIO HENRIQUE CARNEIRO ARAUJO</v>
      </c>
      <c r="E13" s="2" t="str">
        <f ca="1">IFERROR(__xludf.DUMMYFUNCTION("""COMPUTED_VALUE"""),"PROFESSOR")</f>
        <v>PROFESSOR</v>
      </c>
      <c r="F13" s="2" t="str">
        <f ca="1">IFERROR(__xludf.DUMMYFUNCTION("""COMPUTED_VALUE"""),"BAYEUX")</f>
        <v>BAYEUX</v>
      </c>
      <c r="G13" s="39" t="str">
        <f ca="1">IFERROR(__xludf.DUMMYFUNCTION("""COMPUTED_VALUE"""),"CENTRO DE CONVIVENCIA DOM HELDER")</f>
        <v>CENTRO DE CONVIVENCIA DOM HELDER</v>
      </c>
      <c r="H13" s="39" t="str">
        <f ca="1">IFERROR(__xludf.DUMMYFUNCTION("""COMPUTED_VALUE"""),"ASSISTENTE ESCOLAR")</f>
        <v>ASSISTENTE ESCOLAR</v>
      </c>
      <c r="I13" s="11" t="str">
        <f ca="1">IFERROR(__xludf.DUMMYFUNCTION("""COMPUTED_VALUE"""),"TARDE")</f>
        <v>TARDE</v>
      </c>
      <c r="J13" s="11" t="str">
        <f ca="1">IFERROR(__xludf.DUMMYFUNCTION("""COMPUTED_VALUE"""),"DOCUMENTAÇÃO NÃO ENVIADA")</f>
        <v>DOCUMENTAÇÃO NÃO ENVIADA</v>
      </c>
      <c r="K13" s="11" t="str">
        <f ca="1">IFERROR(__xludf.DUMMYFUNCTION("""COMPUTED_VALUE"""),"antoniohenriquepb2@gmail.com")</f>
        <v>antoniohenriquepb2@gmail.com</v>
      </c>
      <c r="L13" s="11" t="str">
        <f ca="1">IFERROR(__xludf.DUMMYFUNCTION("""COMPUTED_VALUE"""),"antoniohenriquepb5@gmail.com")</f>
        <v>antoniohenriquepb5@gmail.com</v>
      </c>
      <c r="M13" s="11" t="str">
        <f ca="1">IFERROR(__xludf.DUMMYFUNCTION("""COMPUTED_VALUE"""),"(83)991700261")</f>
        <v>(83)991700261</v>
      </c>
      <c r="N13" s="11" t="str">
        <f ca="1">IFERROR(__xludf.DUMMYFUNCTION("""COMPUTED_VALUE"""),"(83)991684395")</f>
        <v>(83)991684395</v>
      </c>
      <c r="O13" s="35"/>
    </row>
    <row r="14" spans="1:15" ht="37.5" customHeight="1" x14ac:dyDescent="0.25">
      <c r="A14" s="38" t="str">
        <f t="shared" ca="1" si="1"/>
        <v>BAIA DA TRAICAO/EMEF CENTRO SOCIAL SAO MIGUEL/AGRICULTOR ORGANICO/TARDE</v>
      </c>
      <c r="B14" s="2" t="str">
        <f ca="1">IFERROR(__xludf.DUMMYFUNCTION("""COMPUTED_VALUE"""),"004/2025/095.266.124-18")</f>
        <v>004/2025/095.266.124-18</v>
      </c>
      <c r="C14" s="2" t="str">
        <f ca="1">IFERROR(__xludf.DUMMYFUNCTION("""COMPUTED_VALUE"""),"095.266.124-18")</f>
        <v>095.266.124-18</v>
      </c>
      <c r="D14" s="2" t="str">
        <f ca="1">IFERROR(__xludf.DUMMYFUNCTION("""COMPUTED_VALUE"""),"FERNANDO ANTONIO LIMA GOMES")</f>
        <v>FERNANDO ANTONIO LIMA GOMES</v>
      </c>
      <c r="E14" s="2" t="str">
        <f ca="1">IFERROR(__xludf.DUMMYFUNCTION("""COMPUTED_VALUE"""),"PROFESSOR")</f>
        <v>PROFESSOR</v>
      </c>
      <c r="F14" s="2" t="str">
        <f ca="1">IFERROR(__xludf.DUMMYFUNCTION("""COMPUTED_VALUE"""),"BAIA DA TRAICAO")</f>
        <v>BAIA DA TRAICAO</v>
      </c>
      <c r="G14" s="39" t="str">
        <f ca="1">IFERROR(__xludf.DUMMYFUNCTION("""COMPUTED_VALUE"""),"EMEF CENTRO SOCIAL SAO MIGUEL")</f>
        <v>EMEF CENTRO SOCIAL SAO MIGUEL</v>
      </c>
      <c r="H14" s="39" t="str">
        <f ca="1">IFERROR(__xludf.DUMMYFUNCTION("""COMPUTED_VALUE"""),"AGRICULTOR ORGANICO")</f>
        <v>AGRICULTOR ORGANICO</v>
      </c>
      <c r="I14" s="11" t="str">
        <f ca="1">IFERROR(__xludf.DUMMYFUNCTION("""COMPUTED_VALUE"""),"TARDE")</f>
        <v>TARDE</v>
      </c>
      <c r="J14" s="11" t="str">
        <f ca="1">IFERROR(__xludf.DUMMYFUNCTION("""COMPUTED_VALUE"""),"DOCUMENTAÇÃO NÃO ENVIADA")</f>
        <v>DOCUMENTAÇÃO NÃO ENVIADA</v>
      </c>
      <c r="K14" s="11" t="str">
        <f ca="1">IFERROR(__xludf.DUMMYFUNCTION("""COMPUTED_VALUE"""),"nandoagro13@gmail.com")</f>
        <v>nandoagro13@gmail.com</v>
      </c>
      <c r="L14" s="11" t="str">
        <f ca="1">IFERROR(__xludf.DUMMYFUNCTION("""COMPUTED_VALUE"""),"gerlania.melo@gmail.com")</f>
        <v>gerlania.melo@gmail.com</v>
      </c>
      <c r="M14" s="11" t="str">
        <f ca="1">IFERROR(__xludf.DUMMYFUNCTION("""COMPUTED_VALUE"""),"(83)998919397")</f>
        <v>(83)998919397</v>
      </c>
      <c r="N14" s="11"/>
      <c r="O14" s="35"/>
    </row>
    <row r="15" spans="1:15" ht="37.5" customHeight="1" x14ac:dyDescent="0.25">
      <c r="A15" s="38" t="str">
        <f t="shared" ca="1" si="1"/>
        <v>CAJAZEIRAS/CADEIA PUBLICA FEMININA DE CAJAZEIRAS/RECEPCIONISTA/TARDE</v>
      </c>
      <c r="B15" s="2" t="str">
        <f ca="1">IFERROR(__xludf.DUMMYFUNCTION("""COMPUTED_VALUE"""),"004/2025/113.312.544-18")</f>
        <v>004/2025/113.312.544-18</v>
      </c>
      <c r="C15" s="2" t="str">
        <f ca="1">IFERROR(__xludf.DUMMYFUNCTION("""COMPUTED_VALUE"""),"113.312.544-18")</f>
        <v>113.312.544-18</v>
      </c>
      <c r="D15" s="2" t="str">
        <f ca="1">IFERROR(__xludf.DUMMYFUNCTION("""COMPUTED_VALUE"""),"KESSIA JEOVANA SOARES DE ALMEIDA")</f>
        <v>KESSIA JEOVANA SOARES DE ALMEIDA</v>
      </c>
      <c r="E15" s="2" t="str">
        <f ca="1">IFERROR(__xludf.DUMMYFUNCTION("""COMPUTED_VALUE"""),"PROFESSOR")</f>
        <v>PROFESSOR</v>
      </c>
      <c r="F15" s="2" t="str">
        <f ca="1">IFERROR(__xludf.DUMMYFUNCTION("""COMPUTED_VALUE"""),"CAJAZEIRAS")</f>
        <v>CAJAZEIRAS</v>
      </c>
      <c r="G15" s="39" t="str">
        <f ca="1">IFERROR(__xludf.DUMMYFUNCTION("""COMPUTED_VALUE"""),"CADEIA PUBLICA FEMININA DE CAJAZEIRAS")</f>
        <v>CADEIA PUBLICA FEMININA DE CAJAZEIRAS</v>
      </c>
      <c r="H15" s="39" t="str">
        <f ca="1">IFERROR(__xludf.DUMMYFUNCTION("""COMPUTED_VALUE"""),"RECEPCIONISTA")</f>
        <v>RECEPCIONISTA</v>
      </c>
      <c r="I15" s="11" t="str">
        <f ca="1">IFERROR(__xludf.DUMMYFUNCTION("""COMPUTED_VALUE"""),"TARDE")</f>
        <v>TARDE</v>
      </c>
      <c r="J15" s="11" t="str">
        <f ca="1">IFERROR(__xludf.DUMMYFUNCTION("""COMPUTED_VALUE"""),"POSSE VALIDADA")</f>
        <v>POSSE VALIDADA</v>
      </c>
      <c r="K15" s="11" t="str">
        <f ca="1">IFERROR(__xludf.DUMMYFUNCTION("""COMPUTED_VALUE"""),"k.jeovannatf@gmail.com")</f>
        <v>k.jeovannatf@gmail.com</v>
      </c>
      <c r="L15" s="11" t="str">
        <f ca="1">IFERROR(__xludf.DUMMYFUNCTION("""COMPUTED_VALUE"""),"kessia.almeida@professor.pb.gov.br")</f>
        <v>kessia.almeida@professor.pb.gov.br</v>
      </c>
      <c r="M15" s="11" t="str">
        <f ca="1">IFERROR(__xludf.DUMMYFUNCTION("""COMPUTED_VALUE"""),"(83)99136-7772")</f>
        <v>(83)99136-7772</v>
      </c>
      <c r="N15" s="11" t="str">
        <f ca="1">IFERROR(__xludf.DUMMYFUNCTION("""COMPUTED_VALUE"""),"(83)99159-7886")</f>
        <v>(83)99159-7886</v>
      </c>
      <c r="O15" s="35"/>
    </row>
    <row r="16" spans="1:15" ht="37.5" customHeight="1" x14ac:dyDescent="0.25">
      <c r="A16" s="38" t="str">
        <f t="shared" ca="1" si="1"/>
        <v>CAMPINA GRANDE/EEEFM SEN ARGEMIRO DE FIGUEIREDO/VENDEDOR/NOITE</v>
      </c>
      <c r="B16" s="2" t="str">
        <f ca="1">IFERROR(__xludf.DUMMYFUNCTION("""COMPUTED_VALUE"""),"004/2025/016.713.464-75")</f>
        <v>004/2025/016.713.464-75</v>
      </c>
      <c r="C16" s="2" t="str">
        <f ca="1">IFERROR(__xludf.DUMMYFUNCTION("""COMPUTED_VALUE"""),"016.713.464-75")</f>
        <v>016.713.464-75</v>
      </c>
      <c r="D16" s="2" t="str">
        <f ca="1">IFERROR(__xludf.DUMMYFUNCTION("""COMPUTED_VALUE"""),"JOSE RAFAEL DA SILVA DANTAS")</f>
        <v>JOSE RAFAEL DA SILVA DANTAS</v>
      </c>
      <c r="E16" s="2" t="str">
        <f ca="1">IFERROR(__xludf.DUMMYFUNCTION("""COMPUTED_VALUE"""),"PROFESSOR")</f>
        <v>PROFESSOR</v>
      </c>
      <c r="F16" s="2" t="str">
        <f ca="1">IFERROR(__xludf.DUMMYFUNCTION("""COMPUTED_VALUE"""),"CAMPINA GRANDE")</f>
        <v>CAMPINA GRANDE</v>
      </c>
      <c r="G16" s="39" t="str">
        <f ca="1">IFERROR(__xludf.DUMMYFUNCTION("""COMPUTED_VALUE"""),"EEEFM SEN ARGEMIRO DE FIGUEIREDO")</f>
        <v>EEEFM SEN ARGEMIRO DE FIGUEIREDO</v>
      </c>
      <c r="H16" s="39" t="str">
        <f ca="1">IFERROR(__xludf.DUMMYFUNCTION("""COMPUTED_VALUE"""),"VENDEDOR")</f>
        <v>VENDEDOR</v>
      </c>
      <c r="I16" s="11" t="str">
        <f ca="1">IFERROR(__xludf.DUMMYFUNCTION("""COMPUTED_VALUE"""),"NOITE")</f>
        <v>NOITE</v>
      </c>
      <c r="J16" s="11" t="str">
        <f ca="1">IFERROR(__xludf.DUMMYFUNCTION("""COMPUTED_VALUE"""),"DOCUMENTAÇÃO NÃO ENVIADA")</f>
        <v>DOCUMENTAÇÃO NÃO ENVIADA</v>
      </c>
      <c r="K16" s="11" t="str">
        <f ca="1">IFERROR(__xludf.DUMMYFUNCTION("""COMPUTED_VALUE"""),"jose.dantas02@professor.pb.gov.br")</f>
        <v>jose.dantas02@professor.pb.gov.br</v>
      </c>
      <c r="L16" s="11"/>
      <c r="M16" s="11" t="str">
        <f ca="1">IFERROR(__xludf.DUMMYFUNCTION("""COMPUTED_VALUE"""),"(83)99979-9286")</f>
        <v>(83)99979-9286</v>
      </c>
      <c r="N16" s="11"/>
      <c r="O16" s="35"/>
    </row>
    <row r="17" spans="1:15" ht="37.5" customHeight="1" x14ac:dyDescent="0.25">
      <c r="A17" s="38" t="str">
        <f t="shared" ca="1" si="1"/>
        <v>GURINHEM/SINDICATO DOS TRABALHADORES RURAIS AGRICULTORES E AGRICULTORAS FAMILIARES DE GURINHEM/AGRICULTOR ORGANICO/MANHA</v>
      </c>
      <c r="B17" s="2" t="str">
        <f ca="1">IFERROR(__xludf.DUMMYFUNCTION("""COMPUTED_VALUE"""),"004/2025/068.885.734-51")</f>
        <v>004/2025/068.885.734-51</v>
      </c>
      <c r="C17" s="2" t="str">
        <f ca="1">IFERROR(__xludf.DUMMYFUNCTION("""COMPUTED_VALUE"""),"068.885.734-51")</f>
        <v>068.885.734-51</v>
      </c>
      <c r="D17" s="2" t="str">
        <f ca="1">IFERROR(__xludf.DUMMYFUNCTION("""COMPUTED_VALUE"""),"ANDREIA SANTOS DE LIMA")</f>
        <v>ANDREIA SANTOS DE LIMA</v>
      </c>
      <c r="E17" s="2" t="str">
        <f ca="1">IFERROR(__xludf.DUMMYFUNCTION("""COMPUTED_VALUE"""),"PROFESSOR")</f>
        <v>PROFESSOR</v>
      </c>
      <c r="F17" s="2" t="str">
        <f ca="1">IFERROR(__xludf.DUMMYFUNCTION("""COMPUTED_VALUE"""),"GURINHEM")</f>
        <v>GURINHEM</v>
      </c>
      <c r="G17" s="39" t="str">
        <f ca="1">IFERROR(__xludf.DUMMYFUNCTION("""COMPUTED_VALUE"""),"SINDICATO DOS TRABALHADORES RURAIS AGRICULTORES E AGRICULTORAS FAMILIARES DE GURINHEM")</f>
        <v>SINDICATO DOS TRABALHADORES RURAIS AGRICULTORES E AGRICULTORAS FAMILIARES DE GURINHEM</v>
      </c>
      <c r="H17" s="39" t="str">
        <f ca="1">IFERROR(__xludf.DUMMYFUNCTION("""COMPUTED_VALUE"""),"AGRICULTOR ORGANICO")</f>
        <v>AGRICULTOR ORGANICO</v>
      </c>
      <c r="I17" s="11" t="str">
        <f ca="1">IFERROR(__xludf.DUMMYFUNCTION("""COMPUTED_VALUE"""),"MANHA")</f>
        <v>MANHA</v>
      </c>
      <c r="J17" s="11" t="str">
        <f ca="1">IFERROR(__xludf.DUMMYFUNCTION("""COMPUTED_VALUE"""),"POSSE VALIDADA")</f>
        <v>POSSE VALIDADA</v>
      </c>
      <c r="K17" s="11" t="str">
        <f ca="1">IFERROR(__xludf.DUMMYFUNCTION("""COMPUTED_VALUE"""),"prof.andreiasantosagro@gmail.com")</f>
        <v>prof.andreiasantosagro@gmail.com</v>
      </c>
      <c r="L17" s="11" t="str">
        <f ca="1">IFERROR(__xludf.DUMMYFUNCTION("""COMPUTED_VALUE"""),"andreiaciagra@hotmail.com")</f>
        <v>andreiaciagra@hotmail.com</v>
      </c>
      <c r="M17" s="11" t="str">
        <f ca="1">IFERROR(__xludf.DUMMYFUNCTION("""COMPUTED_VALUE"""),"(83)99655-5064")</f>
        <v>(83)99655-5064</v>
      </c>
      <c r="N17" s="11"/>
      <c r="O17" s="35"/>
    </row>
    <row r="18" spans="1:15" ht="37.5" customHeight="1" x14ac:dyDescent="0.25">
      <c r="A18" s="38" t="str">
        <f t="shared" ca="1" si="1"/>
        <v>JOAO PESSOA/GERENCIA EXECUTIVA DE RESSOCIALIZACAO ( SEAP)/AGENTE DE DESENVOLVIMENTO COOPERATIVISTA/TARDE</v>
      </c>
      <c r="B18" s="2" t="str">
        <f ca="1">IFERROR(__xludf.DUMMYFUNCTION("""COMPUTED_VALUE"""),"004/2025/054.021.094-35")</f>
        <v>004/2025/054.021.094-35</v>
      </c>
      <c r="C18" s="2" t="str">
        <f ca="1">IFERROR(__xludf.DUMMYFUNCTION("""COMPUTED_VALUE"""),"054.021.094-35")</f>
        <v>054.021.094-35</v>
      </c>
      <c r="D18" s="2" t="str">
        <f ca="1">IFERROR(__xludf.DUMMYFUNCTION("""COMPUTED_VALUE"""),"FRANCISCO FELIPE BARRETO OLIVEIRA")</f>
        <v>FRANCISCO FELIPE BARRETO OLIVEIRA</v>
      </c>
      <c r="E18" s="2" t="str">
        <f ca="1">IFERROR(__xludf.DUMMYFUNCTION("""COMPUTED_VALUE"""),"PROFESSOR")</f>
        <v>PROFESSOR</v>
      </c>
      <c r="F18" s="2" t="str">
        <f ca="1">IFERROR(__xludf.DUMMYFUNCTION("""COMPUTED_VALUE"""),"JOAO PESSOA")</f>
        <v>JOAO PESSOA</v>
      </c>
      <c r="G18" s="39" t="str">
        <f ca="1">IFERROR(__xludf.DUMMYFUNCTION("""COMPUTED_VALUE"""),"GERENCIA EXECUTIVA DE RESSOCIALIZACAO ( SEAP)")</f>
        <v>GERENCIA EXECUTIVA DE RESSOCIALIZACAO ( SEAP)</v>
      </c>
      <c r="H18" s="39" t="str">
        <f ca="1">IFERROR(__xludf.DUMMYFUNCTION("""COMPUTED_VALUE"""),"AGENTE DE DESENVOLVIMENTO COOPERATIVISTA")</f>
        <v>AGENTE DE DESENVOLVIMENTO COOPERATIVISTA</v>
      </c>
      <c r="I18" s="11" t="str">
        <f ca="1">IFERROR(__xludf.DUMMYFUNCTION("""COMPUTED_VALUE"""),"TARDE")</f>
        <v>TARDE</v>
      </c>
      <c r="J18" s="11" t="str">
        <f ca="1">IFERROR(__xludf.DUMMYFUNCTION("""COMPUTED_VALUE"""),"POSSE INVALIDADA")</f>
        <v>POSSE INVALIDADA</v>
      </c>
      <c r="K18" s="11" t="str">
        <f ca="1">IFERROR(__xludf.DUMMYFUNCTION("""COMPUTED_VALUE"""),"llippebarreto@hotmail.com")</f>
        <v>llippebarreto@hotmail.com</v>
      </c>
      <c r="L18" s="11" t="str">
        <f ca="1">IFERROR(__xludf.DUMMYFUNCTION("""COMPUTED_VALUE"""),"lippebarreto@hotmail.com")</f>
        <v>lippebarreto@hotmail.com</v>
      </c>
      <c r="M18" s="11" t="str">
        <f ca="1">IFERROR(__xludf.DUMMYFUNCTION("""COMPUTED_VALUE"""),"(83)99614-7448")</f>
        <v>(83)99614-7448</v>
      </c>
      <c r="N18" s="11"/>
      <c r="O18" s="35"/>
    </row>
    <row r="19" spans="1:15" ht="37.5" customHeight="1" x14ac:dyDescent="0.25">
      <c r="A19" s="38" t="str">
        <f t="shared" ca="1" si="1"/>
        <v>JOAO PESSOA/PENITENCIARIA DE REEDUCACAO FEMININA MARIA JULIA MARANHAO/COSTUREIRO DE MAQUINA RETA E OVERLOQUE/TARDE</v>
      </c>
      <c r="B19" s="2" t="str">
        <f ca="1">IFERROR(__xludf.DUMMYFUNCTION("""COMPUTED_VALUE"""),"004/2025/570.326.294-15")</f>
        <v>004/2025/570.326.294-15</v>
      </c>
      <c r="C19" s="2" t="str">
        <f ca="1">IFERROR(__xludf.DUMMYFUNCTION("""COMPUTED_VALUE"""),"570.326.294-15")</f>
        <v>570.326.294-15</v>
      </c>
      <c r="D19" s="2" t="str">
        <f ca="1">IFERROR(__xludf.DUMMYFUNCTION("""COMPUTED_VALUE"""),"CARLOS HENRIQUE CUNHA PEIXOTO")</f>
        <v>CARLOS HENRIQUE CUNHA PEIXOTO</v>
      </c>
      <c r="E19" s="2" t="str">
        <f ca="1">IFERROR(__xludf.DUMMYFUNCTION("""COMPUTED_VALUE"""),"PROFESSOR")</f>
        <v>PROFESSOR</v>
      </c>
      <c r="F19" s="2" t="str">
        <f ca="1">IFERROR(__xludf.DUMMYFUNCTION("""COMPUTED_VALUE"""),"JOAO PESSOA")</f>
        <v>JOAO PESSOA</v>
      </c>
      <c r="G19" s="39" t="str">
        <f ca="1">IFERROR(__xludf.DUMMYFUNCTION("""COMPUTED_VALUE"""),"PENITENCIARIA DE REEDUCACAO FEMININA MARIA JULIA MARANHAO")</f>
        <v>PENITENCIARIA DE REEDUCACAO FEMININA MARIA JULIA MARANHAO</v>
      </c>
      <c r="H19" s="39" t="str">
        <f ca="1">IFERROR(__xludf.DUMMYFUNCTION("""COMPUTED_VALUE"""),"COSTUREIRO DE MAQUINA RETA E OVERLOQUE")</f>
        <v>COSTUREIRO DE MAQUINA RETA E OVERLOQUE</v>
      </c>
      <c r="I19" s="11" t="str">
        <f ca="1">IFERROR(__xludf.DUMMYFUNCTION("""COMPUTED_VALUE"""),"TARDE")</f>
        <v>TARDE</v>
      </c>
      <c r="J19" s="11" t="str">
        <f ca="1">IFERROR(__xludf.DUMMYFUNCTION("""COMPUTED_VALUE"""),"POSSE VALIDADA")</f>
        <v>POSSE VALIDADA</v>
      </c>
      <c r="K19" s="11" t="str">
        <f ca="1">IFERROR(__xludf.DUMMYFUNCTION("""COMPUTED_VALUE"""),"kaikpeixoto@gmail.com")</f>
        <v>kaikpeixoto@gmail.com</v>
      </c>
      <c r="L19" s="11" t="str">
        <f ca="1">IFERROR(__xludf.DUMMYFUNCTION("""COMPUTED_VALUE"""),"kaikzootecnista@gmail.com")</f>
        <v>kaikzootecnista@gmail.com</v>
      </c>
      <c r="M19" s="11" t="str">
        <f ca="1">IFERROR(__xludf.DUMMYFUNCTION("""COMPUTED_VALUE"""),"(83)98837-0394")</f>
        <v>(83)98837-0394</v>
      </c>
      <c r="N19" s="11" t="str">
        <f ca="1">IFERROR(__xludf.DUMMYFUNCTION("""COMPUTED_VALUE"""),"(83)98804-5251")</f>
        <v>(83)98804-5251</v>
      </c>
      <c r="O19" s="35"/>
    </row>
    <row r="20" spans="1:15" ht="37.5" customHeight="1" x14ac:dyDescent="0.25">
      <c r="A20" s="38" t="str">
        <f t="shared" ca="1" si="1"/>
        <v>JOAO PESSOA/ASSOCIACAO BENEFICENTE MULHERES DO BEM - ALTO DO MATEUS/CUIDADOR DE IDOSO/NOITE</v>
      </c>
      <c r="B20" s="2" t="str">
        <f ca="1">IFERROR(__xludf.DUMMYFUNCTION("""COMPUTED_VALUE"""),"004/2025/093.701.694-23")</f>
        <v>004/2025/093.701.694-23</v>
      </c>
      <c r="C20" s="2" t="str">
        <f ca="1">IFERROR(__xludf.DUMMYFUNCTION("""COMPUTED_VALUE"""),"093.701.694-23")</f>
        <v>093.701.694-23</v>
      </c>
      <c r="D20" s="2" t="str">
        <f ca="1">IFERROR(__xludf.DUMMYFUNCTION("""COMPUTED_VALUE"""),"EDUARDO LOPES MARQUES XAVIER")</f>
        <v>EDUARDO LOPES MARQUES XAVIER</v>
      </c>
      <c r="E20" s="2" t="str">
        <f ca="1">IFERROR(__xludf.DUMMYFUNCTION("""COMPUTED_VALUE"""),"PROFESSOR")</f>
        <v>PROFESSOR</v>
      </c>
      <c r="F20" s="2" t="str">
        <f ca="1">IFERROR(__xludf.DUMMYFUNCTION("""COMPUTED_VALUE"""),"JOAO PESSOA")</f>
        <v>JOAO PESSOA</v>
      </c>
      <c r="G20" s="39" t="str">
        <f ca="1">IFERROR(__xludf.DUMMYFUNCTION("""COMPUTED_VALUE"""),"ASSOCIACAO BENEFICENTE MULHERES DO BEM - ALTO DO MATEUS")</f>
        <v>ASSOCIACAO BENEFICENTE MULHERES DO BEM - ALTO DO MATEUS</v>
      </c>
      <c r="H20" s="39" t="str">
        <f ca="1">IFERROR(__xludf.DUMMYFUNCTION("""COMPUTED_VALUE"""),"CUIDADOR DE IDOSO")</f>
        <v>CUIDADOR DE IDOSO</v>
      </c>
      <c r="I20" s="11" t="str">
        <f ca="1">IFERROR(__xludf.DUMMYFUNCTION("""COMPUTED_VALUE"""),"NOITE")</f>
        <v>NOITE</v>
      </c>
      <c r="J20" s="11" t="str">
        <f ca="1">IFERROR(__xludf.DUMMYFUNCTION("""COMPUTED_VALUE"""),"POSSE VALIDADA")</f>
        <v>POSSE VALIDADA</v>
      </c>
      <c r="K20" s="11" t="str">
        <f ca="1">IFERROR(__xludf.DUMMYFUNCTION("""COMPUTED_VALUE"""),"eduardolmx20@gmail.com")</f>
        <v>eduardolmx20@gmail.com</v>
      </c>
      <c r="L20" s="11" t="str">
        <f ca="1">IFERROR(__xludf.DUMMYFUNCTION("""COMPUTED_VALUE"""),"eduardolmx20@hotmail.com")</f>
        <v>eduardolmx20@hotmail.com</v>
      </c>
      <c r="M20" s="11" t="str">
        <f ca="1">IFERROR(__xludf.DUMMYFUNCTION("""COMPUTED_VALUE"""),"(83)996314340")</f>
        <v>(83)996314340</v>
      </c>
      <c r="N20" s="11" t="str">
        <f ca="1">IFERROR(__xludf.DUMMYFUNCTION("""COMPUTED_VALUE"""),"(83)988587443")</f>
        <v>(83)988587443</v>
      </c>
      <c r="O20" s="35"/>
    </row>
    <row r="21" spans="1:15" ht="37.5" customHeight="1" x14ac:dyDescent="0.25">
      <c r="A21" s="38" t="str">
        <f t="shared" ca="1" si="1"/>
        <v>JOAO PESSOA/CENTRO SOCIAL URBANO MONSENHOR JOSE COUTINHO - BAIRRO DOS IPES/CUIDADOR INFANTIL/TARDE</v>
      </c>
      <c r="B21" s="2" t="str">
        <f ca="1">IFERROR(__xludf.DUMMYFUNCTION("""COMPUTED_VALUE"""),"004/2025/055.424.944-80")</f>
        <v>004/2025/055.424.944-80</v>
      </c>
      <c r="C21" s="2" t="str">
        <f ca="1">IFERROR(__xludf.DUMMYFUNCTION("""COMPUTED_VALUE"""),"055.424.944-80")</f>
        <v>055.424.944-80</v>
      </c>
      <c r="D21" s="2" t="str">
        <f ca="1">IFERROR(__xludf.DUMMYFUNCTION("""COMPUTED_VALUE"""),"AMANDA FELIX DA SILVA")</f>
        <v>AMANDA FELIX DA SILVA</v>
      </c>
      <c r="E21" s="2" t="str">
        <f ca="1">IFERROR(__xludf.DUMMYFUNCTION("""COMPUTED_VALUE"""),"PROFESSOR")</f>
        <v>PROFESSOR</v>
      </c>
      <c r="F21" s="2" t="str">
        <f ca="1">IFERROR(__xludf.DUMMYFUNCTION("""COMPUTED_VALUE"""),"JOAO PESSOA")</f>
        <v>JOAO PESSOA</v>
      </c>
      <c r="G21" s="39" t="str">
        <f ca="1">IFERROR(__xludf.DUMMYFUNCTION("""COMPUTED_VALUE"""),"CENTRO SOCIAL URBANO MONSENHOR JOSE COUTINHO - BAIRRO DOS IPES")</f>
        <v>CENTRO SOCIAL URBANO MONSENHOR JOSE COUTINHO - BAIRRO DOS IPES</v>
      </c>
      <c r="H21" s="39" t="str">
        <f ca="1">IFERROR(__xludf.DUMMYFUNCTION("""COMPUTED_VALUE"""),"CUIDADOR INFANTIL")</f>
        <v>CUIDADOR INFANTIL</v>
      </c>
      <c r="I21" s="11" t="str">
        <f ca="1">IFERROR(__xludf.DUMMYFUNCTION("""COMPUTED_VALUE"""),"TARDE")</f>
        <v>TARDE</v>
      </c>
      <c r="J21" s="11" t="str">
        <f ca="1">IFERROR(__xludf.DUMMYFUNCTION("""COMPUTED_VALUE"""),"DOCUMENTAÇÃO NÃO ENVIADA")</f>
        <v>DOCUMENTAÇÃO NÃO ENVIADA</v>
      </c>
      <c r="K21" s="11" t="str">
        <f ca="1">IFERROR(__xludf.DUMMYFUNCTION("""COMPUTED_VALUE"""),"amaedu.org@gmail.com")</f>
        <v>amaedu.org@gmail.com</v>
      </c>
      <c r="L21" s="11"/>
      <c r="M21" s="11" t="str">
        <f ca="1">IFERROR(__xludf.DUMMYFUNCTION("""COMPUTED_VALUE"""),"(81)99122-7900")</f>
        <v>(81)99122-7900</v>
      </c>
      <c r="N21" s="11"/>
      <c r="O21" s="35"/>
    </row>
    <row r="22" spans="1:15" ht="37.5" customHeight="1" x14ac:dyDescent="0.25">
      <c r="A22" s="38" t="str">
        <f t="shared" ca="1" si="1"/>
        <v>MARIZOPOLIS/ESCOLA MUNICIPAL VEREADOR JOAO GONCALVES DE SOUSA/CONFEITEIRO/NOITE</v>
      </c>
      <c r="B22" s="2" t="str">
        <f ca="1">IFERROR(__xludf.DUMMYFUNCTION("""COMPUTED_VALUE"""),"004/2025/067.039.494-76")</f>
        <v>004/2025/067.039.494-76</v>
      </c>
      <c r="C22" s="2" t="str">
        <f ca="1">IFERROR(__xludf.DUMMYFUNCTION("""COMPUTED_VALUE"""),"067.039.494-76")</f>
        <v>067.039.494-76</v>
      </c>
      <c r="D22" s="2" t="str">
        <f ca="1">IFERROR(__xludf.DUMMYFUNCTION("""COMPUTED_VALUE"""),"CECILIA MARIA RODRIGUES")</f>
        <v>CECILIA MARIA RODRIGUES</v>
      </c>
      <c r="E22" s="2" t="str">
        <f ca="1">IFERROR(__xludf.DUMMYFUNCTION("""COMPUTED_VALUE"""),"PROFESSOR")</f>
        <v>PROFESSOR</v>
      </c>
      <c r="F22" s="2" t="str">
        <f ca="1">IFERROR(__xludf.DUMMYFUNCTION("""COMPUTED_VALUE"""),"MARIZOPOLIS")</f>
        <v>MARIZOPOLIS</v>
      </c>
      <c r="G22" s="39" t="str">
        <f ca="1">IFERROR(__xludf.DUMMYFUNCTION("""COMPUTED_VALUE"""),"ESCOLA MUNICIPAL VEREADOR JOAO GONCALVES DE SOUSA")</f>
        <v>ESCOLA MUNICIPAL VEREADOR JOAO GONCALVES DE SOUSA</v>
      </c>
      <c r="H22" s="39" t="str">
        <f ca="1">IFERROR(__xludf.DUMMYFUNCTION("""COMPUTED_VALUE"""),"CONFEITEIRO")</f>
        <v>CONFEITEIRO</v>
      </c>
      <c r="I22" s="11" t="str">
        <f ca="1">IFERROR(__xludf.DUMMYFUNCTION("""COMPUTED_VALUE"""),"NOITE")</f>
        <v>NOITE</v>
      </c>
      <c r="J22" s="11" t="str">
        <f ca="1">IFERROR(__xludf.DUMMYFUNCTION("""COMPUTED_VALUE"""),"DOCUMENTAÇÃO NÃO ENVIADA")</f>
        <v>DOCUMENTAÇÃO NÃO ENVIADA</v>
      </c>
      <c r="K22" s="11" t="str">
        <f ca="1">IFERROR(__xludf.DUMMYFUNCTION("""COMPUTED_VALUE"""),"cmaria22.r@gmail.com")</f>
        <v>cmaria22.r@gmail.com</v>
      </c>
      <c r="L22" s="11" t="str">
        <f ca="1">IFERROR(__xludf.DUMMYFUNCTION("""COMPUTED_VALUE"""),"ceciliarodrigues17@yaho.com.br")</f>
        <v>ceciliarodrigues17@yaho.com.br</v>
      </c>
      <c r="M22" s="11" t="str">
        <f ca="1">IFERROR(__xludf.DUMMYFUNCTION("""COMPUTED_VALUE"""),"(81)981040018")</f>
        <v>(81)981040018</v>
      </c>
      <c r="N22" s="11"/>
      <c r="O22" s="35"/>
    </row>
    <row r="23" spans="1:15" ht="37.5" customHeight="1" x14ac:dyDescent="0.25">
      <c r="A23" s="38" t="str">
        <f t="shared" ca="1" si="1"/>
        <v>PATOS/PRESIDIO REGIONAL FEMININO DE PATOS/COSTUREIRO DE MAQUINA RETA E OVERLOQUE/TARDE</v>
      </c>
      <c r="B23" s="2" t="str">
        <f ca="1">IFERROR(__xludf.DUMMYFUNCTION("""COMPUTED_VALUE"""),"004/2025/061.390.834-19")</f>
        <v>004/2025/061.390.834-19</v>
      </c>
      <c r="C23" s="2" t="str">
        <f ca="1">IFERROR(__xludf.DUMMYFUNCTION("""COMPUTED_VALUE"""),"061.390.834-19")</f>
        <v>061.390.834-19</v>
      </c>
      <c r="D23" s="2" t="str">
        <f ca="1">IFERROR(__xludf.DUMMYFUNCTION("""COMPUTED_VALUE"""),"KAROL SHARON FELIPE PEREIRA")</f>
        <v>KAROL SHARON FELIPE PEREIRA</v>
      </c>
      <c r="E23" s="2" t="str">
        <f ca="1">IFERROR(__xludf.DUMMYFUNCTION("""COMPUTED_VALUE"""),"PROFESSOR")</f>
        <v>PROFESSOR</v>
      </c>
      <c r="F23" s="2" t="str">
        <f ca="1">IFERROR(__xludf.DUMMYFUNCTION("""COMPUTED_VALUE"""),"PATOS")</f>
        <v>PATOS</v>
      </c>
      <c r="G23" s="39" t="str">
        <f ca="1">IFERROR(__xludf.DUMMYFUNCTION("""COMPUTED_VALUE"""),"PRESIDIO REGIONAL FEMININO DE PATOS")</f>
        <v>PRESIDIO REGIONAL FEMININO DE PATOS</v>
      </c>
      <c r="H23" s="39" t="str">
        <f ca="1">IFERROR(__xludf.DUMMYFUNCTION("""COMPUTED_VALUE"""),"COSTUREIRO DE MAQUINA RETA E OVERLOQUE")</f>
        <v>COSTUREIRO DE MAQUINA RETA E OVERLOQUE</v>
      </c>
      <c r="I23" s="11" t="str">
        <f ca="1">IFERROR(__xludf.DUMMYFUNCTION("""COMPUTED_VALUE"""),"TARDE")</f>
        <v>TARDE</v>
      </c>
      <c r="J23" s="11" t="str">
        <f ca="1">IFERROR(__xludf.DUMMYFUNCTION("""COMPUTED_VALUE"""),"DOCUMENTAÇÃO NÃO ENVIADA")</f>
        <v>DOCUMENTAÇÃO NÃO ENVIADA</v>
      </c>
      <c r="K23" s="11" t="str">
        <f ca="1">IFERROR(__xludf.DUMMYFUNCTION("""COMPUTED_VALUE"""),"karolpgigi@gmail.com")</f>
        <v>karolpgigi@gmail.com</v>
      </c>
      <c r="L23" s="11" t="str">
        <f ca="1">IFERROR(__xludf.DUMMYFUNCTION("""COMPUTED_VALUE"""),"karol_felipe@hotmail.com")</f>
        <v>karol_felipe@hotmail.com</v>
      </c>
      <c r="M23" s="11" t="str">
        <f ca="1">IFERROR(__xludf.DUMMYFUNCTION("""COMPUTED_VALUE"""),"(84)99964-0188")</f>
        <v>(84)99964-0188</v>
      </c>
      <c r="N23" s="11" t="str">
        <f ca="1">IFERROR(__xludf.DUMMYFUNCTION("""COMPUTED_VALUE"""),"(84)99964-0188")</f>
        <v>(84)99964-0188</v>
      </c>
      <c r="O23" s="35"/>
    </row>
    <row r="24" spans="1:15" ht="37.5" customHeight="1" x14ac:dyDescent="0.25">
      <c r="A24" s="38" t="str">
        <f t="shared" ca="1" si="1"/>
        <v>POMBAL/ESCOLA AMELIA MARIA DA LUZ/MICROEMPREENDEDOR INDIVIDUAL (MEI)/NOITE</v>
      </c>
      <c r="B24" s="2" t="str">
        <f ca="1">IFERROR(__xludf.DUMMYFUNCTION("""COMPUTED_VALUE"""),"004/2025/042.250.194-89")</f>
        <v>004/2025/042.250.194-89</v>
      </c>
      <c r="C24" s="2" t="str">
        <f ca="1">IFERROR(__xludf.DUMMYFUNCTION("""COMPUTED_VALUE"""),"042.250.194-89")</f>
        <v>042.250.194-89</v>
      </c>
      <c r="D24" s="2" t="str">
        <f ca="1">IFERROR(__xludf.DUMMYFUNCTION("""COMPUTED_VALUE"""),"WAGNER SOARES FERREIRA")</f>
        <v>WAGNER SOARES FERREIRA</v>
      </c>
      <c r="E24" s="2" t="str">
        <f ca="1">IFERROR(__xludf.DUMMYFUNCTION("""COMPUTED_VALUE"""),"PROFESSOR")</f>
        <v>PROFESSOR</v>
      </c>
      <c r="F24" s="2" t="str">
        <f ca="1">IFERROR(__xludf.DUMMYFUNCTION("""COMPUTED_VALUE"""),"POMBAL")</f>
        <v>POMBAL</v>
      </c>
      <c r="G24" s="39" t="str">
        <f ca="1">IFERROR(__xludf.DUMMYFUNCTION("""COMPUTED_VALUE"""),"ESCOLA AMELIA MARIA DA LUZ")</f>
        <v>ESCOLA AMELIA MARIA DA LUZ</v>
      </c>
      <c r="H24" s="39" t="str">
        <f ca="1">IFERROR(__xludf.DUMMYFUNCTION("""COMPUTED_VALUE"""),"MICROEMPREENDEDOR INDIVIDUAL (MEI)")</f>
        <v>MICROEMPREENDEDOR INDIVIDUAL (MEI)</v>
      </c>
      <c r="I24" s="11" t="str">
        <f ca="1">IFERROR(__xludf.DUMMYFUNCTION("""COMPUTED_VALUE"""),"NOITE")</f>
        <v>NOITE</v>
      </c>
      <c r="J24" s="11" t="str">
        <f ca="1">IFERROR(__xludf.DUMMYFUNCTION("""COMPUTED_VALUE"""),"POSSE VALIDADA")</f>
        <v>POSSE VALIDADA</v>
      </c>
      <c r="K24" s="11" t="str">
        <f ca="1">IFERROR(__xludf.DUMMYFUNCTION("""COMPUTED_VALUE"""),"jpp.wagner@gmail.com")</f>
        <v>jpp.wagner@gmail.com</v>
      </c>
      <c r="L24" s="11"/>
      <c r="M24" s="11" t="str">
        <f ca="1">IFERROR(__xludf.DUMMYFUNCTION("""COMPUTED_VALUE"""),"(83)98880-7340")</f>
        <v>(83)98880-7340</v>
      </c>
      <c r="N24" s="11"/>
      <c r="O24" s="35"/>
    </row>
    <row r="25" spans="1:15" ht="37.5" customHeight="1" x14ac:dyDescent="0.25">
      <c r="A25" s="38" t="str">
        <f t="shared" ca="1" si="1"/>
        <v>SAO FRANCISCO/EMEF. FRANCISCO SALES GADELHA DE OLIVEIRA/CUIDADOR INFANTIL/NOITE</v>
      </c>
      <c r="B25" s="2" t="str">
        <f ca="1">IFERROR(__xludf.DUMMYFUNCTION("""COMPUTED_VALUE"""),"004/2025/038.988.404-92")</f>
        <v>004/2025/038.988.404-92</v>
      </c>
      <c r="C25" s="2" t="str">
        <f ca="1">IFERROR(__xludf.DUMMYFUNCTION("""COMPUTED_VALUE"""),"038.988.404-92")</f>
        <v>038.988.404-92</v>
      </c>
      <c r="D25" s="2" t="str">
        <f ca="1">IFERROR(__xludf.DUMMYFUNCTION("""COMPUTED_VALUE"""),"MARGYSA THAYMMARA BEZERRA ROSAS")</f>
        <v>MARGYSA THAYMMARA BEZERRA ROSAS</v>
      </c>
      <c r="E25" s="2" t="str">
        <f ca="1">IFERROR(__xludf.DUMMYFUNCTION("""COMPUTED_VALUE"""),"PROFESSOR")</f>
        <v>PROFESSOR</v>
      </c>
      <c r="F25" s="2" t="str">
        <f ca="1">IFERROR(__xludf.DUMMYFUNCTION("""COMPUTED_VALUE"""),"SAO FRANCISCO")</f>
        <v>SAO FRANCISCO</v>
      </c>
      <c r="G25" s="39" t="str">
        <f ca="1">IFERROR(__xludf.DUMMYFUNCTION("""COMPUTED_VALUE"""),"EMEF. FRANCISCO SALES GADELHA DE OLIVEIRA")</f>
        <v>EMEF. FRANCISCO SALES GADELHA DE OLIVEIRA</v>
      </c>
      <c r="H25" s="39" t="str">
        <f ca="1">IFERROR(__xludf.DUMMYFUNCTION("""COMPUTED_VALUE"""),"CUIDADOR INFANTIL")</f>
        <v>CUIDADOR INFANTIL</v>
      </c>
      <c r="I25" s="11" t="str">
        <f ca="1">IFERROR(__xludf.DUMMYFUNCTION("""COMPUTED_VALUE"""),"NOITE")</f>
        <v>NOITE</v>
      </c>
      <c r="J25" s="11" t="str">
        <f ca="1">IFERROR(__xludf.DUMMYFUNCTION("""COMPUTED_VALUE"""),"DOCUMENTAÇÃO NÃO ENVIADA")</f>
        <v>DOCUMENTAÇÃO NÃO ENVIADA</v>
      </c>
      <c r="K25" s="11" t="str">
        <f ca="1">IFERROR(__xludf.DUMMYFUNCTION("""COMPUTED_VALUE"""),"rmargysa4@gmail.com")</f>
        <v>rmargysa4@gmail.com</v>
      </c>
      <c r="L25" s="11" t="str">
        <f ca="1">IFERROR(__xludf.DUMMYFUNCTION("""COMPUTED_VALUE"""),"margysatbrosas@gmail.com")</f>
        <v>margysatbrosas@gmail.com</v>
      </c>
      <c r="M25" s="11" t="str">
        <f ca="1">IFERROR(__xludf.DUMMYFUNCTION("""COMPUTED_VALUE"""),"(83)99159-6589")</f>
        <v>(83)99159-6589</v>
      </c>
      <c r="N25" s="11" t="str">
        <f ca="1">IFERROR(__xludf.DUMMYFUNCTION("""COMPUTED_VALUE"""),"(83)99368-5343")</f>
        <v>(83)99368-5343</v>
      </c>
      <c r="O25" s="35"/>
    </row>
    <row r="26" spans="1:15" ht="37.5" customHeight="1" x14ac:dyDescent="0.25">
      <c r="A26" s="38" t="str">
        <f t="shared" si="1"/>
        <v/>
      </c>
      <c r="B26" s="2"/>
      <c r="C26" s="2"/>
      <c r="D26" s="2"/>
      <c r="E26" s="2"/>
      <c r="F26" s="2"/>
      <c r="G26" s="39"/>
      <c r="H26" s="39"/>
      <c r="I26" s="11"/>
      <c r="J26" s="11"/>
      <c r="K26" s="11"/>
      <c r="L26" s="11"/>
      <c r="M26" s="11"/>
      <c r="N26" s="11"/>
      <c r="O26" s="35"/>
    </row>
    <row r="27" spans="1:15" ht="37.5" customHeight="1" x14ac:dyDescent="0.25">
      <c r="A27" s="38" t="str">
        <f t="shared" si="1"/>
        <v/>
      </c>
      <c r="B27" s="2"/>
      <c r="C27" s="2"/>
      <c r="D27" s="2"/>
      <c r="E27" s="2"/>
      <c r="F27" s="2"/>
      <c r="G27" s="39"/>
      <c r="H27" s="39"/>
      <c r="I27" s="11"/>
      <c r="J27" s="11"/>
      <c r="K27" s="11"/>
      <c r="L27" s="11"/>
      <c r="M27" s="11"/>
      <c r="N27" s="11"/>
      <c r="O27" s="35"/>
    </row>
    <row r="28" spans="1:15" ht="37.5" customHeight="1" x14ac:dyDescent="0.25">
      <c r="A28" s="38" t="str">
        <f t="shared" si="1"/>
        <v/>
      </c>
      <c r="B28" s="2"/>
      <c r="C28" s="2"/>
      <c r="D28" s="2"/>
      <c r="E28" s="2"/>
      <c r="F28" s="2"/>
      <c r="G28" s="39"/>
      <c r="H28" s="39"/>
      <c r="I28" s="11"/>
      <c r="J28" s="11"/>
      <c r="K28" s="11"/>
      <c r="L28" s="11"/>
      <c r="M28" s="11"/>
      <c r="N28" s="11"/>
      <c r="O28" s="35"/>
    </row>
    <row r="29" spans="1:15" ht="37.5" customHeight="1" x14ac:dyDescent="0.25">
      <c r="A29" s="38" t="str">
        <f t="shared" si="1"/>
        <v/>
      </c>
      <c r="B29" s="2"/>
      <c r="C29" s="2"/>
      <c r="D29" s="2"/>
      <c r="E29" s="2"/>
      <c r="F29" s="2"/>
      <c r="G29" s="39"/>
      <c r="H29" s="39"/>
      <c r="I29" s="11"/>
      <c r="J29" s="11"/>
      <c r="K29" s="11"/>
      <c r="L29" s="11"/>
      <c r="M29" s="11"/>
      <c r="N29" s="11"/>
      <c r="O29" s="35"/>
    </row>
    <row r="30" spans="1:15" ht="37.5" customHeight="1" x14ac:dyDescent="0.25">
      <c r="A30" s="38" t="str">
        <f t="shared" si="1"/>
        <v/>
      </c>
      <c r="B30" s="2"/>
      <c r="C30" s="2"/>
      <c r="D30" s="2"/>
      <c r="E30" s="2"/>
      <c r="F30" s="2"/>
      <c r="G30" s="39"/>
      <c r="H30" s="39"/>
      <c r="I30" s="11"/>
      <c r="J30" s="11"/>
      <c r="K30" s="11"/>
      <c r="L30" s="11"/>
      <c r="M30" s="11"/>
      <c r="N30" s="11"/>
      <c r="O30" s="35"/>
    </row>
    <row r="31" spans="1:15" ht="37.5" customHeight="1" x14ac:dyDescent="0.25">
      <c r="A31" s="38" t="str">
        <f t="shared" si="1"/>
        <v/>
      </c>
      <c r="B31" s="2"/>
      <c r="C31" s="2"/>
      <c r="D31" s="2"/>
      <c r="E31" s="2"/>
      <c r="F31" s="2"/>
      <c r="G31" s="39"/>
      <c r="H31" s="39"/>
      <c r="I31" s="11"/>
      <c r="J31" s="11"/>
      <c r="K31" s="11"/>
      <c r="L31" s="11"/>
      <c r="M31" s="11"/>
      <c r="N31" s="11"/>
      <c r="O31" s="35"/>
    </row>
    <row r="32" spans="1:15" ht="37.5" customHeight="1" x14ac:dyDescent="0.25">
      <c r="A32" s="38" t="str">
        <f t="shared" si="1"/>
        <v/>
      </c>
      <c r="B32" s="2"/>
      <c r="C32" s="2"/>
      <c r="D32" s="2"/>
      <c r="E32" s="2"/>
      <c r="F32" s="2"/>
      <c r="G32" s="39"/>
      <c r="H32" s="39"/>
      <c r="I32" s="11"/>
      <c r="J32" s="11"/>
      <c r="K32" s="11"/>
      <c r="L32" s="11"/>
      <c r="M32" s="11"/>
      <c r="N32" s="11"/>
      <c r="O32" s="35"/>
    </row>
    <row r="33" spans="1:15" ht="37.5" customHeight="1" x14ac:dyDescent="0.25">
      <c r="A33" s="38" t="str">
        <f t="shared" si="1"/>
        <v/>
      </c>
      <c r="B33" s="2"/>
      <c r="C33" s="2"/>
      <c r="D33" s="2"/>
      <c r="E33" s="2"/>
      <c r="F33" s="2"/>
      <c r="G33" s="39"/>
      <c r="H33" s="39"/>
      <c r="I33" s="11"/>
      <c r="J33" s="11"/>
      <c r="K33" s="11"/>
      <c r="L33" s="11"/>
      <c r="M33" s="11"/>
      <c r="N33" s="11"/>
      <c r="O33" s="35"/>
    </row>
    <row r="34" spans="1:15" ht="37.5" customHeight="1" x14ac:dyDescent="0.25">
      <c r="A34" s="38" t="str">
        <f t="shared" si="1"/>
        <v/>
      </c>
      <c r="B34" s="2"/>
      <c r="C34" s="2"/>
      <c r="D34" s="2"/>
      <c r="E34" s="2"/>
      <c r="F34" s="2"/>
      <c r="G34" s="39"/>
      <c r="H34" s="39"/>
      <c r="I34" s="11"/>
      <c r="J34" s="11"/>
      <c r="K34" s="11"/>
      <c r="L34" s="11"/>
      <c r="M34" s="11"/>
      <c r="N34" s="11"/>
      <c r="O34" s="35"/>
    </row>
    <row r="35" spans="1:15" ht="37.5" customHeight="1" x14ac:dyDescent="0.25">
      <c r="A35" s="38" t="str">
        <f t="shared" si="1"/>
        <v/>
      </c>
      <c r="B35" s="2"/>
      <c r="C35" s="2"/>
      <c r="D35" s="2"/>
      <c r="E35" s="2"/>
      <c r="F35" s="2"/>
      <c r="G35" s="39"/>
      <c r="H35" s="39"/>
      <c r="I35" s="11"/>
      <c r="J35" s="11"/>
      <c r="K35" s="11"/>
      <c r="L35" s="11"/>
      <c r="M35" s="11"/>
      <c r="N35" s="11"/>
      <c r="O35" s="35"/>
    </row>
    <row r="36" spans="1:15" ht="37.5" customHeight="1" x14ac:dyDescent="0.25">
      <c r="A36" s="38" t="str">
        <f t="shared" si="1"/>
        <v/>
      </c>
      <c r="B36" s="2"/>
      <c r="C36" s="2"/>
      <c r="D36" s="2"/>
      <c r="E36" s="2"/>
      <c r="F36" s="2"/>
      <c r="G36" s="39"/>
      <c r="H36" s="39"/>
      <c r="I36" s="11"/>
      <c r="J36" s="11"/>
      <c r="K36" s="11"/>
      <c r="L36" s="11"/>
      <c r="M36" s="11"/>
      <c r="N36" s="11"/>
      <c r="O36" s="35"/>
    </row>
    <row r="37" spans="1:15" ht="37.5" customHeight="1" x14ac:dyDescent="0.25">
      <c r="A37" s="38" t="str">
        <f t="shared" si="1"/>
        <v/>
      </c>
      <c r="B37" s="2"/>
      <c r="C37" s="2"/>
      <c r="D37" s="2"/>
      <c r="E37" s="2"/>
      <c r="F37" s="2"/>
      <c r="G37" s="39"/>
      <c r="H37" s="39"/>
      <c r="I37" s="11"/>
      <c r="J37" s="11"/>
      <c r="K37" s="11"/>
      <c r="L37" s="11"/>
      <c r="M37" s="11"/>
      <c r="N37" s="11"/>
      <c r="O37" s="35"/>
    </row>
    <row r="38" spans="1:15" ht="37.5" customHeight="1" x14ac:dyDescent="0.25">
      <c r="A38" s="38" t="str">
        <f t="shared" si="1"/>
        <v/>
      </c>
      <c r="B38" s="2"/>
      <c r="C38" s="2"/>
      <c r="D38" s="2"/>
      <c r="E38" s="2"/>
      <c r="F38" s="2"/>
      <c r="G38" s="39"/>
      <c r="H38" s="39"/>
      <c r="I38" s="11"/>
      <c r="J38" s="11"/>
      <c r="K38" s="11"/>
      <c r="L38" s="11"/>
      <c r="M38" s="11"/>
      <c r="N38" s="11"/>
      <c r="O38" s="35"/>
    </row>
    <row r="39" spans="1:15" ht="37.5" customHeight="1" x14ac:dyDescent="0.25">
      <c r="A39" s="38" t="str">
        <f t="shared" si="1"/>
        <v/>
      </c>
      <c r="B39" s="2"/>
      <c r="C39" s="2"/>
      <c r="D39" s="2"/>
      <c r="E39" s="2"/>
      <c r="F39" s="2"/>
      <c r="G39" s="39"/>
      <c r="H39" s="39"/>
      <c r="I39" s="11"/>
      <c r="J39" s="11"/>
      <c r="K39" s="11"/>
      <c r="L39" s="11"/>
      <c r="M39" s="11"/>
      <c r="N39" s="11"/>
      <c r="O39" s="35"/>
    </row>
    <row r="40" spans="1:15" ht="37.5" customHeight="1" x14ac:dyDescent="0.25">
      <c r="A40" s="38" t="str">
        <f t="shared" si="1"/>
        <v/>
      </c>
      <c r="B40" s="2"/>
      <c r="C40" s="2"/>
      <c r="D40" s="2"/>
      <c r="E40" s="2"/>
      <c r="F40" s="2"/>
      <c r="G40" s="39"/>
      <c r="H40" s="39"/>
      <c r="I40" s="11"/>
      <c r="J40" s="11"/>
      <c r="K40" s="11"/>
      <c r="L40" s="11"/>
      <c r="M40" s="11"/>
      <c r="N40" s="11"/>
      <c r="O40" s="35"/>
    </row>
    <row r="41" spans="1:15" ht="37.5" customHeight="1" x14ac:dyDescent="0.25">
      <c r="A41" s="38" t="str">
        <f t="shared" si="1"/>
        <v/>
      </c>
      <c r="B41" s="2"/>
      <c r="C41" s="2"/>
      <c r="D41" s="2"/>
      <c r="E41" s="2"/>
      <c r="F41" s="2"/>
      <c r="G41" s="39"/>
      <c r="H41" s="39"/>
      <c r="I41" s="11"/>
      <c r="J41" s="11"/>
      <c r="K41" s="11"/>
      <c r="L41" s="11"/>
      <c r="M41" s="11"/>
      <c r="N41" s="11"/>
      <c r="O41" s="35"/>
    </row>
    <row r="42" spans="1:15" ht="37.5" customHeight="1" x14ac:dyDescent="0.25">
      <c r="A42" s="38" t="str">
        <f t="shared" si="1"/>
        <v/>
      </c>
      <c r="B42" s="2"/>
      <c r="C42" s="2"/>
      <c r="D42" s="2"/>
      <c r="E42" s="2"/>
      <c r="F42" s="2"/>
      <c r="G42" s="39"/>
      <c r="H42" s="39"/>
      <c r="I42" s="11"/>
      <c r="J42" s="11"/>
      <c r="K42" s="11"/>
      <c r="L42" s="11"/>
      <c r="M42" s="11"/>
      <c r="N42" s="11"/>
      <c r="O42" s="35"/>
    </row>
    <row r="43" spans="1:15" ht="37.5" customHeight="1" x14ac:dyDescent="0.25">
      <c r="A43" s="38" t="str">
        <f t="shared" si="1"/>
        <v/>
      </c>
      <c r="B43" s="2"/>
      <c r="C43" s="2"/>
      <c r="D43" s="2"/>
      <c r="E43" s="2"/>
      <c r="F43" s="2"/>
      <c r="G43" s="39"/>
      <c r="H43" s="39"/>
      <c r="I43" s="11"/>
      <c r="J43" s="11"/>
      <c r="K43" s="11"/>
      <c r="L43" s="11"/>
      <c r="M43" s="11"/>
      <c r="N43" s="11"/>
      <c r="O43" s="35"/>
    </row>
    <row r="44" spans="1:15" ht="37.5" customHeight="1" x14ac:dyDescent="0.25">
      <c r="A44" s="38" t="str">
        <f t="shared" si="1"/>
        <v/>
      </c>
      <c r="B44" s="2"/>
      <c r="C44" s="2"/>
      <c r="D44" s="2"/>
      <c r="E44" s="2"/>
      <c r="F44" s="2"/>
      <c r="G44" s="39"/>
      <c r="H44" s="39"/>
      <c r="I44" s="11"/>
      <c r="J44" s="11"/>
      <c r="K44" s="11"/>
      <c r="L44" s="11"/>
      <c r="M44" s="11"/>
      <c r="N44" s="11"/>
      <c r="O44" s="35"/>
    </row>
    <row r="45" spans="1:15" ht="37.5" customHeight="1" x14ac:dyDescent="0.25">
      <c r="A45" s="38" t="str">
        <f t="shared" si="1"/>
        <v/>
      </c>
      <c r="B45" s="2"/>
      <c r="C45" s="2"/>
      <c r="D45" s="2"/>
      <c r="E45" s="2"/>
      <c r="F45" s="2"/>
      <c r="G45" s="39"/>
      <c r="H45" s="39"/>
      <c r="I45" s="11"/>
      <c r="J45" s="11"/>
      <c r="K45" s="11"/>
      <c r="L45" s="11"/>
      <c r="M45" s="11"/>
      <c r="N45" s="11"/>
      <c r="O45" s="35"/>
    </row>
    <row r="46" spans="1:15" ht="37.5" customHeight="1" x14ac:dyDescent="0.25">
      <c r="A46" s="38" t="str">
        <f t="shared" si="1"/>
        <v/>
      </c>
      <c r="B46" s="2"/>
      <c r="C46" s="2"/>
      <c r="D46" s="2"/>
      <c r="E46" s="2"/>
      <c r="F46" s="2"/>
      <c r="G46" s="39"/>
      <c r="H46" s="39"/>
      <c r="I46" s="11"/>
      <c r="J46" s="11"/>
      <c r="K46" s="11"/>
      <c r="L46" s="11"/>
      <c r="M46" s="11"/>
      <c r="N46" s="11"/>
      <c r="O46" s="35"/>
    </row>
    <row r="47" spans="1:15" ht="37.5" customHeight="1" x14ac:dyDescent="0.25">
      <c r="A47" s="38" t="str">
        <f t="shared" si="1"/>
        <v/>
      </c>
      <c r="B47" s="2"/>
      <c r="C47" s="2"/>
      <c r="D47" s="2"/>
      <c r="E47" s="2"/>
      <c r="F47" s="2"/>
      <c r="G47" s="39"/>
      <c r="H47" s="39"/>
      <c r="I47" s="11"/>
      <c r="J47" s="11"/>
      <c r="K47" s="11"/>
      <c r="L47" s="11"/>
      <c r="M47" s="11"/>
      <c r="N47" s="11"/>
      <c r="O47" s="35"/>
    </row>
    <row r="48" spans="1:15" ht="37.5" customHeight="1" x14ac:dyDescent="0.25">
      <c r="A48" s="38" t="str">
        <f t="shared" si="1"/>
        <v/>
      </c>
      <c r="B48" s="2"/>
      <c r="C48" s="2"/>
      <c r="D48" s="2"/>
      <c r="E48" s="2"/>
      <c r="F48" s="2"/>
      <c r="G48" s="39"/>
      <c r="H48" s="39"/>
      <c r="I48" s="11"/>
      <c r="J48" s="11"/>
      <c r="K48" s="11"/>
      <c r="L48" s="11"/>
      <c r="M48" s="11"/>
      <c r="N48" s="11"/>
      <c r="O48" s="35"/>
    </row>
    <row r="49" spans="1:15" ht="37.5" customHeight="1" x14ac:dyDescent="0.25">
      <c r="A49" s="38" t="str">
        <f t="shared" si="1"/>
        <v/>
      </c>
      <c r="B49" s="2"/>
      <c r="C49" s="2"/>
      <c r="D49" s="2"/>
      <c r="E49" s="2"/>
      <c r="F49" s="2"/>
      <c r="G49" s="39"/>
      <c r="H49" s="39"/>
      <c r="I49" s="11"/>
      <c r="J49" s="11"/>
      <c r="K49" s="11"/>
      <c r="L49" s="11"/>
      <c r="M49" s="11"/>
      <c r="N49" s="11"/>
      <c r="O49" s="35"/>
    </row>
    <row r="50" spans="1:15" ht="37.5" customHeight="1" x14ac:dyDescent="0.25">
      <c r="A50" s="38" t="str">
        <f t="shared" si="1"/>
        <v/>
      </c>
      <c r="B50" s="2"/>
      <c r="C50" s="2"/>
      <c r="D50" s="2"/>
      <c r="E50" s="2"/>
      <c r="F50" s="2"/>
      <c r="G50" s="39"/>
      <c r="H50" s="39"/>
      <c r="I50" s="11"/>
      <c r="J50" s="11"/>
      <c r="K50" s="11"/>
      <c r="L50" s="11"/>
      <c r="M50" s="11"/>
      <c r="N50" s="11"/>
      <c r="O50" s="35"/>
    </row>
    <row r="51" spans="1:15" ht="37.5" customHeight="1" x14ac:dyDescent="0.25">
      <c r="A51" s="38" t="str">
        <f t="shared" si="1"/>
        <v/>
      </c>
      <c r="B51" s="2"/>
      <c r="C51" s="2"/>
      <c r="D51" s="2"/>
      <c r="E51" s="2"/>
      <c r="F51" s="2"/>
      <c r="G51" s="39"/>
      <c r="H51" s="39"/>
      <c r="I51" s="11"/>
      <c r="J51" s="11"/>
      <c r="K51" s="11"/>
      <c r="L51" s="11"/>
      <c r="M51" s="11"/>
      <c r="N51" s="11"/>
      <c r="O51" s="35"/>
    </row>
    <row r="52" spans="1:15" ht="37.5" customHeight="1" x14ac:dyDescent="0.25">
      <c r="A52" s="38" t="str">
        <f t="shared" si="1"/>
        <v/>
      </c>
      <c r="B52" s="2"/>
      <c r="C52" s="2"/>
      <c r="D52" s="2"/>
      <c r="E52" s="2"/>
      <c r="F52" s="2"/>
      <c r="G52" s="39"/>
      <c r="H52" s="39"/>
      <c r="I52" s="11"/>
      <c r="J52" s="11"/>
      <c r="K52" s="11"/>
      <c r="L52" s="11"/>
      <c r="M52" s="11"/>
      <c r="N52" s="11"/>
      <c r="O52" s="35"/>
    </row>
    <row r="53" spans="1:15" ht="37.5" customHeight="1" x14ac:dyDescent="0.25">
      <c r="A53" s="38" t="str">
        <f t="shared" si="1"/>
        <v/>
      </c>
      <c r="B53" s="2"/>
      <c r="C53" s="2"/>
      <c r="D53" s="2"/>
      <c r="E53" s="2"/>
      <c r="F53" s="2"/>
      <c r="G53" s="39"/>
      <c r="H53" s="39"/>
      <c r="I53" s="11"/>
      <c r="J53" s="11"/>
      <c r="K53" s="11"/>
      <c r="L53" s="11"/>
      <c r="M53" s="11"/>
      <c r="N53" s="11"/>
      <c r="O53" s="35"/>
    </row>
    <row r="54" spans="1:15" ht="37.5" customHeight="1" x14ac:dyDescent="0.25">
      <c r="A54" s="38" t="str">
        <f t="shared" si="1"/>
        <v/>
      </c>
      <c r="B54" s="2"/>
      <c r="C54" s="2"/>
      <c r="D54" s="2"/>
      <c r="E54" s="2"/>
      <c r="F54" s="2"/>
      <c r="G54" s="39"/>
      <c r="H54" s="39"/>
      <c r="I54" s="11"/>
      <c r="J54" s="11"/>
      <c r="K54" s="11"/>
      <c r="L54" s="11"/>
      <c r="M54" s="11"/>
      <c r="N54" s="11"/>
      <c r="O54" s="35"/>
    </row>
    <row r="55" spans="1:15" ht="37.5" customHeight="1" x14ac:dyDescent="0.25">
      <c r="A55" s="38" t="str">
        <f t="shared" si="1"/>
        <v/>
      </c>
      <c r="B55" s="2"/>
      <c r="C55" s="2"/>
      <c r="D55" s="2"/>
      <c r="E55" s="2"/>
      <c r="F55" s="2"/>
      <c r="G55" s="39"/>
      <c r="H55" s="39"/>
      <c r="I55" s="11"/>
      <c r="J55" s="11"/>
      <c r="K55" s="11"/>
      <c r="L55" s="11"/>
      <c r="M55" s="11"/>
      <c r="N55" s="11"/>
      <c r="O55" s="35"/>
    </row>
    <row r="56" spans="1:15" ht="37.5" customHeight="1" x14ac:dyDescent="0.25">
      <c r="A56" s="38" t="str">
        <f t="shared" si="1"/>
        <v/>
      </c>
      <c r="B56" s="2"/>
      <c r="C56" s="2"/>
      <c r="D56" s="2"/>
      <c r="E56" s="2"/>
      <c r="F56" s="2"/>
      <c r="G56" s="39"/>
      <c r="H56" s="39"/>
      <c r="I56" s="11"/>
      <c r="J56" s="11"/>
      <c r="K56" s="11"/>
      <c r="L56" s="11"/>
      <c r="M56" s="11"/>
      <c r="N56" s="11"/>
      <c r="O56" s="35"/>
    </row>
    <row r="57" spans="1:15" ht="37.5" customHeight="1" x14ac:dyDescent="0.25">
      <c r="A57" s="38" t="str">
        <f t="shared" si="1"/>
        <v/>
      </c>
      <c r="B57" s="2"/>
      <c r="C57" s="2"/>
      <c r="D57" s="2"/>
      <c r="E57" s="2"/>
      <c r="F57" s="2"/>
      <c r="G57" s="39"/>
      <c r="H57" s="39"/>
      <c r="I57" s="11"/>
      <c r="J57" s="11"/>
      <c r="K57" s="11"/>
      <c r="L57" s="11"/>
      <c r="M57" s="11"/>
      <c r="N57" s="11"/>
      <c r="O57" s="35"/>
    </row>
    <row r="58" spans="1:15" ht="37.5" customHeight="1" x14ac:dyDescent="0.25">
      <c r="A58" s="38" t="str">
        <f t="shared" si="1"/>
        <v/>
      </c>
      <c r="B58" s="2"/>
      <c r="C58" s="2"/>
      <c r="D58" s="2"/>
      <c r="E58" s="2"/>
      <c r="F58" s="2"/>
      <c r="G58" s="39"/>
      <c r="H58" s="39"/>
      <c r="I58" s="11"/>
      <c r="J58" s="11"/>
      <c r="K58" s="11"/>
      <c r="L58" s="11"/>
      <c r="M58" s="11"/>
      <c r="N58" s="11"/>
      <c r="O58" s="35"/>
    </row>
    <row r="59" spans="1:15" ht="37.5" customHeight="1" x14ac:dyDescent="0.25">
      <c r="A59" s="38" t="str">
        <f t="shared" si="1"/>
        <v/>
      </c>
      <c r="B59" s="2"/>
      <c r="C59" s="2"/>
      <c r="D59" s="2"/>
      <c r="E59" s="2"/>
      <c r="F59" s="2"/>
      <c r="G59" s="39"/>
      <c r="H59" s="39"/>
      <c r="I59" s="11"/>
      <c r="J59" s="11"/>
      <c r="K59" s="11"/>
      <c r="L59" s="11"/>
      <c r="M59" s="11"/>
      <c r="N59" s="11"/>
      <c r="O59" s="35"/>
    </row>
    <row r="60" spans="1:15" ht="37.5" customHeight="1" x14ac:dyDescent="0.25">
      <c r="A60" s="38" t="str">
        <f t="shared" si="1"/>
        <v/>
      </c>
      <c r="B60" s="2"/>
      <c r="C60" s="2"/>
      <c r="D60" s="2"/>
      <c r="E60" s="2"/>
      <c r="F60" s="2"/>
      <c r="G60" s="39"/>
      <c r="H60" s="39"/>
      <c r="I60" s="11"/>
      <c r="J60" s="11"/>
      <c r="K60" s="11"/>
      <c r="L60" s="11"/>
      <c r="M60" s="11"/>
      <c r="N60" s="11"/>
      <c r="O60" s="35"/>
    </row>
    <row r="61" spans="1:15" ht="37.5" customHeight="1" x14ac:dyDescent="0.25">
      <c r="A61" s="38" t="str">
        <f t="shared" si="1"/>
        <v/>
      </c>
      <c r="B61" s="2"/>
      <c r="C61" s="2"/>
      <c r="D61" s="2"/>
      <c r="E61" s="2"/>
      <c r="F61" s="2"/>
      <c r="G61" s="39"/>
      <c r="H61" s="39"/>
      <c r="I61" s="11"/>
      <c r="J61" s="11"/>
      <c r="K61" s="11"/>
      <c r="L61" s="11"/>
      <c r="M61" s="11"/>
      <c r="N61" s="11"/>
      <c r="O61" s="35"/>
    </row>
    <row r="62" spans="1:15" ht="37.5" customHeight="1" x14ac:dyDescent="0.25">
      <c r="A62" s="38" t="str">
        <f t="shared" si="1"/>
        <v/>
      </c>
      <c r="B62" s="2"/>
      <c r="C62" s="2"/>
      <c r="D62" s="2"/>
      <c r="E62" s="2"/>
      <c r="F62" s="2"/>
      <c r="G62" s="39"/>
      <c r="H62" s="39"/>
      <c r="I62" s="11"/>
      <c r="J62" s="11"/>
      <c r="K62" s="11"/>
      <c r="L62" s="11"/>
      <c r="M62" s="11"/>
      <c r="N62" s="11"/>
      <c r="O62" s="35"/>
    </row>
    <row r="63" spans="1:15" ht="37.5" customHeight="1" x14ac:dyDescent="0.25">
      <c r="A63" s="38" t="str">
        <f t="shared" si="1"/>
        <v/>
      </c>
      <c r="B63" s="2"/>
      <c r="C63" s="2"/>
      <c r="D63" s="2"/>
      <c r="E63" s="2"/>
      <c r="F63" s="2"/>
      <c r="G63" s="39"/>
      <c r="H63" s="39"/>
      <c r="I63" s="11"/>
      <c r="J63" s="11"/>
      <c r="K63" s="11"/>
      <c r="L63" s="11"/>
      <c r="M63" s="11"/>
      <c r="N63" s="11"/>
      <c r="O63" s="35"/>
    </row>
    <row r="64" spans="1:15" ht="37.5" customHeight="1" x14ac:dyDescent="0.25">
      <c r="A64" s="38" t="str">
        <f t="shared" si="1"/>
        <v/>
      </c>
      <c r="B64" s="2"/>
      <c r="C64" s="2"/>
      <c r="D64" s="2"/>
      <c r="E64" s="2"/>
      <c r="F64" s="2"/>
      <c r="G64" s="39"/>
      <c r="H64" s="39"/>
      <c r="I64" s="11"/>
      <c r="J64" s="11"/>
      <c r="K64" s="11"/>
      <c r="L64" s="11"/>
      <c r="M64" s="11"/>
      <c r="N64" s="11"/>
      <c r="O64" s="35"/>
    </row>
    <row r="65" spans="1:15" ht="37.5" customHeight="1" x14ac:dyDescent="0.25">
      <c r="A65" s="38" t="str">
        <f t="shared" si="1"/>
        <v/>
      </c>
      <c r="B65" s="2"/>
      <c r="C65" s="2"/>
      <c r="D65" s="2"/>
      <c r="E65" s="2"/>
      <c r="F65" s="2"/>
      <c r="G65" s="39"/>
      <c r="H65" s="39"/>
      <c r="I65" s="11"/>
      <c r="J65" s="11"/>
      <c r="K65" s="11"/>
      <c r="L65" s="11"/>
      <c r="M65" s="11"/>
      <c r="N65" s="11"/>
      <c r="O65" s="35"/>
    </row>
    <row r="66" spans="1:15" ht="37.5" customHeight="1" x14ac:dyDescent="0.25">
      <c r="A66" s="38" t="str">
        <f t="shared" si="1"/>
        <v/>
      </c>
      <c r="B66" s="2"/>
      <c r="C66" s="2"/>
      <c r="D66" s="2"/>
      <c r="E66" s="2"/>
      <c r="F66" s="2"/>
      <c r="G66" s="39"/>
      <c r="H66" s="39"/>
      <c r="I66" s="11"/>
      <c r="J66" s="11"/>
      <c r="K66" s="11"/>
      <c r="L66" s="11"/>
      <c r="M66" s="11"/>
      <c r="N66" s="11"/>
      <c r="O66" s="35"/>
    </row>
    <row r="67" spans="1:15" ht="37.5" customHeight="1" x14ac:dyDescent="0.25">
      <c r="A67" s="38" t="str">
        <f t="shared" si="1"/>
        <v/>
      </c>
      <c r="B67" s="2"/>
      <c r="C67" s="2"/>
      <c r="D67" s="2"/>
      <c r="E67" s="2"/>
      <c r="F67" s="2"/>
      <c r="G67" s="39"/>
      <c r="H67" s="39"/>
      <c r="I67" s="11"/>
      <c r="J67" s="11"/>
      <c r="K67" s="11"/>
      <c r="L67" s="11"/>
      <c r="M67" s="11"/>
      <c r="N67" s="11"/>
      <c r="O67" s="35"/>
    </row>
    <row r="68" spans="1:15" ht="37.5" customHeight="1" x14ac:dyDescent="0.25">
      <c r="A68" s="38" t="str">
        <f t="shared" si="1"/>
        <v/>
      </c>
      <c r="B68" s="2"/>
      <c r="C68" s="2"/>
      <c r="D68" s="2"/>
      <c r="E68" s="2"/>
      <c r="F68" s="2"/>
      <c r="G68" s="39"/>
      <c r="H68" s="39"/>
      <c r="I68" s="11"/>
      <c r="J68" s="11"/>
      <c r="K68" s="11"/>
      <c r="L68" s="11"/>
      <c r="M68" s="11"/>
      <c r="N68" s="11"/>
      <c r="O68" s="35"/>
    </row>
    <row r="69" spans="1:15" ht="37.5" customHeight="1" x14ac:dyDescent="0.25">
      <c r="A69" s="38" t="str">
        <f t="shared" si="1"/>
        <v/>
      </c>
      <c r="B69" s="2"/>
      <c r="C69" s="2"/>
      <c r="D69" s="2"/>
      <c r="E69" s="2"/>
      <c r="F69" s="2"/>
      <c r="G69" s="39"/>
      <c r="H69" s="39"/>
      <c r="I69" s="11"/>
      <c r="J69" s="11"/>
      <c r="K69" s="11"/>
      <c r="L69" s="11"/>
      <c r="M69" s="11"/>
      <c r="N69" s="11"/>
      <c r="O69" s="35"/>
    </row>
    <row r="70" spans="1:15" ht="37.5" customHeight="1" x14ac:dyDescent="0.25">
      <c r="A70" s="38" t="str">
        <f t="shared" si="1"/>
        <v/>
      </c>
      <c r="B70" s="2"/>
      <c r="C70" s="2"/>
      <c r="D70" s="2"/>
      <c r="E70" s="2"/>
      <c r="F70" s="2"/>
      <c r="G70" s="39"/>
      <c r="H70" s="39"/>
      <c r="I70" s="11"/>
      <c r="J70" s="11"/>
      <c r="K70" s="11"/>
      <c r="L70" s="11"/>
      <c r="M70" s="11"/>
      <c r="N70" s="11"/>
      <c r="O70" s="35"/>
    </row>
    <row r="71" spans="1:15" ht="37.5" customHeight="1" x14ac:dyDescent="0.25">
      <c r="A71" s="38" t="str">
        <f t="shared" si="1"/>
        <v/>
      </c>
      <c r="B71" s="2"/>
      <c r="C71" s="2"/>
      <c r="D71" s="2"/>
      <c r="E71" s="2"/>
      <c r="F71" s="2"/>
      <c r="G71" s="39"/>
      <c r="H71" s="39"/>
      <c r="I71" s="11"/>
      <c r="J71" s="11"/>
      <c r="K71" s="11"/>
      <c r="L71" s="11"/>
      <c r="M71" s="11"/>
      <c r="N71" s="11"/>
      <c r="O71" s="35"/>
    </row>
    <row r="72" spans="1:15" ht="37.5" customHeight="1" x14ac:dyDescent="0.25">
      <c r="A72" s="38" t="str">
        <f t="shared" si="1"/>
        <v/>
      </c>
      <c r="B72" s="2"/>
      <c r="C72" s="2"/>
      <c r="D72" s="2"/>
      <c r="E72" s="2"/>
      <c r="F72" s="2"/>
      <c r="G72" s="39"/>
      <c r="H72" s="39"/>
      <c r="I72" s="11"/>
      <c r="J72" s="11"/>
      <c r="K72" s="11"/>
      <c r="L72" s="11"/>
      <c r="M72" s="11"/>
      <c r="N72" s="11"/>
      <c r="O72" s="35"/>
    </row>
    <row r="73" spans="1:15" ht="37.5" customHeight="1" x14ac:dyDescent="0.25">
      <c r="A73" s="38" t="str">
        <f t="shared" si="1"/>
        <v/>
      </c>
      <c r="B73" s="2"/>
      <c r="C73" s="2"/>
      <c r="D73" s="2"/>
      <c r="E73" s="2"/>
      <c r="F73" s="2"/>
      <c r="G73" s="39"/>
      <c r="H73" s="39"/>
      <c r="I73" s="11"/>
      <c r="J73" s="11"/>
      <c r="K73" s="11"/>
      <c r="L73" s="11"/>
      <c r="M73" s="11"/>
      <c r="N73" s="11"/>
      <c r="O73" s="35"/>
    </row>
    <row r="74" spans="1:15" ht="37.5" customHeight="1" x14ac:dyDescent="0.25">
      <c r="A74" s="38" t="str">
        <f t="shared" si="1"/>
        <v/>
      </c>
      <c r="B74" s="2"/>
      <c r="C74" s="2"/>
      <c r="D74" s="2"/>
      <c r="E74" s="2"/>
      <c r="F74" s="2"/>
      <c r="G74" s="39"/>
      <c r="H74" s="39"/>
      <c r="I74" s="11"/>
      <c r="J74" s="11"/>
      <c r="K74" s="11"/>
      <c r="L74" s="11"/>
      <c r="M74" s="11"/>
      <c r="N74" s="11"/>
      <c r="O74" s="35"/>
    </row>
    <row r="75" spans="1:15" ht="37.5" customHeight="1" x14ac:dyDescent="0.25">
      <c r="A75" s="38" t="str">
        <f t="shared" si="1"/>
        <v/>
      </c>
      <c r="B75" s="2"/>
      <c r="C75" s="2"/>
      <c r="D75" s="2"/>
      <c r="E75" s="2"/>
      <c r="F75" s="2"/>
      <c r="G75" s="39"/>
      <c r="H75" s="39"/>
      <c r="I75" s="11"/>
      <c r="J75" s="11"/>
      <c r="K75" s="11"/>
      <c r="L75" s="11"/>
      <c r="M75" s="11"/>
      <c r="N75" s="11"/>
      <c r="O75" s="35"/>
    </row>
    <row r="76" spans="1:15" ht="37.5" customHeight="1" x14ac:dyDescent="0.25">
      <c r="A76" s="38" t="str">
        <f t="shared" si="1"/>
        <v/>
      </c>
      <c r="B76" s="2"/>
      <c r="C76" s="2"/>
      <c r="D76" s="2"/>
      <c r="E76" s="2"/>
      <c r="F76" s="2"/>
      <c r="G76" s="39"/>
      <c r="H76" s="39"/>
      <c r="I76" s="11"/>
      <c r="J76" s="11"/>
      <c r="K76" s="11"/>
      <c r="L76" s="11"/>
      <c r="M76" s="11"/>
      <c r="N76" s="11"/>
      <c r="O76" s="35"/>
    </row>
    <row r="77" spans="1:15" ht="37.5" customHeight="1" x14ac:dyDescent="0.25">
      <c r="A77" s="38" t="str">
        <f t="shared" si="1"/>
        <v/>
      </c>
      <c r="B77" s="2"/>
      <c r="C77" s="2"/>
      <c r="D77" s="2"/>
      <c r="E77" s="2"/>
      <c r="F77" s="2"/>
      <c r="G77" s="39"/>
      <c r="H77" s="39"/>
      <c r="I77" s="11"/>
      <c r="J77" s="11"/>
      <c r="K77" s="11"/>
      <c r="L77" s="11"/>
      <c r="M77" s="11"/>
      <c r="N77" s="11"/>
      <c r="O77" s="35"/>
    </row>
    <row r="78" spans="1:15" ht="37.5" customHeight="1" x14ac:dyDescent="0.25">
      <c r="A78" s="38" t="str">
        <f t="shared" si="1"/>
        <v/>
      </c>
      <c r="B78" s="2"/>
      <c r="C78" s="2"/>
      <c r="D78" s="2"/>
      <c r="E78" s="2"/>
      <c r="F78" s="2"/>
      <c r="G78" s="39"/>
      <c r="H78" s="39"/>
      <c r="I78" s="11"/>
      <c r="J78" s="11"/>
      <c r="K78" s="11"/>
      <c r="L78" s="11"/>
      <c r="M78" s="11"/>
      <c r="N78" s="11"/>
      <c r="O78" s="35"/>
    </row>
    <row r="79" spans="1:15" ht="37.5" customHeight="1" x14ac:dyDescent="0.25">
      <c r="A79" s="38" t="str">
        <f t="shared" si="1"/>
        <v/>
      </c>
      <c r="B79" s="2"/>
      <c r="C79" s="2"/>
      <c r="D79" s="2"/>
      <c r="E79" s="2"/>
      <c r="F79" s="2"/>
      <c r="G79" s="39"/>
      <c r="H79" s="39"/>
      <c r="I79" s="11"/>
      <c r="J79" s="11"/>
      <c r="K79" s="11"/>
      <c r="L79" s="11"/>
      <c r="M79" s="11"/>
      <c r="N79" s="11"/>
      <c r="O79" s="35"/>
    </row>
    <row r="80" spans="1:15" ht="37.5" customHeight="1" x14ac:dyDescent="0.25">
      <c r="A80" s="38" t="str">
        <f t="shared" si="1"/>
        <v/>
      </c>
      <c r="B80" s="2"/>
      <c r="C80" s="2"/>
      <c r="D80" s="2"/>
      <c r="E80" s="2"/>
      <c r="F80" s="2"/>
      <c r="G80" s="39"/>
      <c r="H80" s="39"/>
      <c r="I80" s="11"/>
      <c r="J80" s="11"/>
      <c r="K80" s="11"/>
      <c r="L80" s="11"/>
      <c r="M80" s="11"/>
      <c r="N80" s="11"/>
      <c r="O80" s="35"/>
    </row>
    <row r="81" spans="1:15" ht="37.5" customHeight="1" x14ac:dyDescent="0.25">
      <c r="A81" s="38" t="str">
        <f t="shared" si="1"/>
        <v/>
      </c>
      <c r="B81" s="2"/>
      <c r="C81" s="2"/>
      <c r="D81" s="2"/>
      <c r="E81" s="2"/>
      <c r="F81" s="2"/>
      <c r="G81" s="39"/>
      <c r="H81" s="39"/>
      <c r="I81" s="11"/>
      <c r="J81" s="11"/>
      <c r="K81" s="11"/>
      <c r="L81" s="11"/>
      <c r="M81" s="11"/>
      <c r="N81" s="11"/>
      <c r="O81" s="35"/>
    </row>
    <row r="82" spans="1:15" ht="37.5" customHeight="1" x14ac:dyDescent="0.25">
      <c r="A82" s="38" t="str">
        <f t="shared" si="1"/>
        <v/>
      </c>
      <c r="B82" s="2"/>
      <c r="C82" s="2"/>
      <c r="D82" s="2"/>
      <c r="E82" s="2"/>
      <c r="F82" s="2"/>
      <c r="G82" s="39"/>
      <c r="H82" s="39"/>
      <c r="I82" s="11"/>
      <c r="J82" s="11"/>
      <c r="K82" s="11"/>
      <c r="L82" s="11"/>
      <c r="M82" s="11"/>
      <c r="N82" s="11"/>
      <c r="O82" s="35"/>
    </row>
    <row r="83" spans="1:15" ht="37.5" customHeight="1" x14ac:dyDescent="0.25">
      <c r="A83" s="38" t="str">
        <f t="shared" si="1"/>
        <v/>
      </c>
      <c r="B83" s="2"/>
      <c r="C83" s="2"/>
      <c r="D83" s="2"/>
      <c r="E83" s="2"/>
      <c r="F83" s="2"/>
      <c r="G83" s="39"/>
      <c r="H83" s="39"/>
      <c r="I83" s="11"/>
      <c r="J83" s="11"/>
      <c r="K83" s="11"/>
      <c r="L83" s="11"/>
      <c r="M83" s="11"/>
      <c r="N83" s="11"/>
      <c r="O83" s="35"/>
    </row>
    <row r="84" spans="1:15" ht="37.5" customHeight="1" x14ac:dyDescent="0.25">
      <c r="A84" s="38" t="str">
        <f t="shared" si="1"/>
        <v/>
      </c>
      <c r="B84" s="2"/>
      <c r="C84" s="2"/>
      <c r="D84" s="2"/>
      <c r="E84" s="2"/>
      <c r="F84" s="2"/>
      <c r="G84" s="39"/>
      <c r="H84" s="39"/>
      <c r="I84" s="11"/>
      <c r="J84" s="11"/>
      <c r="K84" s="11"/>
      <c r="L84" s="11"/>
      <c r="M84" s="11"/>
      <c r="N84" s="11"/>
      <c r="O84" s="35"/>
    </row>
    <row r="85" spans="1:15" ht="37.5" customHeight="1" x14ac:dyDescent="0.25">
      <c r="A85" s="38" t="str">
        <f t="shared" si="1"/>
        <v/>
      </c>
      <c r="B85" s="2"/>
      <c r="C85" s="2"/>
      <c r="D85" s="2"/>
      <c r="E85" s="2"/>
      <c r="F85" s="2"/>
      <c r="G85" s="39"/>
      <c r="H85" s="39"/>
      <c r="I85" s="11"/>
      <c r="J85" s="11"/>
      <c r="K85" s="11"/>
      <c r="L85" s="11"/>
      <c r="M85" s="11"/>
      <c r="N85" s="11"/>
      <c r="O85" s="35"/>
    </row>
    <row r="86" spans="1:15" ht="37.5" customHeight="1" x14ac:dyDescent="0.25">
      <c r="A86" s="38" t="str">
        <f t="shared" si="1"/>
        <v/>
      </c>
      <c r="B86" s="2"/>
      <c r="C86" s="2"/>
      <c r="D86" s="2"/>
      <c r="E86" s="2"/>
      <c r="F86" s="2"/>
      <c r="G86" s="39"/>
      <c r="H86" s="39"/>
      <c r="I86" s="11"/>
      <c r="J86" s="11"/>
      <c r="K86" s="11"/>
      <c r="L86" s="11"/>
      <c r="M86" s="11"/>
      <c r="N86" s="11"/>
      <c r="O86" s="35"/>
    </row>
    <row r="87" spans="1:15" ht="37.5" customHeight="1" x14ac:dyDescent="0.25">
      <c r="A87" s="38" t="str">
        <f t="shared" si="1"/>
        <v/>
      </c>
      <c r="B87" s="2"/>
      <c r="C87" s="2"/>
      <c r="D87" s="2"/>
      <c r="E87" s="2"/>
      <c r="F87" s="2"/>
      <c r="G87" s="39"/>
      <c r="H87" s="39"/>
      <c r="I87" s="11"/>
      <c r="J87" s="11"/>
      <c r="K87" s="11"/>
      <c r="L87" s="11"/>
      <c r="M87" s="11"/>
      <c r="N87" s="11"/>
      <c r="O87" s="35"/>
    </row>
    <row r="88" spans="1:15" ht="37.5" customHeight="1" x14ac:dyDescent="0.25">
      <c r="A88" s="38" t="str">
        <f t="shared" si="1"/>
        <v/>
      </c>
      <c r="B88" s="2"/>
      <c r="C88" s="2"/>
      <c r="D88" s="2"/>
      <c r="E88" s="2"/>
      <c r="F88" s="2"/>
      <c r="G88" s="39"/>
      <c r="H88" s="39"/>
      <c r="I88" s="11"/>
      <c r="J88" s="11"/>
      <c r="K88" s="11"/>
      <c r="L88" s="11"/>
      <c r="M88" s="11"/>
      <c r="N88" s="11"/>
      <c r="O88" s="35"/>
    </row>
    <row r="89" spans="1:15" ht="37.5" customHeight="1" x14ac:dyDescent="0.25">
      <c r="A89" s="38" t="str">
        <f t="shared" si="1"/>
        <v/>
      </c>
      <c r="B89" s="2"/>
      <c r="C89" s="2"/>
      <c r="D89" s="2"/>
      <c r="E89" s="2"/>
      <c r="F89" s="2"/>
      <c r="G89" s="39"/>
      <c r="H89" s="39"/>
      <c r="I89" s="11"/>
      <c r="J89" s="11"/>
      <c r="K89" s="11"/>
      <c r="L89" s="11"/>
      <c r="M89" s="11"/>
      <c r="N89" s="11"/>
      <c r="O89" s="35"/>
    </row>
    <row r="90" spans="1:15" ht="37.5" customHeight="1" x14ac:dyDescent="0.25">
      <c r="A90" s="38" t="str">
        <f t="shared" si="1"/>
        <v/>
      </c>
      <c r="B90" s="2"/>
      <c r="C90" s="2"/>
      <c r="D90" s="2"/>
      <c r="E90" s="2"/>
      <c r="F90" s="2"/>
      <c r="G90" s="39"/>
      <c r="H90" s="39"/>
      <c r="I90" s="11"/>
      <c r="J90" s="11"/>
      <c r="K90" s="11"/>
      <c r="L90" s="11"/>
      <c r="M90" s="11"/>
      <c r="N90" s="11"/>
      <c r="O90" s="35"/>
    </row>
    <row r="91" spans="1:15" ht="37.5" customHeight="1" x14ac:dyDescent="0.25">
      <c r="A91" s="38" t="str">
        <f t="shared" si="1"/>
        <v/>
      </c>
      <c r="B91" s="2"/>
      <c r="C91" s="2"/>
      <c r="D91" s="2"/>
      <c r="E91" s="2"/>
      <c r="F91" s="2"/>
      <c r="G91" s="39"/>
      <c r="H91" s="39"/>
      <c r="I91" s="11"/>
      <c r="J91" s="11"/>
      <c r="K91" s="11"/>
      <c r="L91" s="11"/>
      <c r="M91" s="11"/>
      <c r="N91" s="11"/>
      <c r="O91" s="35"/>
    </row>
    <row r="92" spans="1:15" ht="37.5" customHeight="1" x14ac:dyDescent="0.25">
      <c r="A92" s="38" t="str">
        <f t="shared" si="1"/>
        <v/>
      </c>
      <c r="B92" s="2"/>
      <c r="C92" s="2"/>
      <c r="D92" s="2"/>
      <c r="E92" s="2"/>
      <c r="F92" s="2"/>
      <c r="G92" s="39"/>
      <c r="H92" s="39"/>
      <c r="I92" s="11"/>
      <c r="J92" s="11"/>
      <c r="K92" s="11"/>
      <c r="L92" s="11"/>
      <c r="M92" s="11"/>
      <c r="N92" s="11"/>
      <c r="O92" s="35"/>
    </row>
    <row r="93" spans="1:15" ht="37.5" customHeight="1" x14ac:dyDescent="0.25">
      <c r="A93" s="38" t="str">
        <f t="shared" si="1"/>
        <v/>
      </c>
      <c r="B93" s="2"/>
      <c r="C93" s="2"/>
      <c r="D93" s="2"/>
      <c r="E93" s="2"/>
      <c r="F93" s="2"/>
      <c r="G93" s="39"/>
      <c r="H93" s="39"/>
      <c r="I93" s="11"/>
      <c r="J93" s="11"/>
      <c r="K93" s="11"/>
      <c r="L93" s="11"/>
      <c r="M93" s="11"/>
      <c r="N93" s="11"/>
      <c r="O93" s="35"/>
    </row>
    <row r="94" spans="1:15" ht="37.5" customHeight="1" x14ac:dyDescent="0.25">
      <c r="A94" s="38" t="str">
        <f t="shared" si="1"/>
        <v/>
      </c>
      <c r="B94" s="2"/>
      <c r="C94" s="2"/>
      <c r="D94" s="2"/>
      <c r="E94" s="2"/>
      <c r="F94" s="2"/>
      <c r="G94" s="39"/>
      <c r="H94" s="39"/>
      <c r="I94" s="11"/>
      <c r="J94" s="11"/>
      <c r="K94" s="11"/>
      <c r="L94" s="11"/>
      <c r="M94" s="11"/>
      <c r="N94" s="11"/>
      <c r="O94" s="35"/>
    </row>
    <row r="95" spans="1:15" ht="37.5" customHeight="1" x14ac:dyDescent="0.25">
      <c r="A95" s="38" t="str">
        <f t="shared" si="1"/>
        <v/>
      </c>
      <c r="B95" s="2"/>
      <c r="C95" s="2"/>
      <c r="D95" s="2"/>
      <c r="E95" s="2"/>
      <c r="F95" s="2"/>
      <c r="G95" s="39"/>
      <c r="H95" s="39"/>
      <c r="I95" s="11"/>
      <c r="J95" s="11"/>
      <c r="K95" s="11"/>
      <c r="L95" s="11"/>
      <c r="M95" s="11"/>
      <c r="N95" s="11"/>
      <c r="O95" s="35"/>
    </row>
    <row r="96" spans="1:15" ht="37.5" customHeight="1" x14ac:dyDescent="0.25">
      <c r="A96" s="38" t="str">
        <f t="shared" si="1"/>
        <v/>
      </c>
      <c r="B96" s="2"/>
      <c r="C96" s="2"/>
      <c r="D96" s="2"/>
      <c r="E96" s="2"/>
      <c r="F96" s="2"/>
      <c r="G96" s="39"/>
      <c r="H96" s="39"/>
      <c r="I96" s="11"/>
      <c r="J96" s="11"/>
      <c r="K96" s="11"/>
      <c r="L96" s="11"/>
      <c r="M96" s="11"/>
      <c r="N96" s="11"/>
      <c r="O96" s="35"/>
    </row>
    <row r="97" spans="1:15" ht="37.5" customHeight="1" x14ac:dyDescent="0.25">
      <c r="A97" s="38" t="str">
        <f t="shared" si="1"/>
        <v/>
      </c>
      <c r="B97" s="2"/>
      <c r="C97" s="2"/>
      <c r="D97" s="2"/>
      <c r="E97" s="2"/>
      <c r="F97" s="2"/>
      <c r="G97" s="39"/>
      <c r="H97" s="39"/>
      <c r="I97" s="11"/>
      <c r="J97" s="11"/>
      <c r="K97" s="11"/>
      <c r="L97" s="11"/>
      <c r="M97" s="11"/>
      <c r="N97" s="11"/>
      <c r="O97" s="35"/>
    </row>
    <row r="98" spans="1:15" ht="37.5" customHeight="1" x14ac:dyDescent="0.25">
      <c r="A98" s="38" t="str">
        <f t="shared" si="1"/>
        <v/>
      </c>
      <c r="B98" s="2"/>
      <c r="C98" s="2"/>
      <c r="D98" s="2"/>
      <c r="E98" s="2"/>
      <c r="F98" s="2"/>
      <c r="G98" s="39"/>
      <c r="H98" s="39"/>
      <c r="I98" s="11"/>
      <c r="J98" s="11"/>
      <c r="K98" s="11"/>
      <c r="L98" s="11"/>
      <c r="M98" s="11"/>
      <c r="N98" s="11"/>
      <c r="O98" s="35"/>
    </row>
    <row r="99" spans="1:15" ht="37.5" customHeight="1" x14ac:dyDescent="0.25">
      <c r="A99" s="38" t="str">
        <f t="shared" si="1"/>
        <v/>
      </c>
      <c r="B99" s="2"/>
      <c r="C99" s="2"/>
      <c r="D99" s="2"/>
      <c r="E99" s="2"/>
      <c r="F99" s="2"/>
      <c r="G99" s="39"/>
      <c r="H99" s="39"/>
      <c r="I99" s="11"/>
      <c r="J99" s="11"/>
      <c r="K99" s="11"/>
      <c r="L99" s="11"/>
      <c r="M99" s="11"/>
      <c r="N99" s="11"/>
      <c r="O99" s="35"/>
    </row>
    <row r="100" spans="1:15" ht="37.5" customHeight="1" x14ac:dyDescent="0.25">
      <c r="A100" s="38" t="str">
        <f t="shared" si="1"/>
        <v/>
      </c>
      <c r="B100" s="2"/>
      <c r="C100" s="2"/>
      <c r="D100" s="2"/>
      <c r="E100" s="2"/>
      <c r="F100" s="2"/>
      <c r="G100" s="39"/>
      <c r="H100" s="39"/>
      <c r="I100" s="11"/>
      <c r="J100" s="11"/>
      <c r="K100" s="11"/>
      <c r="L100" s="11"/>
      <c r="M100" s="11"/>
      <c r="N100" s="11"/>
      <c r="O100" s="35"/>
    </row>
    <row r="101" spans="1:15" ht="37.5" customHeight="1" x14ac:dyDescent="0.25">
      <c r="A101" s="38" t="str">
        <f t="shared" si="1"/>
        <v/>
      </c>
      <c r="B101" s="2"/>
      <c r="C101" s="2"/>
      <c r="D101" s="2"/>
      <c r="E101" s="2"/>
      <c r="F101" s="2"/>
      <c r="G101" s="39"/>
      <c r="H101" s="39"/>
      <c r="I101" s="11"/>
      <c r="J101" s="11"/>
      <c r="K101" s="11"/>
      <c r="L101" s="11"/>
      <c r="M101" s="11"/>
      <c r="N101" s="11"/>
      <c r="O101" s="35"/>
    </row>
    <row r="102" spans="1:15" ht="37.5" customHeight="1" x14ac:dyDescent="0.25">
      <c r="A102" s="38" t="str">
        <f t="shared" si="1"/>
        <v/>
      </c>
      <c r="B102" s="2"/>
      <c r="C102" s="2"/>
      <c r="D102" s="2"/>
      <c r="E102" s="2"/>
      <c r="F102" s="2"/>
      <c r="G102" s="39"/>
      <c r="H102" s="39"/>
      <c r="I102" s="11"/>
      <c r="J102" s="11"/>
      <c r="K102" s="11"/>
      <c r="L102" s="11"/>
      <c r="M102" s="11"/>
      <c r="N102" s="11"/>
      <c r="O102" s="35"/>
    </row>
    <row r="103" spans="1:15" ht="37.5" customHeight="1" x14ac:dyDescent="0.25">
      <c r="A103" s="38" t="str">
        <f t="shared" si="1"/>
        <v/>
      </c>
      <c r="B103" s="2"/>
      <c r="C103" s="2"/>
      <c r="D103" s="2"/>
      <c r="E103" s="2"/>
      <c r="F103" s="2"/>
      <c r="G103" s="39"/>
      <c r="H103" s="39"/>
      <c r="I103" s="11"/>
      <c r="J103" s="11"/>
      <c r="K103" s="11"/>
      <c r="L103" s="11"/>
      <c r="M103" s="11"/>
      <c r="N103" s="11"/>
      <c r="O103" s="35"/>
    </row>
    <row r="104" spans="1:15" ht="37.5" customHeight="1" x14ac:dyDescent="0.25">
      <c r="A104" s="38" t="str">
        <f t="shared" si="1"/>
        <v/>
      </c>
      <c r="B104" s="2"/>
      <c r="C104" s="2"/>
      <c r="D104" s="2"/>
      <c r="E104" s="2"/>
      <c r="F104" s="2"/>
      <c r="G104" s="39"/>
      <c r="H104" s="39"/>
      <c r="I104" s="11"/>
      <c r="J104" s="11"/>
      <c r="K104" s="11"/>
      <c r="L104" s="11"/>
      <c r="M104" s="11"/>
      <c r="N104" s="11"/>
      <c r="O104" s="35"/>
    </row>
    <row r="105" spans="1:15" ht="37.5" customHeight="1" x14ac:dyDescent="0.25">
      <c r="A105" s="38" t="str">
        <f t="shared" si="1"/>
        <v/>
      </c>
      <c r="B105" s="2"/>
      <c r="C105" s="2"/>
      <c r="D105" s="2"/>
      <c r="E105" s="2"/>
      <c r="F105" s="2"/>
      <c r="G105" s="39"/>
      <c r="H105" s="39"/>
      <c r="I105" s="11"/>
      <c r="J105" s="11"/>
      <c r="K105" s="11"/>
      <c r="L105" s="11"/>
      <c r="M105" s="11"/>
      <c r="N105" s="11"/>
      <c r="O105" s="35"/>
    </row>
    <row r="106" spans="1:15" ht="37.5" customHeight="1" x14ac:dyDescent="0.25">
      <c r="A106" s="38" t="str">
        <f t="shared" si="1"/>
        <v/>
      </c>
      <c r="B106" s="2"/>
      <c r="C106" s="2"/>
      <c r="D106" s="2"/>
      <c r="E106" s="2"/>
      <c r="F106" s="2"/>
      <c r="G106" s="39"/>
      <c r="H106" s="39"/>
      <c r="I106" s="11"/>
      <c r="J106" s="11"/>
      <c r="K106" s="11"/>
      <c r="L106" s="11"/>
      <c r="M106" s="11"/>
      <c r="N106" s="11"/>
      <c r="O106" s="35"/>
    </row>
    <row r="107" spans="1:15" ht="37.5" customHeight="1" x14ac:dyDescent="0.25">
      <c r="A107" s="38" t="str">
        <f t="shared" si="1"/>
        <v/>
      </c>
      <c r="B107" s="2"/>
      <c r="C107" s="2"/>
      <c r="D107" s="2"/>
      <c r="E107" s="2"/>
      <c r="F107" s="2"/>
      <c r="G107" s="39"/>
      <c r="H107" s="39"/>
      <c r="I107" s="11"/>
      <c r="J107" s="11"/>
      <c r="K107" s="11"/>
      <c r="L107" s="11"/>
      <c r="M107" s="11"/>
      <c r="N107" s="11"/>
      <c r="O107" s="35"/>
    </row>
    <row r="108" spans="1:15" ht="37.5" customHeight="1" x14ac:dyDescent="0.25">
      <c r="A108" s="38" t="str">
        <f t="shared" si="1"/>
        <v/>
      </c>
      <c r="B108" s="2"/>
      <c r="C108" s="2"/>
      <c r="D108" s="2"/>
      <c r="E108" s="2"/>
      <c r="F108" s="2"/>
      <c r="G108" s="39"/>
      <c r="H108" s="39"/>
      <c r="I108" s="11"/>
      <c r="J108" s="11"/>
      <c r="K108" s="11"/>
      <c r="L108" s="11"/>
      <c r="M108" s="11"/>
      <c r="N108" s="11"/>
      <c r="O108" s="35"/>
    </row>
    <row r="109" spans="1:15" ht="37.5" customHeight="1" x14ac:dyDescent="0.25">
      <c r="A109" s="38" t="str">
        <f t="shared" si="1"/>
        <v/>
      </c>
      <c r="B109" s="2"/>
      <c r="C109" s="2"/>
      <c r="D109" s="2"/>
      <c r="E109" s="2"/>
      <c r="F109" s="2"/>
      <c r="G109" s="39"/>
      <c r="H109" s="39"/>
      <c r="I109" s="11"/>
      <c r="J109" s="11"/>
      <c r="K109" s="11"/>
      <c r="L109" s="11"/>
      <c r="M109" s="11"/>
      <c r="N109" s="11"/>
      <c r="O109" s="35"/>
    </row>
    <row r="110" spans="1:15" ht="37.5" customHeight="1" x14ac:dyDescent="0.25">
      <c r="A110" s="38" t="str">
        <f t="shared" si="1"/>
        <v/>
      </c>
      <c r="B110" s="2"/>
      <c r="C110" s="2"/>
      <c r="D110" s="2"/>
      <c r="E110" s="2"/>
      <c r="F110" s="2"/>
      <c r="G110" s="39"/>
      <c r="H110" s="39"/>
      <c r="I110" s="11"/>
      <c r="J110" s="11"/>
      <c r="K110" s="11"/>
      <c r="L110" s="11"/>
      <c r="M110" s="11"/>
      <c r="N110" s="11"/>
      <c r="O110" s="35"/>
    </row>
    <row r="111" spans="1:15" ht="37.5" customHeight="1" x14ac:dyDescent="0.25">
      <c r="A111" s="38" t="str">
        <f t="shared" si="1"/>
        <v/>
      </c>
      <c r="B111" s="2"/>
      <c r="C111" s="2"/>
      <c r="D111" s="2"/>
      <c r="E111" s="2"/>
      <c r="F111" s="2"/>
      <c r="G111" s="39"/>
      <c r="H111" s="39"/>
      <c r="I111" s="11"/>
      <c r="J111" s="11"/>
      <c r="K111" s="11"/>
      <c r="L111" s="11"/>
      <c r="M111" s="11"/>
      <c r="N111" s="11"/>
      <c r="O111" s="35"/>
    </row>
    <row r="112" spans="1:15" ht="37.5" customHeight="1" x14ac:dyDescent="0.25">
      <c r="A112" s="38" t="str">
        <f t="shared" si="1"/>
        <v/>
      </c>
      <c r="B112" s="2"/>
      <c r="C112" s="2"/>
      <c r="D112" s="2"/>
      <c r="E112" s="2"/>
      <c r="F112" s="2"/>
      <c r="G112" s="39"/>
      <c r="H112" s="39"/>
      <c r="I112" s="11"/>
      <c r="J112" s="11"/>
      <c r="K112" s="11"/>
      <c r="L112" s="11"/>
      <c r="M112" s="11"/>
      <c r="N112" s="11"/>
      <c r="O112" s="35"/>
    </row>
    <row r="113" spans="1:15" ht="37.5" customHeight="1" x14ac:dyDescent="0.25">
      <c r="A113" s="38" t="str">
        <f t="shared" si="1"/>
        <v/>
      </c>
      <c r="B113" s="2"/>
      <c r="C113" s="2"/>
      <c r="D113" s="2"/>
      <c r="E113" s="2"/>
      <c r="F113" s="2"/>
      <c r="G113" s="39"/>
      <c r="H113" s="39"/>
      <c r="I113" s="11"/>
      <c r="J113" s="11"/>
      <c r="K113" s="11"/>
      <c r="L113" s="11"/>
      <c r="M113" s="11"/>
      <c r="N113" s="11"/>
      <c r="O113" s="35"/>
    </row>
    <row r="114" spans="1:15" ht="37.5" customHeight="1" x14ac:dyDescent="0.25">
      <c r="A114" s="38" t="str">
        <f t="shared" si="1"/>
        <v/>
      </c>
      <c r="B114" s="2"/>
      <c r="C114" s="2"/>
      <c r="D114" s="2"/>
      <c r="E114" s="2"/>
      <c r="F114" s="2"/>
      <c r="G114" s="39"/>
      <c r="H114" s="39"/>
      <c r="I114" s="11"/>
      <c r="J114" s="11"/>
      <c r="K114" s="11"/>
      <c r="L114" s="11"/>
      <c r="M114" s="11"/>
      <c r="N114" s="11"/>
      <c r="O114" s="35"/>
    </row>
    <row r="115" spans="1:15" ht="37.5" customHeight="1" x14ac:dyDescent="0.25">
      <c r="A115" s="38" t="str">
        <f t="shared" si="1"/>
        <v/>
      </c>
      <c r="B115" s="2"/>
      <c r="C115" s="2"/>
      <c r="D115" s="2"/>
      <c r="E115" s="2"/>
      <c r="F115" s="2"/>
      <c r="G115" s="39"/>
      <c r="H115" s="39"/>
      <c r="I115" s="11"/>
      <c r="J115" s="11"/>
      <c r="K115" s="11"/>
      <c r="L115" s="11"/>
      <c r="M115" s="11"/>
      <c r="N115" s="11"/>
      <c r="O115" s="35"/>
    </row>
    <row r="116" spans="1:15" ht="37.5" customHeight="1" x14ac:dyDescent="0.25">
      <c r="A116" s="38" t="str">
        <f t="shared" si="1"/>
        <v/>
      </c>
      <c r="B116" s="2"/>
      <c r="C116" s="2"/>
      <c r="D116" s="2"/>
      <c r="E116" s="2"/>
      <c r="F116" s="2"/>
      <c r="G116" s="39"/>
      <c r="H116" s="39"/>
      <c r="I116" s="11"/>
      <c r="J116" s="11"/>
      <c r="K116" s="11"/>
      <c r="L116" s="11"/>
      <c r="M116" s="11"/>
      <c r="N116" s="11"/>
      <c r="O116" s="35"/>
    </row>
    <row r="117" spans="1:15" ht="37.5" customHeight="1" x14ac:dyDescent="0.25">
      <c r="A117" s="38" t="str">
        <f t="shared" si="1"/>
        <v/>
      </c>
      <c r="B117" s="2"/>
      <c r="C117" s="2"/>
      <c r="D117" s="2"/>
      <c r="E117" s="2"/>
      <c r="F117" s="2"/>
      <c r="G117" s="39"/>
      <c r="H117" s="39"/>
      <c r="I117" s="11"/>
      <c r="J117" s="11"/>
      <c r="K117" s="11"/>
      <c r="L117" s="11"/>
      <c r="M117" s="11"/>
      <c r="N117" s="11"/>
      <c r="O117" s="35"/>
    </row>
    <row r="118" spans="1:15" ht="37.5" customHeight="1" x14ac:dyDescent="0.25">
      <c r="A118" s="38" t="str">
        <f t="shared" si="1"/>
        <v/>
      </c>
      <c r="B118" s="2"/>
      <c r="C118" s="2"/>
      <c r="D118" s="2"/>
      <c r="E118" s="2"/>
      <c r="F118" s="2"/>
      <c r="G118" s="39"/>
      <c r="H118" s="39"/>
      <c r="I118" s="11"/>
      <c r="J118" s="11"/>
      <c r="K118" s="11"/>
      <c r="L118" s="11"/>
      <c r="M118" s="11"/>
      <c r="N118" s="11"/>
      <c r="O118" s="35"/>
    </row>
    <row r="119" spans="1:15" ht="37.5" customHeight="1" x14ac:dyDescent="0.25">
      <c r="A119" s="38" t="str">
        <f t="shared" si="1"/>
        <v/>
      </c>
      <c r="B119" s="2"/>
      <c r="C119" s="2"/>
      <c r="D119" s="2"/>
      <c r="E119" s="2"/>
      <c r="F119" s="2"/>
      <c r="G119" s="39"/>
      <c r="H119" s="39"/>
      <c r="I119" s="11"/>
      <c r="J119" s="11"/>
      <c r="K119" s="11"/>
      <c r="L119" s="11"/>
      <c r="M119" s="11"/>
      <c r="N119" s="11"/>
      <c r="O119" s="35"/>
    </row>
    <row r="120" spans="1:15" ht="37.5" customHeight="1" x14ac:dyDescent="0.25">
      <c r="A120" s="38" t="str">
        <f t="shared" si="1"/>
        <v/>
      </c>
      <c r="B120" s="2"/>
      <c r="C120" s="2"/>
      <c r="D120" s="2"/>
      <c r="E120" s="2"/>
      <c r="F120" s="2"/>
      <c r="G120" s="39"/>
      <c r="H120" s="39"/>
      <c r="I120" s="11"/>
      <c r="J120" s="11"/>
      <c r="K120" s="11"/>
      <c r="L120" s="11"/>
      <c r="M120" s="11"/>
      <c r="N120" s="11"/>
      <c r="O120" s="35"/>
    </row>
    <row r="121" spans="1:15" ht="37.5" customHeight="1" x14ac:dyDescent="0.25">
      <c r="A121" s="38" t="str">
        <f t="shared" si="1"/>
        <v/>
      </c>
      <c r="B121" s="2"/>
      <c r="C121" s="2"/>
      <c r="D121" s="2"/>
      <c r="E121" s="2"/>
      <c r="F121" s="2"/>
      <c r="G121" s="39"/>
      <c r="H121" s="39"/>
      <c r="I121" s="11"/>
      <c r="J121" s="11"/>
      <c r="K121" s="11"/>
      <c r="L121" s="11"/>
      <c r="M121" s="11"/>
      <c r="N121" s="11"/>
      <c r="O121" s="35"/>
    </row>
    <row r="122" spans="1:15" ht="37.5" customHeight="1" x14ac:dyDescent="0.25">
      <c r="A122" s="38" t="str">
        <f t="shared" si="1"/>
        <v/>
      </c>
      <c r="B122" s="2"/>
      <c r="C122" s="2"/>
      <c r="D122" s="2"/>
      <c r="E122" s="2"/>
      <c r="F122" s="2"/>
      <c r="G122" s="39"/>
      <c r="H122" s="39"/>
      <c r="I122" s="11"/>
      <c r="J122" s="11"/>
      <c r="K122" s="11"/>
      <c r="L122" s="11"/>
      <c r="M122" s="11"/>
      <c r="N122" s="11"/>
      <c r="O122" s="35"/>
    </row>
    <row r="123" spans="1:15" ht="37.5" customHeight="1" x14ac:dyDescent="0.25">
      <c r="A123" s="38" t="str">
        <f t="shared" si="1"/>
        <v/>
      </c>
      <c r="B123" s="2"/>
      <c r="C123" s="2"/>
      <c r="D123" s="2"/>
      <c r="E123" s="2"/>
      <c r="F123" s="2"/>
      <c r="G123" s="39"/>
      <c r="H123" s="39"/>
      <c r="I123" s="11"/>
      <c r="J123" s="11"/>
      <c r="K123" s="11"/>
      <c r="L123" s="11"/>
      <c r="M123" s="11"/>
      <c r="N123" s="11"/>
      <c r="O123" s="35"/>
    </row>
    <row r="124" spans="1:15" ht="37.5" customHeight="1" x14ac:dyDescent="0.25">
      <c r="A124" s="38" t="str">
        <f t="shared" si="1"/>
        <v/>
      </c>
      <c r="B124" s="2"/>
      <c r="C124" s="2"/>
      <c r="D124" s="2"/>
      <c r="E124" s="2"/>
      <c r="F124" s="2"/>
      <c r="G124" s="39"/>
      <c r="H124" s="39"/>
      <c r="I124" s="11"/>
      <c r="J124" s="11"/>
      <c r="K124" s="11"/>
      <c r="L124" s="11"/>
      <c r="M124" s="11"/>
      <c r="N124" s="11"/>
      <c r="O124" s="35"/>
    </row>
    <row r="125" spans="1:15" ht="37.5" customHeight="1" x14ac:dyDescent="0.25">
      <c r="A125" s="38" t="str">
        <f t="shared" si="1"/>
        <v/>
      </c>
      <c r="B125" s="2"/>
      <c r="C125" s="2"/>
      <c r="D125" s="2"/>
      <c r="E125" s="2"/>
      <c r="F125" s="2"/>
      <c r="G125" s="39"/>
      <c r="H125" s="39"/>
      <c r="I125" s="11"/>
      <c r="J125" s="11"/>
      <c r="K125" s="11"/>
      <c r="L125" s="11"/>
      <c r="M125" s="11"/>
      <c r="N125" s="11"/>
      <c r="O125" s="35"/>
    </row>
    <row r="126" spans="1:15" ht="37.5" customHeight="1" x14ac:dyDescent="0.25">
      <c r="A126" s="38" t="str">
        <f t="shared" si="1"/>
        <v/>
      </c>
      <c r="B126" s="2"/>
      <c r="C126" s="2"/>
      <c r="D126" s="2"/>
      <c r="E126" s="2"/>
      <c r="F126" s="2"/>
      <c r="G126" s="39"/>
      <c r="H126" s="39"/>
      <c r="I126" s="11"/>
      <c r="J126" s="11"/>
      <c r="K126" s="11"/>
      <c r="L126" s="11"/>
      <c r="M126" s="11"/>
      <c r="N126" s="11"/>
      <c r="O126" s="35"/>
    </row>
    <row r="127" spans="1:15" ht="37.5" customHeight="1" x14ac:dyDescent="0.25">
      <c r="A127" s="38" t="str">
        <f t="shared" si="1"/>
        <v/>
      </c>
      <c r="B127" s="2"/>
      <c r="C127" s="2"/>
      <c r="D127" s="2"/>
      <c r="E127" s="2"/>
      <c r="F127" s="2"/>
      <c r="G127" s="39"/>
      <c r="H127" s="39"/>
      <c r="I127" s="11"/>
      <c r="J127" s="11"/>
      <c r="K127" s="11"/>
      <c r="L127" s="11"/>
      <c r="M127" s="11"/>
      <c r="N127" s="11"/>
      <c r="O127" s="35"/>
    </row>
    <row r="128" spans="1:15" ht="37.5" customHeight="1" x14ac:dyDescent="0.25">
      <c r="A128" s="38" t="str">
        <f t="shared" si="1"/>
        <v/>
      </c>
      <c r="B128" s="2"/>
      <c r="C128" s="2"/>
      <c r="D128" s="2"/>
      <c r="E128" s="2"/>
      <c r="F128" s="2"/>
      <c r="G128" s="39"/>
      <c r="H128" s="39"/>
      <c r="I128" s="11"/>
      <c r="J128" s="11"/>
      <c r="K128" s="11"/>
      <c r="L128" s="11"/>
      <c r="M128" s="11"/>
      <c r="N128" s="11"/>
      <c r="O128" s="35"/>
    </row>
    <row r="129" spans="1:15" ht="37.5" customHeight="1" x14ac:dyDescent="0.25">
      <c r="A129" s="38" t="str">
        <f t="shared" si="1"/>
        <v/>
      </c>
      <c r="B129" s="2"/>
      <c r="C129" s="2"/>
      <c r="D129" s="2"/>
      <c r="E129" s="2"/>
      <c r="F129" s="2"/>
      <c r="G129" s="39"/>
      <c r="H129" s="39"/>
      <c r="I129" s="11"/>
      <c r="J129" s="11"/>
      <c r="K129" s="11"/>
      <c r="L129" s="11"/>
      <c r="M129" s="11"/>
      <c r="N129" s="11"/>
      <c r="O129" s="35"/>
    </row>
    <row r="130" spans="1:15" ht="37.5" customHeight="1" x14ac:dyDescent="0.25">
      <c r="A130" s="38" t="str">
        <f t="shared" si="1"/>
        <v/>
      </c>
      <c r="B130" s="2"/>
      <c r="C130" s="2"/>
      <c r="D130" s="2"/>
      <c r="E130" s="2"/>
      <c r="F130" s="2"/>
      <c r="G130" s="39"/>
      <c r="H130" s="39"/>
      <c r="I130" s="11"/>
      <c r="J130" s="11"/>
      <c r="K130" s="11"/>
      <c r="L130" s="11"/>
      <c r="M130" s="11"/>
      <c r="N130" s="11"/>
      <c r="O130" s="35"/>
    </row>
    <row r="131" spans="1:15" ht="37.5" customHeight="1" x14ac:dyDescent="0.25">
      <c r="A131" s="38" t="str">
        <f t="shared" si="1"/>
        <v/>
      </c>
      <c r="B131" s="2"/>
      <c r="C131" s="2"/>
      <c r="D131" s="2"/>
      <c r="E131" s="2"/>
      <c r="F131" s="2"/>
      <c r="G131" s="39"/>
      <c r="H131" s="39"/>
      <c r="I131" s="11"/>
      <c r="J131" s="11"/>
      <c r="K131" s="11"/>
      <c r="L131" s="11"/>
      <c r="M131" s="11"/>
      <c r="N131" s="11"/>
      <c r="O131" s="35"/>
    </row>
    <row r="132" spans="1:15" ht="37.5" customHeight="1" x14ac:dyDescent="0.25">
      <c r="A132" s="38" t="str">
        <f t="shared" si="1"/>
        <v/>
      </c>
      <c r="B132" s="2"/>
      <c r="C132" s="2"/>
      <c r="D132" s="2"/>
      <c r="E132" s="2"/>
      <c r="F132" s="2"/>
      <c r="G132" s="39"/>
      <c r="H132" s="39"/>
      <c r="I132" s="11"/>
      <c r="J132" s="11"/>
      <c r="K132" s="11"/>
      <c r="L132" s="11"/>
      <c r="M132" s="11"/>
      <c r="N132" s="11"/>
      <c r="O132" s="35"/>
    </row>
    <row r="133" spans="1:15" ht="37.5" customHeight="1" x14ac:dyDescent="0.25">
      <c r="A133" s="38" t="str">
        <f t="shared" si="1"/>
        <v/>
      </c>
      <c r="B133" s="2"/>
      <c r="C133" s="2"/>
      <c r="D133" s="2"/>
      <c r="E133" s="2"/>
      <c r="F133" s="2"/>
      <c r="G133" s="39"/>
      <c r="H133" s="39"/>
      <c r="I133" s="11"/>
      <c r="J133" s="11"/>
      <c r="K133" s="11"/>
      <c r="L133" s="11"/>
      <c r="M133" s="11"/>
      <c r="N133" s="11"/>
      <c r="O133" s="35"/>
    </row>
    <row r="134" spans="1:15" ht="37.5" customHeight="1" x14ac:dyDescent="0.25">
      <c r="A134" s="38" t="str">
        <f t="shared" si="1"/>
        <v/>
      </c>
      <c r="B134" s="2"/>
      <c r="C134" s="2"/>
      <c r="D134" s="2"/>
      <c r="E134" s="2"/>
      <c r="F134" s="2"/>
      <c r="G134" s="39"/>
      <c r="H134" s="39"/>
      <c r="I134" s="11"/>
      <c r="J134" s="11"/>
      <c r="K134" s="11"/>
      <c r="L134" s="11"/>
      <c r="M134" s="11"/>
      <c r="N134" s="11"/>
      <c r="O134" s="35"/>
    </row>
    <row r="135" spans="1:15" ht="37.5" customHeight="1" x14ac:dyDescent="0.25">
      <c r="A135" s="38" t="str">
        <f t="shared" si="1"/>
        <v/>
      </c>
      <c r="B135" s="2"/>
      <c r="C135" s="2"/>
      <c r="D135" s="2"/>
      <c r="E135" s="2"/>
      <c r="F135" s="2"/>
      <c r="G135" s="39"/>
      <c r="H135" s="39"/>
      <c r="I135" s="11"/>
      <c r="J135" s="11"/>
      <c r="K135" s="11"/>
      <c r="L135" s="11"/>
      <c r="M135" s="11"/>
      <c r="N135" s="11"/>
      <c r="O135" s="35"/>
    </row>
    <row r="136" spans="1:15" ht="37.5" customHeight="1" x14ac:dyDescent="0.25">
      <c r="A136" s="38" t="str">
        <f t="shared" si="1"/>
        <v/>
      </c>
      <c r="B136" s="2"/>
      <c r="C136" s="2"/>
      <c r="D136" s="2"/>
      <c r="E136" s="2"/>
      <c r="F136" s="2"/>
      <c r="G136" s="39"/>
      <c r="H136" s="39"/>
      <c r="I136" s="11"/>
      <c r="J136" s="11"/>
      <c r="K136" s="11"/>
      <c r="L136" s="11"/>
      <c r="M136" s="11"/>
      <c r="N136" s="11"/>
      <c r="O136" s="35"/>
    </row>
    <row r="137" spans="1:15" ht="37.5" customHeight="1" x14ac:dyDescent="0.25">
      <c r="A137" s="38" t="str">
        <f t="shared" si="1"/>
        <v/>
      </c>
      <c r="B137" s="2"/>
      <c r="C137" s="2"/>
      <c r="D137" s="2"/>
      <c r="E137" s="2"/>
      <c r="F137" s="2"/>
      <c r="G137" s="39"/>
      <c r="H137" s="39"/>
      <c r="I137" s="11"/>
      <c r="J137" s="11"/>
      <c r="K137" s="11"/>
      <c r="L137" s="11"/>
      <c r="M137" s="11"/>
      <c r="N137" s="11"/>
      <c r="O137" s="35"/>
    </row>
    <row r="138" spans="1:15" ht="37.5" customHeight="1" x14ac:dyDescent="0.25">
      <c r="A138" s="38" t="str">
        <f t="shared" si="1"/>
        <v/>
      </c>
      <c r="B138" s="2"/>
      <c r="C138" s="2"/>
      <c r="D138" s="2"/>
      <c r="E138" s="2"/>
      <c r="F138" s="2"/>
      <c r="G138" s="39"/>
      <c r="H138" s="39"/>
      <c r="I138" s="11"/>
      <c r="J138" s="11"/>
      <c r="K138" s="11"/>
      <c r="L138" s="11"/>
      <c r="M138" s="11"/>
      <c r="N138" s="11"/>
      <c r="O138" s="35"/>
    </row>
    <row r="139" spans="1:15" ht="37.5" customHeight="1" x14ac:dyDescent="0.25">
      <c r="A139" s="38" t="str">
        <f t="shared" si="1"/>
        <v/>
      </c>
      <c r="B139" s="2"/>
      <c r="C139" s="2"/>
      <c r="D139" s="2"/>
      <c r="E139" s="2"/>
      <c r="F139" s="2"/>
      <c r="G139" s="39"/>
      <c r="H139" s="39"/>
      <c r="I139" s="11"/>
      <c r="J139" s="11"/>
      <c r="K139" s="11"/>
      <c r="L139" s="11"/>
      <c r="M139" s="11"/>
      <c r="N139" s="11"/>
      <c r="O139" s="35"/>
    </row>
    <row r="140" spans="1:15" ht="37.5" customHeight="1" x14ac:dyDescent="0.25">
      <c r="A140" s="38" t="str">
        <f t="shared" si="1"/>
        <v/>
      </c>
      <c r="B140" s="2"/>
      <c r="C140" s="2"/>
      <c r="D140" s="2"/>
      <c r="E140" s="2"/>
      <c r="F140" s="2"/>
      <c r="G140" s="39"/>
      <c r="H140" s="39"/>
      <c r="I140" s="11"/>
      <c r="J140" s="11"/>
      <c r="K140" s="11"/>
      <c r="L140" s="11"/>
      <c r="M140" s="11"/>
      <c r="N140" s="11"/>
      <c r="O140" s="35"/>
    </row>
    <row r="141" spans="1:15" ht="37.5" customHeight="1" x14ac:dyDescent="0.25">
      <c r="A141" s="38" t="str">
        <f t="shared" si="1"/>
        <v/>
      </c>
      <c r="B141" s="2"/>
      <c r="C141" s="2"/>
      <c r="D141" s="2"/>
      <c r="E141" s="2"/>
      <c r="F141" s="2"/>
      <c r="G141" s="39"/>
      <c r="H141" s="39"/>
      <c r="I141" s="11"/>
      <c r="J141" s="11"/>
      <c r="K141" s="11"/>
      <c r="L141" s="11"/>
      <c r="M141" s="11"/>
      <c r="N141" s="11"/>
      <c r="O141" s="35"/>
    </row>
    <row r="142" spans="1:15" ht="37.5" customHeight="1" x14ac:dyDescent="0.25">
      <c r="A142" s="38" t="str">
        <f t="shared" si="1"/>
        <v/>
      </c>
      <c r="B142" s="2"/>
      <c r="C142" s="2"/>
      <c r="D142" s="2"/>
      <c r="E142" s="2"/>
      <c r="F142" s="2"/>
      <c r="G142" s="39"/>
      <c r="H142" s="39"/>
      <c r="I142" s="11"/>
      <c r="J142" s="11"/>
      <c r="K142" s="11"/>
      <c r="L142" s="11"/>
      <c r="M142" s="11"/>
      <c r="N142" s="11"/>
      <c r="O142" s="35"/>
    </row>
    <row r="143" spans="1:15" ht="37.5" customHeight="1" x14ac:dyDescent="0.25">
      <c r="A143" s="38" t="str">
        <f t="shared" si="1"/>
        <v/>
      </c>
      <c r="B143" s="2"/>
      <c r="C143" s="2"/>
      <c r="D143" s="2"/>
      <c r="E143" s="2"/>
      <c r="F143" s="2"/>
      <c r="G143" s="39"/>
      <c r="H143" s="39"/>
      <c r="I143" s="11"/>
      <c r="J143" s="11"/>
      <c r="K143" s="11"/>
      <c r="L143" s="11"/>
      <c r="M143" s="11"/>
      <c r="N143" s="11"/>
      <c r="O143" s="35"/>
    </row>
    <row r="144" spans="1:15" ht="37.5" customHeight="1" x14ac:dyDescent="0.25">
      <c r="A144" s="38" t="str">
        <f t="shared" si="1"/>
        <v/>
      </c>
      <c r="B144" s="2"/>
      <c r="C144" s="2"/>
      <c r="D144" s="2"/>
      <c r="E144" s="2"/>
      <c r="F144" s="2"/>
      <c r="G144" s="39"/>
      <c r="H144" s="39"/>
      <c r="I144" s="11"/>
      <c r="J144" s="11"/>
      <c r="K144" s="11"/>
      <c r="L144" s="11"/>
      <c r="M144" s="11"/>
      <c r="N144" s="11"/>
      <c r="O144" s="35"/>
    </row>
    <row r="145" spans="1:15" ht="37.5" customHeight="1" x14ac:dyDescent="0.25">
      <c r="A145" s="38" t="str">
        <f t="shared" si="1"/>
        <v/>
      </c>
      <c r="B145" s="2"/>
      <c r="C145" s="2"/>
      <c r="D145" s="2"/>
      <c r="E145" s="2"/>
      <c r="F145" s="2"/>
      <c r="G145" s="39"/>
      <c r="H145" s="39"/>
      <c r="I145" s="11"/>
      <c r="J145" s="11"/>
      <c r="K145" s="11"/>
      <c r="L145" s="11"/>
      <c r="M145" s="11"/>
      <c r="N145" s="11"/>
      <c r="O145" s="35"/>
    </row>
    <row r="146" spans="1:15" ht="37.5" customHeight="1" x14ac:dyDescent="0.25">
      <c r="A146" s="38" t="str">
        <f t="shared" si="1"/>
        <v/>
      </c>
      <c r="B146" s="2"/>
      <c r="C146" s="2"/>
      <c r="D146" s="2"/>
      <c r="E146" s="2"/>
      <c r="F146" s="2"/>
      <c r="G146" s="39"/>
      <c r="H146" s="39"/>
      <c r="I146" s="11"/>
      <c r="J146" s="11"/>
      <c r="K146" s="11"/>
      <c r="L146" s="11"/>
      <c r="M146" s="11"/>
      <c r="N146" s="11"/>
      <c r="O146" s="35"/>
    </row>
    <row r="147" spans="1:15" ht="37.5" customHeight="1" x14ac:dyDescent="0.25">
      <c r="A147" s="38" t="str">
        <f t="shared" si="1"/>
        <v/>
      </c>
      <c r="B147" s="2"/>
      <c r="C147" s="2"/>
      <c r="D147" s="2"/>
      <c r="E147" s="2"/>
      <c r="F147" s="2"/>
      <c r="G147" s="39"/>
      <c r="H147" s="39"/>
      <c r="I147" s="11"/>
      <c r="J147" s="11"/>
      <c r="K147" s="11"/>
      <c r="L147" s="11"/>
      <c r="M147" s="11"/>
      <c r="N147" s="11"/>
      <c r="O147" s="35"/>
    </row>
    <row r="148" spans="1:15" ht="37.5" customHeight="1" x14ac:dyDescent="0.25">
      <c r="A148" s="38" t="str">
        <f t="shared" si="1"/>
        <v/>
      </c>
      <c r="B148" s="2"/>
      <c r="C148" s="2"/>
      <c r="D148" s="2"/>
      <c r="E148" s="2"/>
      <c r="F148" s="2"/>
      <c r="G148" s="39"/>
      <c r="H148" s="39"/>
      <c r="I148" s="11"/>
      <c r="J148" s="11"/>
      <c r="K148" s="11"/>
      <c r="L148" s="11"/>
      <c r="M148" s="11"/>
      <c r="N148" s="11"/>
      <c r="O148" s="35"/>
    </row>
    <row r="149" spans="1:15" ht="37.5" customHeight="1" x14ac:dyDescent="0.25">
      <c r="A149" s="38" t="str">
        <f t="shared" si="1"/>
        <v/>
      </c>
      <c r="B149" s="2"/>
      <c r="C149" s="2"/>
      <c r="D149" s="2"/>
      <c r="E149" s="2"/>
      <c r="F149" s="2"/>
      <c r="G149" s="39"/>
      <c r="H149" s="39"/>
      <c r="I149" s="11"/>
      <c r="J149" s="11"/>
      <c r="K149" s="11"/>
      <c r="L149" s="11"/>
      <c r="M149" s="11"/>
      <c r="N149" s="11"/>
      <c r="O149" s="35"/>
    </row>
    <row r="150" spans="1:15" ht="37.5" customHeight="1" x14ac:dyDescent="0.25">
      <c r="A150" s="38" t="str">
        <f t="shared" si="1"/>
        <v/>
      </c>
      <c r="B150" s="2"/>
      <c r="C150" s="2"/>
      <c r="D150" s="2"/>
      <c r="E150" s="2"/>
      <c r="F150" s="2"/>
      <c r="G150" s="39"/>
      <c r="H150" s="39"/>
      <c r="I150" s="11"/>
      <c r="J150" s="11"/>
      <c r="K150" s="11"/>
      <c r="L150" s="11"/>
      <c r="M150" s="11"/>
      <c r="N150" s="11"/>
      <c r="O150" s="35"/>
    </row>
    <row r="151" spans="1:15" ht="37.5" customHeight="1" x14ac:dyDescent="0.25">
      <c r="A151" s="38" t="str">
        <f t="shared" si="1"/>
        <v/>
      </c>
      <c r="B151" s="2"/>
      <c r="C151" s="2"/>
      <c r="D151" s="2"/>
      <c r="E151" s="2"/>
      <c r="F151" s="2"/>
      <c r="G151" s="39"/>
      <c r="H151" s="39"/>
      <c r="I151" s="11"/>
      <c r="J151" s="11"/>
      <c r="K151" s="11"/>
      <c r="L151" s="11"/>
      <c r="M151" s="11"/>
      <c r="N151" s="11"/>
      <c r="O151" s="35"/>
    </row>
    <row r="152" spans="1:15" ht="37.5" customHeight="1" x14ac:dyDescent="0.25">
      <c r="A152" s="38" t="str">
        <f t="shared" si="1"/>
        <v/>
      </c>
      <c r="B152" s="2"/>
      <c r="C152" s="2"/>
      <c r="D152" s="2"/>
      <c r="E152" s="2"/>
      <c r="F152" s="2"/>
      <c r="G152" s="39"/>
      <c r="H152" s="39"/>
      <c r="I152" s="11"/>
      <c r="J152" s="11"/>
      <c r="K152" s="11"/>
      <c r="L152" s="11"/>
      <c r="M152" s="11"/>
      <c r="N152" s="11"/>
      <c r="O152" s="35"/>
    </row>
    <row r="153" spans="1:15" ht="37.5" customHeight="1" x14ac:dyDescent="0.25">
      <c r="A153" s="38" t="str">
        <f t="shared" si="1"/>
        <v/>
      </c>
      <c r="B153" s="2"/>
      <c r="C153" s="2"/>
      <c r="D153" s="2"/>
      <c r="E153" s="2"/>
      <c r="F153" s="2"/>
      <c r="G153" s="39"/>
      <c r="H153" s="39"/>
      <c r="I153" s="11"/>
      <c r="J153" s="11"/>
      <c r="K153" s="11"/>
      <c r="L153" s="11"/>
      <c r="M153" s="11"/>
      <c r="N153" s="11"/>
      <c r="O153" s="35"/>
    </row>
    <row r="154" spans="1:15" ht="37.5" customHeight="1" x14ac:dyDescent="0.25">
      <c r="A154" s="38" t="str">
        <f t="shared" si="1"/>
        <v/>
      </c>
      <c r="B154" s="2"/>
      <c r="C154" s="2"/>
      <c r="D154" s="2"/>
      <c r="E154" s="2"/>
      <c r="F154" s="2"/>
      <c r="G154" s="39"/>
      <c r="H154" s="39"/>
      <c r="I154" s="11"/>
      <c r="J154" s="11"/>
      <c r="K154" s="11"/>
      <c r="L154" s="11"/>
      <c r="M154" s="11"/>
      <c r="N154" s="11"/>
      <c r="O154" s="35"/>
    </row>
    <row r="155" spans="1:15" ht="37.5" customHeight="1" x14ac:dyDescent="0.25">
      <c r="A155" s="38" t="str">
        <f t="shared" si="1"/>
        <v/>
      </c>
      <c r="B155" s="2"/>
      <c r="C155" s="2"/>
      <c r="D155" s="2"/>
      <c r="E155" s="2"/>
      <c r="F155" s="2"/>
      <c r="G155" s="39"/>
      <c r="H155" s="39"/>
      <c r="I155" s="11"/>
      <c r="J155" s="11"/>
      <c r="K155" s="11"/>
      <c r="L155" s="11"/>
      <c r="M155" s="11"/>
      <c r="N155" s="11"/>
      <c r="O155" s="35"/>
    </row>
    <row r="156" spans="1:15" ht="37.5" customHeight="1" x14ac:dyDescent="0.25">
      <c r="A156" s="38" t="str">
        <f t="shared" si="1"/>
        <v/>
      </c>
      <c r="B156" s="2"/>
      <c r="C156" s="2"/>
      <c r="D156" s="2"/>
      <c r="E156" s="2"/>
      <c r="F156" s="2"/>
      <c r="G156" s="39"/>
      <c r="H156" s="39"/>
      <c r="I156" s="11"/>
      <c r="J156" s="11"/>
      <c r="K156" s="11"/>
      <c r="L156" s="11"/>
      <c r="M156" s="11"/>
      <c r="N156" s="11"/>
      <c r="O156" s="35"/>
    </row>
    <row r="157" spans="1:15" ht="37.5" customHeight="1" x14ac:dyDescent="0.25">
      <c r="A157" s="38" t="str">
        <f t="shared" si="1"/>
        <v/>
      </c>
      <c r="B157" s="2"/>
      <c r="C157" s="2"/>
      <c r="D157" s="2"/>
      <c r="E157" s="2"/>
      <c r="F157" s="2"/>
      <c r="G157" s="39"/>
      <c r="H157" s="39"/>
      <c r="I157" s="11"/>
      <c r="J157" s="11"/>
      <c r="K157" s="11"/>
      <c r="L157" s="11"/>
      <c r="M157" s="11"/>
      <c r="N157" s="11"/>
      <c r="O157" s="35"/>
    </row>
    <row r="158" spans="1:15" ht="37.5" customHeight="1" x14ac:dyDescent="0.25">
      <c r="A158" s="38" t="str">
        <f t="shared" si="1"/>
        <v/>
      </c>
      <c r="B158" s="2"/>
      <c r="C158" s="2"/>
      <c r="D158" s="2"/>
      <c r="E158" s="2"/>
      <c r="F158" s="2"/>
      <c r="G158" s="39"/>
      <c r="H158" s="39"/>
      <c r="I158" s="11"/>
      <c r="J158" s="11"/>
      <c r="K158" s="11"/>
      <c r="L158" s="11"/>
      <c r="M158" s="11"/>
      <c r="N158" s="11"/>
      <c r="O158" s="35"/>
    </row>
    <row r="159" spans="1:15" ht="37.5" customHeight="1" x14ac:dyDescent="0.25">
      <c r="A159" s="38" t="str">
        <f t="shared" si="1"/>
        <v/>
      </c>
      <c r="B159" s="2"/>
      <c r="C159" s="2"/>
      <c r="D159" s="2"/>
      <c r="E159" s="2"/>
      <c r="F159" s="2"/>
      <c r="G159" s="39"/>
      <c r="H159" s="39"/>
      <c r="I159" s="11"/>
      <c r="J159" s="11"/>
      <c r="K159" s="11"/>
      <c r="L159" s="11"/>
      <c r="M159" s="11"/>
      <c r="N159" s="11"/>
      <c r="O159" s="35"/>
    </row>
    <row r="160" spans="1:15" ht="37.5" customHeight="1" x14ac:dyDescent="0.25">
      <c r="A160" s="38" t="str">
        <f t="shared" si="1"/>
        <v/>
      </c>
      <c r="B160" s="2"/>
      <c r="C160" s="2"/>
      <c r="D160" s="2"/>
      <c r="E160" s="2"/>
      <c r="F160" s="2"/>
      <c r="G160" s="39"/>
      <c r="H160" s="39"/>
      <c r="I160" s="11"/>
      <c r="J160" s="11"/>
      <c r="K160" s="11"/>
      <c r="L160" s="11"/>
      <c r="M160" s="11"/>
      <c r="N160" s="11"/>
      <c r="O160" s="35"/>
    </row>
    <row r="161" spans="1:15" ht="37.5" customHeight="1" x14ac:dyDescent="0.25">
      <c r="A161" s="38" t="str">
        <f t="shared" si="1"/>
        <v/>
      </c>
      <c r="B161" s="2"/>
      <c r="C161" s="2"/>
      <c r="D161" s="2"/>
      <c r="E161" s="2"/>
      <c r="F161" s="2"/>
      <c r="G161" s="39"/>
      <c r="H161" s="39"/>
      <c r="I161" s="11"/>
      <c r="J161" s="11"/>
      <c r="K161" s="11"/>
      <c r="L161" s="11"/>
      <c r="M161" s="11"/>
      <c r="N161" s="11"/>
      <c r="O161" s="35"/>
    </row>
    <row r="162" spans="1:15" ht="37.5" customHeight="1" x14ac:dyDescent="0.25">
      <c r="A162" s="38" t="str">
        <f t="shared" si="1"/>
        <v/>
      </c>
      <c r="B162" s="2"/>
      <c r="C162" s="2"/>
      <c r="D162" s="2"/>
      <c r="E162" s="2"/>
      <c r="F162" s="2"/>
      <c r="G162" s="39"/>
      <c r="H162" s="39"/>
      <c r="I162" s="11"/>
      <c r="J162" s="11"/>
      <c r="K162" s="11"/>
      <c r="L162" s="11"/>
      <c r="M162" s="11"/>
      <c r="N162" s="11"/>
      <c r="O162" s="35"/>
    </row>
    <row r="163" spans="1:15" ht="37.5" customHeight="1" x14ac:dyDescent="0.25">
      <c r="A163" s="38" t="str">
        <f t="shared" si="1"/>
        <v/>
      </c>
      <c r="B163" s="2"/>
      <c r="C163" s="2"/>
      <c r="D163" s="2"/>
      <c r="E163" s="2"/>
      <c r="F163" s="2"/>
      <c r="G163" s="39"/>
      <c r="H163" s="39"/>
      <c r="I163" s="11"/>
      <c r="J163" s="11"/>
      <c r="K163" s="11"/>
      <c r="L163" s="11"/>
      <c r="M163" s="11"/>
      <c r="N163" s="11"/>
      <c r="O163" s="35"/>
    </row>
    <row r="164" spans="1:15" ht="37.5" customHeight="1" x14ac:dyDescent="0.25">
      <c r="A164" s="38" t="str">
        <f t="shared" si="1"/>
        <v/>
      </c>
      <c r="B164" s="2"/>
      <c r="C164" s="2"/>
      <c r="D164" s="2"/>
      <c r="E164" s="2"/>
      <c r="F164" s="2"/>
      <c r="G164" s="39"/>
      <c r="H164" s="39"/>
      <c r="I164" s="11"/>
      <c r="J164" s="11"/>
      <c r="K164" s="11"/>
      <c r="L164" s="11"/>
      <c r="M164" s="11"/>
      <c r="N164" s="11"/>
      <c r="O164" s="35"/>
    </row>
    <row r="165" spans="1:15" ht="37.5" customHeight="1" x14ac:dyDescent="0.25">
      <c r="A165" s="38" t="str">
        <f t="shared" si="1"/>
        <v/>
      </c>
      <c r="B165" s="2"/>
      <c r="C165" s="2"/>
      <c r="D165" s="2"/>
      <c r="E165" s="2"/>
      <c r="F165" s="2"/>
      <c r="G165" s="39"/>
      <c r="H165" s="39"/>
      <c r="I165" s="11"/>
      <c r="J165" s="11"/>
      <c r="K165" s="11"/>
      <c r="L165" s="11"/>
      <c r="M165" s="11"/>
      <c r="N165" s="11"/>
      <c r="O165" s="35"/>
    </row>
    <row r="166" spans="1:15" ht="37.5" customHeight="1" x14ac:dyDescent="0.25">
      <c r="A166" s="38" t="str">
        <f t="shared" si="1"/>
        <v/>
      </c>
      <c r="B166" s="2"/>
      <c r="C166" s="2"/>
      <c r="D166" s="2"/>
      <c r="E166" s="2"/>
      <c r="F166" s="2"/>
      <c r="G166" s="39"/>
      <c r="H166" s="39"/>
      <c r="I166" s="11"/>
      <c r="J166" s="11"/>
      <c r="K166" s="11"/>
      <c r="L166" s="11"/>
      <c r="M166" s="11"/>
      <c r="N166" s="11"/>
      <c r="O166" s="35"/>
    </row>
    <row r="167" spans="1:15" ht="37.5" customHeight="1" x14ac:dyDescent="0.25">
      <c r="A167" s="38" t="str">
        <f t="shared" si="1"/>
        <v/>
      </c>
      <c r="B167" s="2"/>
      <c r="C167" s="2"/>
      <c r="D167" s="2"/>
      <c r="E167" s="2"/>
      <c r="F167" s="2"/>
      <c r="G167" s="39"/>
      <c r="H167" s="39"/>
      <c r="I167" s="11"/>
      <c r="J167" s="11"/>
      <c r="K167" s="11"/>
      <c r="L167" s="11"/>
      <c r="M167" s="11"/>
      <c r="N167" s="11"/>
      <c r="O167" s="35"/>
    </row>
    <row r="168" spans="1:15" ht="37.5" customHeight="1" x14ac:dyDescent="0.25">
      <c r="A168" s="38" t="str">
        <f t="shared" si="1"/>
        <v/>
      </c>
      <c r="B168" s="2"/>
      <c r="C168" s="2"/>
      <c r="D168" s="2"/>
      <c r="E168" s="2"/>
      <c r="F168" s="2"/>
      <c r="G168" s="39"/>
      <c r="H168" s="39"/>
      <c r="I168" s="11"/>
      <c r="J168" s="11"/>
      <c r="K168" s="11"/>
      <c r="L168" s="11"/>
      <c r="M168" s="11"/>
      <c r="N168" s="11"/>
      <c r="O168" s="35"/>
    </row>
    <row r="169" spans="1:15" ht="37.5" customHeight="1" x14ac:dyDescent="0.25">
      <c r="A169" s="38" t="str">
        <f t="shared" si="1"/>
        <v/>
      </c>
      <c r="B169" s="2"/>
      <c r="C169" s="2"/>
      <c r="D169" s="2"/>
      <c r="E169" s="2"/>
      <c r="F169" s="2"/>
      <c r="G169" s="39"/>
      <c r="H169" s="39"/>
      <c r="I169" s="11"/>
      <c r="J169" s="11"/>
      <c r="K169" s="11"/>
      <c r="L169" s="11"/>
      <c r="M169" s="11"/>
      <c r="N169" s="11"/>
      <c r="O169" s="35"/>
    </row>
    <row r="170" spans="1:15" ht="37.5" customHeight="1" x14ac:dyDescent="0.25">
      <c r="A170" s="38" t="str">
        <f t="shared" si="1"/>
        <v/>
      </c>
      <c r="B170" s="2"/>
      <c r="C170" s="2"/>
      <c r="D170" s="2"/>
      <c r="E170" s="2"/>
      <c r="F170" s="2"/>
      <c r="G170" s="39"/>
      <c r="H170" s="39"/>
      <c r="I170" s="11"/>
      <c r="J170" s="11"/>
      <c r="K170" s="11"/>
      <c r="L170" s="11"/>
      <c r="M170" s="11"/>
      <c r="N170" s="11"/>
      <c r="O170" s="35"/>
    </row>
    <row r="171" spans="1:15" ht="37.5" customHeight="1" x14ac:dyDescent="0.25">
      <c r="A171" s="38" t="str">
        <f t="shared" si="1"/>
        <v/>
      </c>
      <c r="B171" s="2"/>
      <c r="C171" s="2"/>
      <c r="D171" s="2"/>
      <c r="E171" s="2"/>
      <c r="F171" s="2"/>
      <c r="G171" s="39"/>
      <c r="H171" s="39"/>
      <c r="I171" s="11"/>
      <c r="J171" s="11"/>
      <c r="K171" s="11"/>
      <c r="L171" s="11"/>
      <c r="M171" s="11"/>
      <c r="N171" s="11"/>
      <c r="O171" s="35"/>
    </row>
    <row r="172" spans="1:15" ht="37.5" customHeight="1" x14ac:dyDescent="0.25">
      <c r="A172" s="38" t="str">
        <f t="shared" si="1"/>
        <v/>
      </c>
      <c r="B172" s="2"/>
      <c r="C172" s="2"/>
      <c r="D172" s="2"/>
      <c r="E172" s="2"/>
      <c r="F172" s="2"/>
      <c r="G172" s="39"/>
      <c r="H172" s="39"/>
      <c r="I172" s="11"/>
      <c r="J172" s="11"/>
      <c r="K172" s="11"/>
      <c r="L172" s="11"/>
      <c r="M172" s="11"/>
      <c r="N172" s="11"/>
      <c r="O172" s="35"/>
    </row>
    <row r="173" spans="1:15" ht="37.5" customHeight="1" x14ac:dyDescent="0.25">
      <c r="A173" s="38" t="str">
        <f t="shared" si="1"/>
        <v/>
      </c>
      <c r="B173" s="2"/>
      <c r="C173" s="2"/>
      <c r="D173" s="2"/>
      <c r="E173" s="2"/>
      <c r="F173" s="2"/>
      <c r="G173" s="39"/>
      <c r="H173" s="39"/>
      <c r="I173" s="11"/>
      <c r="J173" s="11"/>
      <c r="K173" s="11"/>
      <c r="L173" s="11"/>
      <c r="M173" s="11"/>
      <c r="N173" s="11"/>
      <c r="O173" s="35"/>
    </row>
    <row r="174" spans="1:15" ht="37.5" customHeight="1" x14ac:dyDescent="0.25">
      <c r="A174" s="38" t="str">
        <f t="shared" si="1"/>
        <v/>
      </c>
      <c r="B174" s="2"/>
      <c r="C174" s="2"/>
      <c r="D174" s="2"/>
      <c r="E174" s="2"/>
      <c r="F174" s="2"/>
      <c r="G174" s="39"/>
      <c r="H174" s="39"/>
      <c r="I174" s="11"/>
      <c r="J174" s="11"/>
      <c r="K174" s="11"/>
      <c r="L174" s="11"/>
      <c r="M174" s="11"/>
      <c r="N174" s="11"/>
      <c r="O174" s="35"/>
    </row>
    <row r="175" spans="1:15" ht="37.5" customHeight="1" x14ac:dyDescent="0.25">
      <c r="A175" s="38" t="str">
        <f t="shared" si="1"/>
        <v/>
      </c>
      <c r="B175" s="2"/>
      <c r="C175" s="2"/>
      <c r="D175" s="2"/>
      <c r="E175" s="2"/>
      <c r="F175" s="2"/>
      <c r="G175" s="39"/>
      <c r="H175" s="39"/>
      <c r="I175" s="11"/>
      <c r="J175" s="11"/>
      <c r="K175" s="11"/>
      <c r="L175" s="11"/>
      <c r="M175" s="11"/>
      <c r="N175" s="11"/>
      <c r="O175" s="35"/>
    </row>
    <row r="176" spans="1:15" ht="37.5" customHeight="1" x14ac:dyDescent="0.25">
      <c r="A176" s="38" t="str">
        <f t="shared" si="1"/>
        <v/>
      </c>
      <c r="B176" s="2"/>
      <c r="C176" s="2"/>
      <c r="D176" s="2"/>
      <c r="E176" s="2"/>
      <c r="F176" s="2"/>
      <c r="G176" s="39"/>
      <c r="H176" s="39"/>
      <c r="I176" s="11"/>
      <c r="J176" s="11"/>
      <c r="K176" s="11"/>
      <c r="L176" s="11"/>
      <c r="M176" s="11"/>
      <c r="N176" s="11"/>
      <c r="O176" s="35"/>
    </row>
    <row r="177" spans="1:15" ht="37.5" customHeight="1" x14ac:dyDescent="0.25">
      <c r="A177" s="38" t="str">
        <f t="shared" si="1"/>
        <v/>
      </c>
      <c r="B177" s="2"/>
      <c r="C177" s="2"/>
      <c r="D177" s="2"/>
      <c r="E177" s="2"/>
      <c r="F177" s="2"/>
      <c r="G177" s="39"/>
      <c r="H177" s="39"/>
      <c r="I177" s="11"/>
      <c r="J177" s="11"/>
      <c r="K177" s="11"/>
      <c r="L177" s="11"/>
      <c r="M177" s="11"/>
      <c r="N177" s="11"/>
      <c r="O177" s="35"/>
    </row>
    <row r="178" spans="1:15" ht="37.5" customHeight="1" x14ac:dyDescent="0.25">
      <c r="A178" s="38" t="str">
        <f t="shared" si="1"/>
        <v/>
      </c>
      <c r="B178" s="2"/>
      <c r="C178" s="2"/>
      <c r="D178" s="2"/>
      <c r="E178" s="2"/>
      <c r="F178" s="2"/>
      <c r="G178" s="39"/>
      <c r="H178" s="39"/>
      <c r="I178" s="11"/>
      <c r="J178" s="11"/>
      <c r="K178" s="11"/>
      <c r="L178" s="11"/>
      <c r="M178" s="11"/>
      <c r="N178" s="11"/>
      <c r="O178" s="35"/>
    </row>
    <row r="179" spans="1:15" ht="37.5" customHeight="1" x14ac:dyDescent="0.25">
      <c r="A179" s="38" t="str">
        <f t="shared" si="1"/>
        <v/>
      </c>
      <c r="B179" s="2"/>
      <c r="C179" s="2"/>
      <c r="D179" s="2"/>
      <c r="E179" s="2"/>
      <c r="F179" s="2"/>
      <c r="G179" s="39"/>
      <c r="H179" s="39"/>
      <c r="I179" s="11"/>
      <c r="J179" s="11"/>
      <c r="K179" s="11"/>
      <c r="L179" s="11"/>
      <c r="M179" s="11"/>
      <c r="N179" s="11"/>
      <c r="O179" s="35"/>
    </row>
    <row r="180" spans="1:15" ht="37.5" customHeight="1" x14ac:dyDescent="0.25">
      <c r="A180" s="38" t="str">
        <f t="shared" si="1"/>
        <v/>
      </c>
      <c r="B180" s="2"/>
      <c r="C180" s="2"/>
      <c r="D180" s="2"/>
      <c r="E180" s="2"/>
      <c r="F180" s="2"/>
      <c r="G180" s="39"/>
      <c r="H180" s="39"/>
      <c r="I180" s="11"/>
      <c r="J180" s="11"/>
      <c r="K180" s="11"/>
      <c r="L180" s="11"/>
      <c r="M180" s="11"/>
      <c r="N180" s="11"/>
      <c r="O180" s="35"/>
    </row>
    <row r="181" spans="1:15" ht="37.5" customHeight="1" x14ac:dyDescent="0.25">
      <c r="A181" s="38" t="str">
        <f t="shared" si="1"/>
        <v/>
      </c>
      <c r="B181" s="2"/>
      <c r="C181" s="2"/>
      <c r="D181" s="2"/>
      <c r="E181" s="2"/>
      <c r="F181" s="2"/>
      <c r="G181" s="39"/>
      <c r="H181" s="39"/>
      <c r="I181" s="11"/>
      <c r="J181" s="11"/>
      <c r="K181" s="11"/>
      <c r="L181" s="11"/>
      <c r="M181" s="11"/>
      <c r="N181" s="11"/>
      <c r="O181" s="35"/>
    </row>
    <row r="182" spans="1:15" ht="37.5" customHeight="1" x14ac:dyDescent="0.25">
      <c r="A182" s="38" t="str">
        <f t="shared" si="1"/>
        <v/>
      </c>
      <c r="B182" s="2"/>
      <c r="C182" s="2"/>
      <c r="D182" s="2"/>
      <c r="E182" s="2"/>
      <c r="F182" s="2"/>
      <c r="G182" s="39"/>
      <c r="H182" s="39"/>
      <c r="I182" s="11"/>
      <c r="J182" s="11"/>
      <c r="K182" s="11"/>
      <c r="L182" s="11"/>
      <c r="M182" s="11"/>
      <c r="N182" s="11"/>
      <c r="O182" s="35"/>
    </row>
    <row r="183" spans="1:15" ht="37.5" customHeight="1" x14ac:dyDescent="0.25">
      <c r="A183" s="38" t="str">
        <f t="shared" si="1"/>
        <v/>
      </c>
      <c r="B183" s="2"/>
      <c r="C183" s="2"/>
      <c r="D183" s="2"/>
      <c r="E183" s="2"/>
      <c r="F183" s="2"/>
      <c r="G183" s="39"/>
      <c r="H183" s="39"/>
      <c r="I183" s="11"/>
      <c r="J183" s="11"/>
      <c r="K183" s="11"/>
      <c r="L183" s="11"/>
      <c r="M183" s="11"/>
      <c r="N183" s="11"/>
      <c r="O183" s="35"/>
    </row>
    <row r="184" spans="1:15" ht="37.5" customHeight="1" x14ac:dyDescent="0.25">
      <c r="A184" s="38" t="str">
        <f t="shared" si="1"/>
        <v/>
      </c>
      <c r="B184" s="2"/>
      <c r="C184" s="2"/>
      <c r="D184" s="2"/>
      <c r="E184" s="2"/>
      <c r="F184" s="2"/>
      <c r="G184" s="39"/>
      <c r="H184" s="39"/>
      <c r="I184" s="11"/>
      <c r="J184" s="11"/>
      <c r="K184" s="11"/>
      <c r="L184" s="11"/>
      <c r="M184" s="11"/>
      <c r="N184" s="11"/>
      <c r="O184" s="35"/>
    </row>
    <row r="185" spans="1:15" ht="37.5" customHeight="1" x14ac:dyDescent="0.25">
      <c r="A185" s="38" t="str">
        <f t="shared" si="1"/>
        <v/>
      </c>
      <c r="B185" s="2"/>
      <c r="C185" s="2"/>
      <c r="D185" s="2"/>
      <c r="E185" s="2"/>
      <c r="F185" s="2"/>
      <c r="G185" s="39"/>
      <c r="H185" s="39"/>
      <c r="I185" s="11"/>
      <c r="J185" s="11"/>
      <c r="K185" s="11"/>
      <c r="L185" s="11"/>
      <c r="M185" s="11"/>
      <c r="N185" s="11"/>
      <c r="O185" s="35"/>
    </row>
    <row r="186" spans="1:15" ht="37.5" customHeight="1" x14ac:dyDescent="0.25">
      <c r="A186" s="38" t="str">
        <f t="shared" si="1"/>
        <v/>
      </c>
      <c r="B186" s="2"/>
      <c r="C186" s="2"/>
      <c r="D186" s="2"/>
      <c r="E186" s="2"/>
      <c r="F186" s="2"/>
      <c r="G186" s="39"/>
      <c r="H186" s="39"/>
      <c r="I186" s="11"/>
      <c r="J186" s="11"/>
      <c r="K186" s="11"/>
      <c r="L186" s="11"/>
      <c r="M186" s="11"/>
      <c r="N186" s="11"/>
      <c r="O186" s="35"/>
    </row>
    <row r="187" spans="1:15" ht="37.5" customHeight="1" x14ac:dyDescent="0.25">
      <c r="A187" s="38" t="str">
        <f t="shared" si="1"/>
        <v/>
      </c>
      <c r="B187" s="2"/>
      <c r="C187" s="2"/>
      <c r="D187" s="2"/>
      <c r="E187" s="2"/>
      <c r="F187" s="2"/>
      <c r="G187" s="39"/>
      <c r="H187" s="39"/>
      <c r="I187" s="11"/>
      <c r="J187" s="11"/>
      <c r="K187" s="11"/>
      <c r="L187" s="11"/>
      <c r="M187" s="11"/>
      <c r="N187" s="11"/>
      <c r="O187" s="35"/>
    </row>
    <row r="188" spans="1:15" ht="37.5" customHeight="1" x14ac:dyDescent="0.25">
      <c r="A188" s="38" t="str">
        <f t="shared" si="1"/>
        <v/>
      </c>
      <c r="B188" s="2"/>
      <c r="C188" s="2"/>
      <c r="D188" s="2"/>
      <c r="E188" s="2"/>
      <c r="F188" s="2"/>
      <c r="G188" s="39"/>
      <c r="H188" s="39"/>
      <c r="I188" s="11"/>
      <c r="J188" s="11"/>
      <c r="K188" s="11"/>
      <c r="L188" s="11"/>
      <c r="M188" s="11"/>
      <c r="N188" s="11"/>
      <c r="O188" s="35"/>
    </row>
    <row r="189" spans="1:15" ht="37.5" customHeight="1" x14ac:dyDescent="0.25">
      <c r="A189" s="38" t="str">
        <f t="shared" si="1"/>
        <v/>
      </c>
      <c r="B189" s="2"/>
      <c r="C189" s="2"/>
      <c r="D189" s="2"/>
      <c r="E189" s="2"/>
      <c r="F189" s="2"/>
      <c r="G189" s="39"/>
      <c r="H189" s="39"/>
      <c r="I189" s="11"/>
      <c r="J189" s="11"/>
      <c r="K189" s="11"/>
      <c r="L189" s="11"/>
      <c r="M189" s="11"/>
      <c r="N189" s="11"/>
      <c r="O189" s="35"/>
    </row>
    <row r="190" spans="1:15" ht="37.5" customHeight="1" x14ac:dyDescent="0.25">
      <c r="A190" s="38" t="str">
        <f t="shared" si="1"/>
        <v/>
      </c>
      <c r="B190" s="2"/>
      <c r="C190" s="2"/>
      <c r="D190" s="2"/>
      <c r="E190" s="2"/>
      <c r="F190" s="2"/>
      <c r="G190" s="39"/>
      <c r="H190" s="39"/>
      <c r="I190" s="11"/>
      <c r="J190" s="11"/>
      <c r="K190" s="11"/>
      <c r="L190" s="11"/>
      <c r="M190" s="11"/>
      <c r="N190" s="11"/>
      <c r="O190" s="35"/>
    </row>
    <row r="191" spans="1:15" ht="37.5" customHeight="1" x14ac:dyDescent="0.25">
      <c r="A191" s="38" t="str">
        <f t="shared" si="1"/>
        <v/>
      </c>
      <c r="B191" s="2"/>
      <c r="C191" s="2"/>
      <c r="D191" s="2"/>
      <c r="E191" s="2"/>
      <c r="F191" s="2"/>
      <c r="G191" s="39"/>
      <c r="H191" s="39"/>
      <c r="I191" s="11"/>
      <c r="J191" s="11"/>
      <c r="K191" s="11"/>
      <c r="L191" s="11"/>
      <c r="M191" s="11"/>
      <c r="N191" s="11"/>
      <c r="O191" s="35"/>
    </row>
    <row r="192" spans="1:15" ht="37.5" customHeight="1" x14ac:dyDescent="0.25">
      <c r="A192" s="38" t="str">
        <f t="shared" si="1"/>
        <v/>
      </c>
      <c r="B192" s="2"/>
      <c r="C192" s="2"/>
      <c r="D192" s="2"/>
      <c r="E192" s="2"/>
      <c r="F192" s="2"/>
      <c r="G192" s="39"/>
      <c r="H192" s="39"/>
      <c r="I192" s="11"/>
      <c r="J192" s="11"/>
      <c r="K192" s="11"/>
      <c r="L192" s="11"/>
      <c r="M192" s="11"/>
      <c r="N192" s="11"/>
      <c r="O192" s="35"/>
    </row>
    <row r="193" spans="1:15" ht="37.5" customHeight="1" x14ac:dyDescent="0.25">
      <c r="A193" s="38" t="str">
        <f t="shared" si="1"/>
        <v/>
      </c>
      <c r="B193" s="2"/>
      <c r="C193" s="2"/>
      <c r="D193" s="2"/>
      <c r="E193" s="2"/>
      <c r="F193" s="2"/>
      <c r="G193" s="39"/>
      <c r="H193" s="39"/>
      <c r="I193" s="11"/>
      <c r="J193" s="11"/>
      <c r="K193" s="11"/>
      <c r="L193" s="11"/>
      <c r="M193" s="11"/>
      <c r="N193" s="11"/>
      <c r="O193" s="35"/>
    </row>
    <row r="194" spans="1:15" ht="37.5" customHeight="1" x14ac:dyDescent="0.25">
      <c r="A194" s="38" t="str">
        <f t="shared" si="1"/>
        <v/>
      </c>
      <c r="B194" s="2"/>
      <c r="C194" s="2"/>
      <c r="D194" s="2"/>
      <c r="E194" s="2"/>
      <c r="F194" s="2"/>
      <c r="G194" s="39"/>
      <c r="H194" s="39"/>
      <c r="I194" s="11"/>
      <c r="J194" s="11"/>
      <c r="K194" s="11"/>
      <c r="L194" s="11"/>
      <c r="M194" s="11"/>
      <c r="N194" s="11"/>
      <c r="O194" s="35"/>
    </row>
    <row r="195" spans="1:15" ht="37.5" customHeight="1" x14ac:dyDescent="0.25">
      <c r="A195" s="38" t="str">
        <f t="shared" si="1"/>
        <v/>
      </c>
      <c r="B195" s="2"/>
      <c r="C195" s="2"/>
      <c r="D195" s="2"/>
      <c r="E195" s="2"/>
      <c r="F195" s="2"/>
      <c r="G195" s="39"/>
      <c r="H195" s="39"/>
      <c r="I195" s="11"/>
      <c r="J195" s="11"/>
      <c r="K195" s="11"/>
      <c r="L195" s="11"/>
      <c r="M195" s="11"/>
      <c r="N195" s="11"/>
      <c r="O195" s="35"/>
    </row>
    <row r="196" spans="1:15" ht="37.5" customHeight="1" x14ac:dyDescent="0.25">
      <c r="A196" s="38" t="str">
        <f t="shared" si="1"/>
        <v/>
      </c>
      <c r="B196" s="2"/>
      <c r="C196" s="2"/>
      <c r="D196" s="2"/>
      <c r="E196" s="2"/>
      <c r="F196" s="2"/>
      <c r="G196" s="39"/>
      <c r="H196" s="39"/>
      <c r="I196" s="11"/>
      <c r="J196" s="11"/>
      <c r="K196" s="11"/>
      <c r="L196" s="11"/>
      <c r="M196" s="11"/>
      <c r="N196" s="11"/>
      <c r="O196" s="35"/>
    </row>
    <row r="197" spans="1:15" ht="37.5" customHeight="1" x14ac:dyDescent="0.25">
      <c r="A197" s="38" t="str">
        <f t="shared" si="1"/>
        <v/>
      </c>
      <c r="B197" s="2"/>
      <c r="C197" s="2"/>
      <c r="D197" s="2"/>
      <c r="E197" s="2"/>
      <c r="F197" s="2"/>
      <c r="G197" s="39"/>
      <c r="H197" s="39"/>
      <c r="I197" s="11"/>
      <c r="J197" s="11"/>
      <c r="K197" s="11"/>
      <c r="L197" s="11"/>
      <c r="M197" s="11"/>
      <c r="N197" s="11"/>
      <c r="O197" s="35"/>
    </row>
    <row r="198" spans="1:15" ht="37.5" customHeight="1" x14ac:dyDescent="0.25">
      <c r="A198" s="38" t="str">
        <f t="shared" si="1"/>
        <v/>
      </c>
      <c r="B198" s="2"/>
      <c r="C198" s="2"/>
      <c r="D198" s="2"/>
      <c r="E198" s="2"/>
      <c r="F198" s="2"/>
      <c r="G198" s="39"/>
      <c r="H198" s="39"/>
      <c r="I198" s="11"/>
      <c r="J198" s="11"/>
      <c r="K198" s="11"/>
      <c r="L198" s="11"/>
      <c r="M198" s="11"/>
      <c r="N198" s="11"/>
      <c r="O198" s="35"/>
    </row>
    <row r="199" spans="1:15" ht="37.5" customHeight="1" x14ac:dyDescent="0.25">
      <c r="A199" s="38" t="str">
        <f t="shared" si="1"/>
        <v/>
      </c>
      <c r="B199" s="2"/>
      <c r="C199" s="2"/>
      <c r="D199" s="2"/>
      <c r="E199" s="2"/>
      <c r="F199" s="2"/>
      <c r="G199" s="39"/>
      <c r="H199" s="39"/>
      <c r="I199" s="11"/>
      <c r="J199" s="11"/>
      <c r="K199" s="11"/>
      <c r="L199" s="11"/>
      <c r="M199" s="11"/>
      <c r="N199" s="11"/>
      <c r="O199" s="35"/>
    </row>
    <row r="200" spans="1:15" ht="37.5" customHeight="1" x14ac:dyDescent="0.25">
      <c r="A200" s="38" t="str">
        <f t="shared" si="1"/>
        <v/>
      </c>
      <c r="B200" s="2"/>
      <c r="C200" s="2"/>
      <c r="D200" s="2"/>
      <c r="E200" s="2"/>
      <c r="F200" s="2"/>
      <c r="G200" s="39"/>
      <c r="H200" s="39"/>
      <c r="I200" s="11"/>
      <c r="J200" s="11"/>
      <c r="K200" s="11"/>
      <c r="L200" s="11"/>
      <c r="M200" s="11"/>
      <c r="N200" s="11"/>
      <c r="O200" s="35"/>
    </row>
    <row r="201" spans="1:15" ht="37.5" customHeight="1" x14ac:dyDescent="0.25">
      <c r="A201" s="38" t="str">
        <f t="shared" si="1"/>
        <v/>
      </c>
      <c r="B201" s="2"/>
      <c r="C201" s="2"/>
      <c r="D201" s="2"/>
      <c r="E201" s="2"/>
      <c r="F201" s="2"/>
      <c r="G201" s="39"/>
      <c r="H201" s="39"/>
      <c r="I201" s="11"/>
      <c r="J201" s="11"/>
      <c r="K201" s="11"/>
      <c r="L201" s="11"/>
      <c r="M201" s="11"/>
      <c r="N201" s="11"/>
      <c r="O201" s="35"/>
    </row>
    <row r="202" spans="1:15" ht="37.5" customHeight="1" x14ac:dyDescent="0.25">
      <c r="A202" s="38" t="str">
        <f t="shared" si="1"/>
        <v/>
      </c>
      <c r="B202" s="2"/>
      <c r="C202" s="2"/>
      <c r="D202" s="2"/>
      <c r="E202" s="2"/>
      <c r="F202" s="2"/>
      <c r="G202" s="39"/>
      <c r="H202" s="39"/>
      <c r="I202" s="11"/>
      <c r="J202" s="11"/>
      <c r="K202" s="11"/>
      <c r="L202" s="11"/>
      <c r="M202" s="11"/>
      <c r="N202" s="11"/>
      <c r="O202" s="35"/>
    </row>
    <row r="203" spans="1:15" ht="37.5" customHeight="1" x14ac:dyDescent="0.25">
      <c r="A203" s="38" t="str">
        <f t="shared" si="1"/>
        <v/>
      </c>
      <c r="B203" s="2"/>
      <c r="C203" s="2"/>
      <c r="D203" s="2"/>
      <c r="E203" s="2"/>
      <c r="F203" s="2"/>
      <c r="G203" s="39"/>
      <c r="H203" s="39"/>
      <c r="I203" s="11"/>
      <c r="J203" s="11"/>
      <c r="K203" s="11"/>
      <c r="L203" s="11"/>
      <c r="M203" s="11"/>
      <c r="N203" s="11"/>
      <c r="O203" s="35"/>
    </row>
    <row r="204" spans="1:15" ht="37.5" customHeight="1" x14ac:dyDescent="0.25">
      <c r="A204" s="38" t="str">
        <f t="shared" si="1"/>
        <v/>
      </c>
      <c r="B204" s="2"/>
      <c r="C204" s="2"/>
      <c r="D204" s="2"/>
      <c r="E204" s="2"/>
      <c r="F204" s="2"/>
      <c r="G204" s="39"/>
      <c r="H204" s="39"/>
      <c r="I204" s="11"/>
      <c r="J204" s="11"/>
      <c r="K204" s="11"/>
      <c r="L204" s="11"/>
      <c r="M204" s="11"/>
      <c r="N204" s="11"/>
      <c r="O204" s="35"/>
    </row>
    <row r="205" spans="1:15" ht="37.5" customHeight="1" x14ac:dyDescent="0.25">
      <c r="A205" s="38" t="str">
        <f t="shared" si="1"/>
        <v/>
      </c>
      <c r="B205" s="2"/>
      <c r="C205" s="2"/>
      <c r="D205" s="2"/>
      <c r="E205" s="2"/>
      <c r="F205" s="2"/>
      <c r="G205" s="39"/>
      <c r="H205" s="39"/>
      <c r="I205" s="11"/>
      <c r="J205" s="11"/>
      <c r="K205" s="11"/>
      <c r="L205" s="11"/>
      <c r="M205" s="11"/>
      <c r="N205" s="11"/>
      <c r="O205" s="35"/>
    </row>
    <row r="206" spans="1:15" ht="37.5" customHeight="1" x14ac:dyDescent="0.25">
      <c r="A206" s="38" t="str">
        <f t="shared" si="1"/>
        <v/>
      </c>
      <c r="B206" s="2"/>
      <c r="C206" s="2"/>
      <c r="D206" s="2"/>
      <c r="E206" s="2"/>
      <c r="F206" s="2"/>
      <c r="G206" s="39"/>
      <c r="H206" s="39"/>
      <c r="I206" s="11"/>
      <c r="J206" s="11"/>
      <c r="K206" s="11"/>
      <c r="L206" s="11"/>
      <c r="M206" s="11"/>
      <c r="N206" s="11"/>
      <c r="O206" s="35"/>
    </row>
    <row r="207" spans="1:15" ht="37.5" customHeight="1" x14ac:dyDescent="0.25">
      <c r="A207" s="38" t="str">
        <f t="shared" si="1"/>
        <v/>
      </c>
      <c r="B207" s="2"/>
      <c r="C207" s="2"/>
      <c r="D207" s="2"/>
      <c r="E207" s="2"/>
      <c r="F207" s="2"/>
      <c r="G207" s="39"/>
      <c r="H207" s="39"/>
      <c r="I207" s="11"/>
      <c r="J207" s="11"/>
      <c r="K207" s="11"/>
      <c r="L207" s="11"/>
      <c r="M207" s="11"/>
      <c r="N207" s="11"/>
      <c r="O207" s="35"/>
    </row>
    <row r="208" spans="1:15" ht="37.5" customHeight="1" x14ac:dyDescent="0.25">
      <c r="A208" s="38" t="str">
        <f t="shared" si="1"/>
        <v/>
      </c>
      <c r="B208" s="2"/>
      <c r="C208" s="2"/>
      <c r="D208" s="2"/>
      <c r="E208" s="2"/>
      <c r="F208" s="2"/>
      <c r="G208" s="39"/>
      <c r="H208" s="39"/>
      <c r="I208" s="11"/>
      <c r="J208" s="11"/>
      <c r="K208" s="11"/>
      <c r="L208" s="11"/>
      <c r="M208" s="11"/>
      <c r="N208" s="11"/>
      <c r="O208" s="35"/>
    </row>
    <row r="209" spans="1:15" ht="37.5" customHeight="1" x14ac:dyDescent="0.25">
      <c r="A209" s="38" t="str">
        <f t="shared" si="1"/>
        <v/>
      </c>
      <c r="B209" s="2"/>
      <c r="C209" s="2"/>
      <c r="D209" s="2"/>
      <c r="E209" s="2"/>
      <c r="F209" s="2"/>
      <c r="G209" s="39"/>
      <c r="H209" s="39"/>
      <c r="I209" s="11"/>
      <c r="J209" s="11"/>
      <c r="K209" s="11"/>
      <c r="L209" s="11"/>
      <c r="M209" s="11"/>
      <c r="N209" s="11"/>
      <c r="O209" s="35"/>
    </row>
    <row r="210" spans="1:15" ht="37.5" customHeight="1" x14ac:dyDescent="0.25">
      <c r="A210" s="38" t="str">
        <f t="shared" si="1"/>
        <v/>
      </c>
      <c r="B210" s="2"/>
      <c r="C210" s="2"/>
      <c r="D210" s="2"/>
      <c r="E210" s="2"/>
      <c r="F210" s="2"/>
      <c r="G210" s="39"/>
      <c r="H210" s="39"/>
      <c r="I210" s="11"/>
      <c r="J210" s="11"/>
      <c r="K210" s="11"/>
      <c r="L210" s="11"/>
      <c r="M210" s="11"/>
      <c r="N210" s="11"/>
      <c r="O210" s="35"/>
    </row>
    <row r="211" spans="1:15" ht="37.5" customHeight="1" x14ac:dyDescent="0.25">
      <c r="A211" s="38" t="str">
        <f t="shared" si="1"/>
        <v/>
      </c>
      <c r="B211" s="2"/>
      <c r="C211" s="2"/>
      <c r="D211" s="2"/>
      <c r="E211" s="2"/>
      <c r="F211" s="2"/>
      <c r="G211" s="39"/>
      <c r="H211" s="39"/>
      <c r="I211" s="11"/>
      <c r="J211" s="11"/>
      <c r="K211" s="11"/>
      <c r="L211" s="11"/>
      <c r="M211" s="11"/>
      <c r="N211" s="11"/>
      <c r="O211" s="35"/>
    </row>
    <row r="212" spans="1:15" ht="37.5" customHeight="1" x14ac:dyDescent="0.25">
      <c r="A212" s="38" t="str">
        <f t="shared" si="1"/>
        <v/>
      </c>
      <c r="B212" s="2"/>
      <c r="C212" s="2"/>
      <c r="D212" s="2"/>
      <c r="E212" s="2"/>
      <c r="F212" s="2"/>
      <c r="G212" s="39"/>
      <c r="H212" s="39"/>
      <c r="I212" s="11"/>
      <c r="J212" s="11"/>
      <c r="K212" s="11"/>
      <c r="L212" s="11"/>
      <c r="M212" s="11"/>
      <c r="N212" s="11"/>
      <c r="O212" s="35"/>
    </row>
    <row r="213" spans="1:15" ht="37.5" customHeight="1" x14ac:dyDescent="0.25">
      <c r="A213" s="38" t="str">
        <f t="shared" si="1"/>
        <v/>
      </c>
      <c r="B213" s="2"/>
      <c r="C213" s="2"/>
      <c r="D213" s="2"/>
      <c r="E213" s="2"/>
      <c r="F213" s="2"/>
      <c r="G213" s="39"/>
      <c r="H213" s="39"/>
      <c r="I213" s="11"/>
      <c r="J213" s="11"/>
      <c r="K213" s="11"/>
      <c r="L213" s="11"/>
      <c r="M213" s="11"/>
      <c r="N213" s="11"/>
      <c r="O213" s="35"/>
    </row>
    <row r="214" spans="1:15" ht="37.5" customHeight="1" x14ac:dyDescent="0.25">
      <c r="A214" s="38" t="str">
        <f t="shared" si="1"/>
        <v/>
      </c>
      <c r="B214" s="2"/>
      <c r="C214" s="2"/>
      <c r="D214" s="2"/>
      <c r="E214" s="2"/>
      <c r="F214" s="2"/>
      <c r="G214" s="39"/>
      <c r="H214" s="39"/>
      <c r="I214" s="11"/>
      <c r="J214" s="11"/>
      <c r="K214" s="11"/>
      <c r="L214" s="11"/>
      <c r="M214" s="11"/>
      <c r="N214" s="11"/>
      <c r="O214" s="35"/>
    </row>
    <row r="215" spans="1:15" ht="37.5" customHeight="1" x14ac:dyDescent="0.25">
      <c r="A215" s="38" t="str">
        <f t="shared" si="1"/>
        <v/>
      </c>
      <c r="B215" s="2"/>
      <c r="C215" s="2"/>
      <c r="D215" s="2"/>
      <c r="E215" s="2"/>
      <c r="F215" s="2"/>
      <c r="G215" s="39"/>
      <c r="H215" s="39"/>
      <c r="I215" s="11"/>
      <c r="J215" s="11"/>
      <c r="K215" s="11"/>
      <c r="L215" s="11"/>
      <c r="M215" s="11"/>
      <c r="N215" s="11"/>
      <c r="O215" s="35"/>
    </row>
    <row r="216" spans="1:15" ht="37.5" customHeight="1" x14ac:dyDescent="0.25">
      <c r="A216" s="38" t="str">
        <f t="shared" si="1"/>
        <v/>
      </c>
      <c r="B216" s="2"/>
      <c r="C216" s="2"/>
      <c r="D216" s="2"/>
      <c r="E216" s="2"/>
      <c r="F216" s="2"/>
      <c r="G216" s="39"/>
      <c r="H216" s="39"/>
      <c r="I216" s="11"/>
      <c r="J216" s="11"/>
      <c r="K216" s="11"/>
      <c r="L216" s="11"/>
      <c r="M216" s="11"/>
      <c r="N216" s="11"/>
      <c r="O216" s="35"/>
    </row>
    <row r="217" spans="1:15" ht="37.5" customHeight="1" x14ac:dyDescent="0.25">
      <c r="A217" s="38" t="str">
        <f t="shared" si="1"/>
        <v/>
      </c>
      <c r="B217" s="2"/>
      <c r="C217" s="2"/>
      <c r="D217" s="2"/>
      <c r="E217" s="2"/>
      <c r="F217" s="2"/>
      <c r="G217" s="39"/>
      <c r="H217" s="39"/>
      <c r="I217" s="11"/>
      <c r="J217" s="11"/>
      <c r="K217" s="11"/>
      <c r="L217" s="11"/>
      <c r="M217" s="11"/>
      <c r="N217" s="11"/>
      <c r="O217" s="35"/>
    </row>
    <row r="218" spans="1:15" ht="37.5" customHeight="1" x14ac:dyDescent="0.25">
      <c r="A218" s="38" t="str">
        <f t="shared" si="1"/>
        <v/>
      </c>
      <c r="B218" s="2"/>
      <c r="C218" s="2"/>
      <c r="D218" s="2"/>
      <c r="E218" s="2"/>
      <c r="F218" s="2"/>
      <c r="G218" s="39"/>
      <c r="H218" s="39"/>
      <c r="I218" s="11"/>
      <c r="J218" s="11"/>
      <c r="K218" s="11"/>
      <c r="L218" s="11"/>
      <c r="M218" s="11"/>
      <c r="N218" s="11"/>
      <c r="O218" s="35"/>
    </row>
    <row r="219" spans="1:15" ht="37.5" customHeight="1" x14ac:dyDescent="0.25">
      <c r="A219" s="38" t="str">
        <f t="shared" si="1"/>
        <v/>
      </c>
      <c r="B219" s="2"/>
      <c r="C219" s="2"/>
      <c r="D219" s="2"/>
      <c r="E219" s="2"/>
      <c r="F219" s="2"/>
      <c r="G219" s="39"/>
      <c r="H219" s="39"/>
      <c r="I219" s="11"/>
      <c r="J219" s="11"/>
      <c r="K219" s="11"/>
      <c r="L219" s="11"/>
      <c r="M219" s="11"/>
      <c r="N219" s="11"/>
      <c r="O219" s="35"/>
    </row>
    <row r="220" spans="1:15" ht="37.5" customHeight="1" x14ac:dyDescent="0.25">
      <c r="A220" s="38" t="str">
        <f t="shared" si="1"/>
        <v/>
      </c>
      <c r="B220" s="2"/>
      <c r="C220" s="2"/>
      <c r="D220" s="2"/>
      <c r="E220" s="2"/>
      <c r="F220" s="2"/>
      <c r="G220" s="39"/>
      <c r="H220" s="39"/>
      <c r="I220" s="11"/>
      <c r="J220" s="11"/>
      <c r="K220" s="11"/>
      <c r="L220" s="11"/>
      <c r="M220" s="11"/>
      <c r="N220" s="11"/>
      <c r="O220" s="35"/>
    </row>
    <row r="221" spans="1:15" ht="37.5" customHeight="1" x14ac:dyDescent="0.25">
      <c r="A221" s="38" t="str">
        <f t="shared" si="1"/>
        <v/>
      </c>
      <c r="B221" s="2"/>
      <c r="C221" s="2"/>
      <c r="D221" s="2"/>
      <c r="E221" s="2"/>
      <c r="F221" s="2"/>
      <c r="G221" s="39"/>
      <c r="H221" s="39"/>
      <c r="I221" s="11"/>
      <c r="J221" s="11"/>
      <c r="K221" s="11"/>
      <c r="L221" s="11"/>
      <c r="M221" s="11"/>
      <c r="N221" s="11"/>
      <c r="O221" s="35"/>
    </row>
    <row r="222" spans="1:15" ht="37.5" customHeight="1" x14ac:dyDescent="0.25">
      <c r="A222" s="38" t="str">
        <f t="shared" si="1"/>
        <v/>
      </c>
      <c r="B222" s="2"/>
      <c r="C222" s="2"/>
      <c r="D222" s="2"/>
      <c r="E222" s="2"/>
      <c r="F222" s="2"/>
      <c r="G222" s="39"/>
      <c r="H222" s="39"/>
      <c r="I222" s="11"/>
      <c r="J222" s="11"/>
      <c r="K222" s="11"/>
      <c r="L222" s="11"/>
      <c r="M222" s="11"/>
      <c r="N222" s="11"/>
      <c r="O222" s="35"/>
    </row>
    <row r="223" spans="1:15" ht="37.5" customHeight="1" x14ac:dyDescent="0.25">
      <c r="A223" s="38" t="str">
        <f t="shared" si="1"/>
        <v/>
      </c>
      <c r="B223" s="2"/>
      <c r="C223" s="2"/>
      <c r="D223" s="2"/>
      <c r="E223" s="2"/>
      <c r="F223" s="2"/>
      <c r="G223" s="39"/>
      <c r="H223" s="39"/>
      <c r="I223" s="11"/>
      <c r="J223" s="11"/>
      <c r="K223" s="11"/>
      <c r="L223" s="11"/>
      <c r="M223" s="11"/>
      <c r="N223" s="11"/>
      <c r="O223" s="35"/>
    </row>
    <row r="224" spans="1:15" ht="37.5" customHeight="1" x14ac:dyDescent="0.25">
      <c r="A224" s="38" t="str">
        <f t="shared" si="1"/>
        <v/>
      </c>
      <c r="B224" s="2"/>
      <c r="C224" s="2"/>
      <c r="D224" s="2"/>
      <c r="E224" s="2"/>
      <c r="F224" s="2"/>
      <c r="G224" s="39"/>
      <c r="H224" s="39"/>
      <c r="I224" s="11"/>
      <c r="J224" s="11"/>
      <c r="K224" s="11"/>
      <c r="L224" s="11"/>
      <c r="M224" s="11"/>
      <c r="N224" s="11"/>
      <c r="O224" s="35"/>
    </row>
    <row r="225" spans="1:15" ht="37.5" customHeight="1" x14ac:dyDescent="0.25">
      <c r="A225" s="38" t="str">
        <f t="shared" si="1"/>
        <v/>
      </c>
      <c r="B225" s="2"/>
      <c r="C225" s="2"/>
      <c r="D225" s="2"/>
      <c r="E225" s="2"/>
      <c r="F225" s="2"/>
      <c r="G225" s="39"/>
      <c r="H225" s="39"/>
      <c r="I225" s="11"/>
      <c r="J225" s="11"/>
      <c r="K225" s="11"/>
      <c r="L225" s="11"/>
      <c r="M225" s="11"/>
      <c r="N225" s="11"/>
      <c r="O225" s="35"/>
    </row>
    <row r="226" spans="1:15" ht="37.5" customHeight="1" x14ac:dyDescent="0.25">
      <c r="A226" s="38" t="str">
        <f t="shared" si="1"/>
        <v/>
      </c>
      <c r="B226" s="2"/>
      <c r="C226" s="2"/>
      <c r="D226" s="2"/>
      <c r="E226" s="2"/>
      <c r="F226" s="2"/>
      <c r="G226" s="39"/>
      <c r="H226" s="39"/>
      <c r="I226" s="11"/>
      <c r="J226" s="11"/>
      <c r="K226" s="11"/>
      <c r="L226" s="11"/>
      <c r="M226" s="11"/>
      <c r="N226" s="11"/>
      <c r="O226" s="35"/>
    </row>
    <row r="227" spans="1:15" ht="37.5" customHeight="1" x14ac:dyDescent="0.25">
      <c r="A227" s="38" t="str">
        <f t="shared" si="1"/>
        <v/>
      </c>
      <c r="B227" s="2"/>
      <c r="C227" s="2"/>
      <c r="D227" s="2"/>
      <c r="E227" s="2"/>
      <c r="F227" s="2"/>
      <c r="G227" s="39"/>
      <c r="H227" s="39"/>
      <c r="I227" s="11"/>
      <c r="J227" s="11"/>
      <c r="K227" s="11"/>
      <c r="L227" s="11"/>
      <c r="M227" s="11"/>
      <c r="N227" s="11"/>
      <c r="O227" s="35"/>
    </row>
    <row r="228" spans="1:15" ht="37.5" customHeight="1" x14ac:dyDescent="0.25">
      <c r="A228" s="38" t="str">
        <f t="shared" si="1"/>
        <v/>
      </c>
      <c r="B228" s="2"/>
      <c r="C228" s="2"/>
      <c r="D228" s="2"/>
      <c r="E228" s="2"/>
      <c r="F228" s="2"/>
      <c r="G228" s="39"/>
      <c r="H228" s="39"/>
      <c r="I228" s="11"/>
      <c r="J228" s="11"/>
      <c r="K228" s="11"/>
      <c r="L228" s="11"/>
      <c r="M228" s="11"/>
      <c r="N228" s="11"/>
      <c r="O228" s="35"/>
    </row>
    <row r="229" spans="1:15" ht="37.5" customHeight="1" x14ac:dyDescent="0.25">
      <c r="A229" s="38" t="str">
        <f t="shared" si="1"/>
        <v/>
      </c>
      <c r="B229" s="2"/>
      <c r="C229" s="2"/>
      <c r="D229" s="2"/>
      <c r="E229" s="2"/>
      <c r="F229" s="2"/>
      <c r="G229" s="39"/>
      <c r="H229" s="39"/>
      <c r="I229" s="11"/>
      <c r="J229" s="11"/>
      <c r="K229" s="11"/>
      <c r="L229" s="11"/>
      <c r="M229" s="11"/>
      <c r="N229" s="11"/>
      <c r="O229" s="35"/>
    </row>
    <row r="230" spans="1:15" ht="37.5" customHeight="1" x14ac:dyDescent="0.25">
      <c r="A230" s="38" t="str">
        <f t="shared" si="1"/>
        <v/>
      </c>
      <c r="B230" s="2"/>
      <c r="C230" s="2"/>
      <c r="D230" s="2"/>
      <c r="E230" s="2"/>
      <c r="F230" s="2"/>
      <c r="G230" s="39"/>
      <c r="H230" s="39"/>
      <c r="I230" s="11"/>
      <c r="J230" s="11"/>
      <c r="K230" s="11"/>
      <c r="L230" s="11"/>
      <c r="M230" s="11"/>
      <c r="N230" s="11"/>
      <c r="O230" s="35"/>
    </row>
    <row r="231" spans="1:15" ht="37.5" customHeight="1" x14ac:dyDescent="0.25">
      <c r="A231" s="38" t="str">
        <f t="shared" si="1"/>
        <v/>
      </c>
      <c r="B231" s="2"/>
      <c r="C231" s="2"/>
      <c r="D231" s="2"/>
      <c r="E231" s="2"/>
      <c r="F231" s="2"/>
      <c r="G231" s="39"/>
      <c r="H231" s="39"/>
      <c r="I231" s="11"/>
      <c r="J231" s="11"/>
      <c r="K231" s="11"/>
      <c r="L231" s="11"/>
      <c r="M231" s="11"/>
      <c r="N231" s="11"/>
      <c r="O231" s="35"/>
    </row>
    <row r="232" spans="1:15" ht="37.5" customHeight="1" x14ac:dyDescent="0.25">
      <c r="A232" s="38" t="str">
        <f t="shared" si="1"/>
        <v/>
      </c>
      <c r="B232" s="2"/>
      <c r="C232" s="2"/>
      <c r="D232" s="2"/>
      <c r="E232" s="2"/>
      <c r="F232" s="2"/>
      <c r="G232" s="39"/>
      <c r="H232" s="39"/>
      <c r="I232" s="11"/>
      <c r="J232" s="11"/>
      <c r="K232" s="11"/>
      <c r="L232" s="11"/>
      <c r="M232" s="11"/>
      <c r="N232" s="11"/>
      <c r="O232" s="35"/>
    </row>
    <row r="233" spans="1:15" ht="37.5" customHeight="1" x14ac:dyDescent="0.25">
      <c r="A233" s="38" t="str">
        <f t="shared" si="1"/>
        <v/>
      </c>
      <c r="B233" s="2"/>
      <c r="C233" s="2"/>
      <c r="D233" s="2"/>
      <c r="E233" s="2"/>
      <c r="F233" s="2"/>
      <c r="G233" s="39"/>
      <c r="H233" s="39"/>
      <c r="I233" s="11"/>
      <c r="J233" s="11"/>
      <c r="K233" s="11"/>
      <c r="L233" s="11"/>
      <c r="M233" s="11"/>
      <c r="N233" s="11"/>
      <c r="O233" s="35"/>
    </row>
    <row r="234" spans="1:15" ht="37.5" customHeight="1" x14ac:dyDescent="0.25">
      <c r="A234" s="38" t="str">
        <f t="shared" si="1"/>
        <v/>
      </c>
      <c r="B234" s="2"/>
      <c r="C234" s="2"/>
      <c r="D234" s="2"/>
      <c r="E234" s="2"/>
      <c r="F234" s="2"/>
      <c r="G234" s="39"/>
      <c r="H234" s="39"/>
      <c r="I234" s="11"/>
      <c r="J234" s="11"/>
      <c r="K234" s="11"/>
      <c r="L234" s="11"/>
      <c r="M234" s="11"/>
      <c r="N234" s="11"/>
      <c r="O234" s="35"/>
    </row>
    <row r="235" spans="1:15" ht="37.5" customHeight="1" x14ac:dyDescent="0.25">
      <c r="A235" s="38" t="str">
        <f t="shared" si="1"/>
        <v/>
      </c>
      <c r="B235" s="2"/>
      <c r="C235" s="2"/>
      <c r="D235" s="2"/>
      <c r="E235" s="2"/>
      <c r="F235" s="2"/>
      <c r="G235" s="39"/>
      <c r="H235" s="39"/>
      <c r="I235" s="11"/>
      <c r="J235" s="11"/>
      <c r="K235" s="11"/>
      <c r="L235" s="11"/>
      <c r="M235" s="11"/>
      <c r="N235" s="11"/>
      <c r="O235" s="35"/>
    </row>
    <row r="236" spans="1:15" ht="37.5" customHeight="1" x14ac:dyDescent="0.25">
      <c r="A236" s="38" t="str">
        <f t="shared" si="1"/>
        <v/>
      </c>
      <c r="B236" s="2"/>
      <c r="C236" s="2"/>
      <c r="D236" s="2"/>
      <c r="E236" s="2"/>
      <c r="F236" s="2"/>
      <c r="G236" s="39"/>
      <c r="H236" s="39"/>
      <c r="I236" s="11"/>
      <c r="J236" s="11"/>
      <c r="K236" s="11"/>
      <c r="L236" s="11"/>
      <c r="M236" s="11"/>
      <c r="N236" s="11"/>
      <c r="O236" s="35"/>
    </row>
    <row r="237" spans="1:15" ht="37.5" customHeight="1" x14ac:dyDescent="0.25">
      <c r="A237" s="38" t="str">
        <f t="shared" si="1"/>
        <v/>
      </c>
      <c r="B237" s="2"/>
      <c r="C237" s="2"/>
      <c r="D237" s="2"/>
      <c r="E237" s="2"/>
      <c r="F237" s="2"/>
      <c r="G237" s="39"/>
      <c r="H237" s="39"/>
      <c r="I237" s="11"/>
      <c r="J237" s="11"/>
      <c r="K237" s="11"/>
      <c r="L237" s="11"/>
      <c r="M237" s="11"/>
      <c r="N237" s="11"/>
      <c r="O237" s="35"/>
    </row>
    <row r="238" spans="1:15" ht="37.5" customHeight="1" x14ac:dyDescent="0.25">
      <c r="A238" s="38" t="str">
        <f t="shared" si="1"/>
        <v/>
      </c>
      <c r="B238" s="2"/>
      <c r="C238" s="2"/>
      <c r="D238" s="2"/>
      <c r="E238" s="2"/>
      <c r="F238" s="2"/>
      <c r="G238" s="39"/>
      <c r="H238" s="39"/>
      <c r="I238" s="11"/>
      <c r="J238" s="11"/>
      <c r="K238" s="11"/>
      <c r="L238" s="11"/>
      <c r="M238" s="11"/>
      <c r="N238" s="11"/>
      <c r="O238" s="35"/>
    </row>
    <row r="239" spans="1:15" ht="37.5" customHeight="1" x14ac:dyDescent="0.25">
      <c r="A239" s="38" t="str">
        <f t="shared" si="1"/>
        <v/>
      </c>
      <c r="B239" s="2"/>
      <c r="C239" s="2"/>
      <c r="D239" s="2"/>
      <c r="E239" s="2"/>
      <c r="F239" s="2"/>
      <c r="G239" s="39"/>
      <c r="H239" s="39"/>
      <c r="I239" s="11"/>
      <c r="J239" s="11"/>
      <c r="K239" s="11"/>
      <c r="L239" s="11"/>
      <c r="M239" s="11"/>
      <c r="N239" s="11"/>
      <c r="O239" s="35"/>
    </row>
    <row r="240" spans="1:15" ht="37.5" customHeight="1" x14ac:dyDescent="0.25">
      <c r="A240" s="38" t="str">
        <f t="shared" si="1"/>
        <v/>
      </c>
      <c r="B240" s="2"/>
      <c r="C240" s="2"/>
      <c r="D240" s="2"/>
      <c r="E240" s="2"/>
      <c r="F240" s="2"/>
      <c r="G240" s="39"/>
      <c r="H240" s="39"/>
      <c r="I240" s="11"/>
      <c r="J240" s="11"/>
      <c r="K240" s="11"/>
      <c r="L240" s="11"/>
      <c r="M240" s="11"/>
      <c r="N240" s="11"/>
      <c r="O240" s="35"/>
    </row>
    <row r="241" spans="1:15" ht="37.5" customHeight="1" x14ac:dyDescent="0.25">
      <c r="A241" s="38" t="str">
        <f t="shared" si="1"/>
        <v/>
      </c>
      <c r="B241" s="2"/>
      <c r="C241" s="2"/>
      <c r="D241" s="2"/>
      <c r="E241" s="2"/>
      <c r="F241" s="2"/>
      <c r="G241" s="39"/>
      <c r="H241" s="39"/>
      <c r="I241" s="11"/>
      <c r="J241" s="11"/>
      <c r="K241" s="11"/>
      <c r="L241" s="11"/>
      <c r="M241" s="11"/>
      <c r="N241" s="11"/>
      <c r="O241" s="35"/>
    </row>
    <row r="242" spans="1:15" ht="37.5" customHeight="1" x14ac:dyDescent="0.25">
      <c r="A242" s="38" t="str">
        <f t="shared" si="1"/>
        <v/>
      </c>
      <c r="B242" s="2"/>
      <c r="C242" s="2"/>
      <c r="D242" s="2"/>
      <c r="E242" s="2"/>
      <c r="F242" s="2"/>
      <c r="G242" s="39"/>
      <c r="H242" s="39"/>
      <c r="I242" s="11"/>
      <c r="J242" s="11"/>
      <c r="K242" s="11"/>
      <c r="L242" s="11"/>
      <c r="M242" s="11"/>
      <c r="N242" s="11"/>
      <c r="O242" s="35"/>
    </row>
    <row r="243" spans="1:15" ht="37.5" customHeight="1" x14ac:dyDescent="0.25">
      <c r="A243" s="38" t="str">
        <f t="shared" si="1"/>
        <v/>
      </c>
      <c r="B243" s="2"/>
      <c r="C243" s="2"/>
      <c r="D243" s="2"/>
      <c r="E243" s="2"/>
      <c r="F243" s="2"/>
      <c r="G243" s="39"/>
      <c r="H243" s="39"/>
      <c r="I243" s="11"/>
      <c r="J243" s="11"/>
      <c r="K243" s="11"/>
      <c r="L243" s="11"/>
      <c r="M243" s="11"/>
      <c r="N243" s="11"/>
      <c r="O243" s="35"/>
    </row>
    <row r="244" spans="1:15" ht="37.5" customHeight="1" x14ac:dyDescent="0.25">
      <c r="A244" s="38" t="str">
        <f t="shared" si="1"/>
        <v/>
      </c>
      <c r="B244" s="2"/>
      <c r="C244" s="2"/>
      <c r="D244" s="2"/>
      <c r="E244" s="2"/>
      <c r="F244" s="2"/>
      <c r="G244" s="39"/>
      <c r="H244" s="39"/>
      <c r="I244" s="11"/>
      <c r="J244" s="11"/>
      <c r="K244" s="11"/>
      <c r="L244" s="11"/>
      <c r="M244" s="11"/>
      <c r="N244" s="11"/>
      <c r="O244" s="35"/>
    </row>
    <row r="245" spans="1:15" ht="37.5" customHeight="1" x14ac:dyDescent="0.25">
      <c r="A245" s="38" t="str">
        <f t="shared" si="1"/>
        <v/>
      </c>
      <c r="B245" s="2"/>
      <c r="C245" s="2"/>
      <c r="D245" s="2"/>
      <c r="E245" s="2"/>
      <c r="F245" s="2"/>
      <c r="G245" s="39"/>
      <c r="H245" s="39"/>
      <c r="I245" s="11"/>
      <c r="J245" s="11"/>
      <c r="K245" s="11"/>
      <c r="L245" s="11"/>
      <c r="M245" s="11"/>
      <c r="N245" s="11"/>
      <c r="O245" s="35"/>
    </row>
    <row r="246" spans="1:15" ht="37.5" customHeight="1" x14ac:dyDescent="0.25">
      <c r="A246" s="38" t="str">
        <f t="shared" si="1"/>
        <v/>
      </c>
      <c r="B246" s="2"/>
      <c r="C246" s="2"/>
      <c r="D246" s="2"/>
      <c r="E246" s="2"/>
      <c r="F246" s="2"/>
      <c r="G246" s="39"/>
      <c r="H246" s="39"/>
      <c r="I246" s="11"/>
      <c r="J246" s="11"/>
      <c r="K246" s="11"/>
      <c r="L246" s="11"/>
      <c r="M246" s="11"/>
      <c r="N246" s="11"/>
      <c r="O246" s="35"/>
    </row>
    <row r="247" spans="1:15" ht="37.5" customHeight="1" x14ac:dyDescent="0.25">
      <c r="A247" s="38" t="str">
        <f t="shared" si="1"/>
        <v/>
      </c>
      <c r="B247" s="2"/>
      <c r="C247" s="2"/>
      <c r="D247" s="2"/>
      <c r="E247" s="2"/>
      <c r="F247" s="2"/>
      <c r="G247" s="39"/>
      <c r="H247" s="39"/>
      <c r="I247" s="11"/>
      <c r="J247" s="11"/>
      <c r="K247" s="11"/>
      <c r="L247" s="11"/>
      <c r="M247" s="11"/>
      <c r="N247" s="11"/>
      <c r="O247" s="35"/>
    </row>
    <row r="248" spans="1:15" ht="37.5" customHeight="1" x14ac:dyDescent="0.25">
      <c r="A248" s="38" t="str">
        <f t="shared" si="1"/>
        <v/>
      </c>
      <c r="B248" s="2"/>
      <c r="C248" s="2"/>
      <c r="D248" s="2"/>
      <c r="E248" s="2"/>
      <c r="F248" s="2"/>
      <c r="G248" s="39"/>
      <c r="H248" s="39"/>
      <c r="I248" s="11"/>
      <c r="J248" s="11"/>
      <c r="K248" s="11"/>
      <c r="L248" s="11"/>
      <c r="M248" s="11"/>
      <c r="N248" s="11"/>
      <c r="O248" s="35"/>
    </row>
    <row r="249" spans="1:15" ht="37.5" customHeight="1" x14ac:dyDescent="0.25">
      <c r="A249" s="38" t="str">
        <f t="shared" si="1"/>
        <v/>
      </c>
      <c r="B249" s="2"/>
      <c r="C249" s="2"/>
      <c r="D249" s="2"/>
      <c r="E249" s="2"/>
      <c r="F249" s="2"/>
      <c r="G249" s="39"/>
      <c r="H249" s="39"/>
      <c r="I249" s="11"/>
      <c r="J249" s="11"/>
      <c r="K249" s="11"/>
      <c r="L249" s="11"/>
      <c r="M249" s="11"/>
      <c r="N249" s="11"/>
      <c r="O249" s="35"/>
    </row>
    <row r="250" spans="1:15" ht="37.5" customHeight="1" x14ac:dyDescent="0.25">
      <c r="A250" s="38" t="str">
        <f t="shared" si="1"/>
        <v/>
      </c>
      <c r="B250" s="2"/>
      <c r="C250" s="2"/>
      <c r="D250" s="2"/>
      <c r="E250" s="2"/>
      <c r="F250" s="2"/>
      <c r="G250" s="39"/>
      <c r="H250" s="39"/>
      <c r="I250" s="11"/>
      <c r="J250" s="11"/>
      <c r="K250" s="11"/>
      <c r="L250" s="11"/>
      <c r="M250" s="11"/>
      <c r="N250" s="11"/>
      <c r="O250" s="35"/>
    </row>
    <row r="251" spans="1:15" ht="37.5" customHeight="1" x14ac:dyDescent="0.25">
      <c r="A251" s="38" t="str">
        <f t="shared" si="1"/>
        <v/>
      </c>
      <c r="B251" s="2"/>
      <c r="C251" s="2"/>
      <c r="D251" s="2"/>
      <c r="E251" s="2"/>
      <c r="F251" s="2"/>
      <c r="G251" s="39"/>
      <c r="H251" s="39"/>
      <c r="I251" s="11"/>
      <c r="J251" s="11"/>
      <c r="K251" s="11"/>
      <c r="L251" s="11"/>
      <c r="M251" s="11"/>
      <c r="N251" s="11"/>
      <c r="O251" s="35"/>
    </row>
    <row r="252" spans="1:15" ht="37.5" customHeight="1" x14ac:dyDescent="0.25">
      <c r="A252" s="38" t="str">
        <f t="shared" si="1"/>
        <v/>
      </c>
      <c r="B252" s="2"/>
      <c r="C252" s="2"/>
      <c r="D252" s="2"/>
      <c r="E252" s="2"/>
      <c r="F252" s="2"/>
      <c r="G252" s="39"/>
      <c r="H252" s="39"/>
      <c r="I252" s="11"/>
      <c r="J252" s="11"/>
      <c r="K252" s="11"/>
      <c r="L252" s="11"/>
      <c r="M252" s="11"/>
      <c r="N252" s="11"/>
      <c r="O252" s="35"/>
    </row>
    <row r="253" spans="1:15" ht="37.5" customHeight="1" x14ac:dyDescent="0.25">
      <c r="A253" s="38" t="str">
        <f t="shared" si="1"/>
        <v/>
      </c>
      <c r="B253" s="2"/>
      <c r="C253" s="2"/>
      <c r="D253" s="2"/>
      <c r="E253" s="2"/>
      <c r="F253" s="2"/>
      <c r="G253" s="39"/>
      <c r="H253" s="39"/>
      <c r="I253" s="11"/>
      <c r="J253" s="11"/>
      <c r="K253" s="11"/>
      <c r="L253" s="11"/>
      <c r="M253" s="11"/>
      <c r="N253" s="11"/>
      <c r="O253" s="35"/>
    </row>
    <row r="254" spans="1:15" ht="37.5" customHeight="1" x14ac:dyDescent="0.25">
      <c r="A254" s="38" t="str">
        <f t="shared" si="1"/>
        <v/>
      </c>
      <c r="B254" s="2"/>
      <c r="C254" s="2"/>
      <c r="D254" s="2"/>
      <c r="E254" s="2"/>
      <c r="F254" s="2"/>
      <c r="G254" s="39"/>
      <c r="H254" s="39"/>
      <c r="I254" s="11"/>
      <c r="J254" s="11"/>
      <c r="K254" s="11"/>
      <c r="L254" s="11"/>
      <c r="M254" s="11"/>
      <c r="N254" s="11"/>
      <c r="O254" s="35"/>
    </row>
    <row r="255" spans="1:15" ht="37.5" customHeight="1" x14ac:dyDescent="0.25">
      <c r="A255" s="38" t="str">
        <f t="shared" si="1"/>
        <v/>
      </c>
      <c r="B255" s="2"/>
      <c r="C255" s="2"/>
      <c r="D255" s="2"/>
      <c r="E255" s="2"/>
      <c r="F255" s="2"/>
      <c r="G255" s="39"/>
      <c r="H255" s="39"/>
      <c r="I255" s="11"/>
      <c r="J255" s="11"/>
      <c r="K255" s="11"/>
      <c r="L255" s="11"/>
      <c r="M255" s="11"/>
      <c r="N255" s="11"/>
      <c r="O255" s="35"/>
    </row>
    <row r="256" spans="1:15" ht="37.5" customHeight="1" x14ac:dyDescent="0.25">
      <c r="A256" s="38" t="str">
        <f t="shared" si="1"/>
        <v/>
      </c>
      <c r="B256" s="2"/>
      <c r="C256" s="2"/>
      <c r="D256" s="2"/>
      <c r="E256" s="2"/>
      <c r="F256" s="2"/>
      <c r="G256" s="39"/>
      <c r="H256" s="39"/>
      <c r="I256" s="11"/>
      <c r="J256" s="11"/>
      <c r="K256" s="11"/>
      <c r="L256" s="11"/>
      <c r="M256" s="11"/>
      <c r="N256" s="11"/>
      <c r="O256" s="35"/>
    </row>
    <row r="257" spans="1:15" ht="37.5" customHeight="1" x14ac:dyDescent="0.25">
      <c r="A257" s="38" t="str">
        <f t="shared" si="1"/>
        <v/>
      </c>
      <c r="B257" s="2"/>
      <c r="C257" s="2"/>
      <c r="D257" s="2"/>
      <c r="E257" s="2"/>
      <c r="F257" s="2"/>
      <c r="G257" s="39"/>
      <c r="H257" s="39"/>
      <c r="I257" s="11"/>
      <c r="J257" s="11"/>
      <c r="K257" s="11"/>
      <c r="L257" s="11"/>
      <c r="M257" s="11"/>
      <c r="N257" s="11"/>
      <c r="O257" s="35"/>
    </row>
    <row r="258" spans="1:15" ht="37.5" customHeight="1" x14ac:dyDescent="0.25">
      <c r="A258" s="38" t="str">
        <f t="shared" si="1"/>
        <v/>
      </c>
      <c r="B258" s="2"/>
      <c r="C258" s="2"/>
      <c r="D258" s="2"/>
      <c r="E258" s="2"/>
      <c r="F258" s="2"/>
      <c r="G258" s="39"/>
      <c r="H258" s="39"/>
      <c r="I258" s="11"/>
      <c r="J258" s="11"/>
      <c r="K258" s="11"/>
      <c r="L258" s="11"/>
      <c r="M258" s="11"/>
      <c r="N258" s="11"/>
      <c r="O258" s="35"/>
    </row>
    <row r="259" spans="1:15" ht="37.5" customHeight="1" x14ac:dyDescent="0.25">
      <c r="A259" s="38" t="str">
        <f t="shared" si="1"/>
        <v/>
      </c>
      <c r="B259" s="2"/>
      <c r="C259" s="2"/>
      <c r="D259" s="2"/>
      <c r="E259" s="2"/>
      <c r="F259" s="2"/>
      <c r="G259" s="39"/>
      <c r="H259" s="39"/>
      <c r="I259" s="11"/>
      <c r="J259" s="11"/>
      <c r="K259" s="11"/>
      <c r="L259" s="11"/>
      <c r="M259" s="11"/>
      <c r="N259" s="11"/>
      <c r="O259" s="35"/>
    </row>
    <row r="260" spans="1:15" ht="37.5" customHeight="1" x14ac:dyDescent="0.25">
      <c r="A260" s="38" t="str">
        <f t="shared" si="1"/>
        <v/>
      </c>
      <c r="B260" s="2"/>
      <c r="C260" s="2"/>
      <c r="D260" s="2"/>
      <c r="E260" s="2"/>
      <c r="F260" s="2"/>
      <c r="G260" s="39"/>
      <c r="H260" s="39"/>
      <c r="I260" s="11"/>
      <c r="J260" s="11"/>
      <c r="K260" s="11"/>
      <c r="L260" s="11"/>
      <c r="M260" s="11"/>
      <c r="N260" s="11"/>
      <c r="O260" s="35"/>
    </row>
    <row r="261" spans="1:15" ht="37.5" customHeight="1" x14ac:dyDescent="0.25">
      <c r="A261" s="38" t="str">
        <f t="shared" si="1"/>
        <v/>
      </c>
      <c r="B261" s="2"/>
      <c r="C261" s="2"/>
      <c r="D261" s="2"/>
      <c r="E261" s="2"/>
      <c r="F261" s="2"/>
      <c r="G261" s="39"/>
      <c r="H261" s="39"/>
      <c r="I261" s="11"/>
      <c r="J261" s="11"/>
      <c r="K261" s="11"/>
      <c r="L261" s="11"/>
      <c r="M261" s="11"/>
      <c r="N261" s="11"/>
      <c r="O261" s="35"/>
    </row>
    <row r="262" spans="1:15" ht="37.5" customHeight="1" x14ac:dyDescent="0.25">
      <c r="A262" s="38" t="str">
        <f t="shared" si="1"/>
        <v/>
      </c>
      <c r="B262" s="2"/>
      <c r="C262" s="2"/>
      <c r="D262" s="2"/>
      <c r="E262" s="2"/>
      <c r="F262" s="2"/>
      <c r="G262" s="39"/>
      <c r="H262" s="39"/>
      <c r="I262" s="11"/>
      <c r="J262" s="11"/>
      <c r="K262" s="11"/>
      <c r="L262" s="11"/>
      <c r="M262" s="11"/>
      <c r="N262" s="11"/>
      <c r="O262" s="35"/>
    </row>
    <row r="263" spans="1:15" ht="37.5" customHeight="1" x14ac:dyDescent="0.25">
      <c r="A263" s="38" t="str">
        <f t="shared" si="1"/>
        <v/>
      </c>
      <c r="B263" s="2"/>
      <c r="C263" s="2"/>
      <c r="D263" s="2"/>
      <c r="E263" s="2"/>
      <c r="F263" s="2"/>
      <c r="G263" s="39"/>
      <c r="H263" s="39"/>
      <c r="I263" s="11"/>
      <c r="J263" s="11"/>
      <c r="K263" s="11"/>
      <c r="L263" s="11"/>
      <c r="M263" s="11"/>
      <c r="N263" s="11"/>
      <c r="O263" s="35"/>
    </row>
    <row r="264" spans="1:15" ht="37.5" customHeight="1" x14ac:dyDescent="0.25">
      <c r="A264" s="38" t="str">
        <f t="shared" si="1"/>
        <v/>
      </c>
      <c r="B264" s="2"/>
      <c r="C264" s="2"/>
      <c r="D264" s="2"/>
      <c r="E264" s="2"/>
      <c r="F264" s="2"/>
      <c r="G264" s="39"/>
      <c r="H264" s="39"/>
      <c r="I264" s="11"/>
      <c r="J264" s="11"/>
      <c r="K264" s="11"/>
      <c r="L264" s="11"/>
      <c r="M264" s="11"/>
      <c r="N264" s="11"/>
      <c r="O264" s="35"/>
    </row>
    <row r="265" spans="1:15" ht="37.5" customHeight="1" x14ac:dyDescent="0.25">
      <c r="A265" s="38" t="str">
        <f t="shared" si="1"/>
        <v/>
      </c>
      <c r="B265" s="2"/>
      <c r="C265" s="2"/>
      <c r="D265" s="2"/>
      <c r="E265" s="2"/>
      <c r="F265" s="2"/>
      <c r="G265" s="39"/>
      <c r="H265" s="39"/>
      <c r="I265" s="11"/>
      <c r="J265" s="11"/>
      <c r="K265" s="11"/>
      <c r="L265" s="11"/>
      <c r="M265" s="11"/>
      <c r="N265" s="11"/>
      <c r="O265" s="35"/>
    </row>
    <row r="266" spans="1:15" ht="37.5" customHeight="1" x14ac:dyDescent="0.25">
      <c r="A266" s="38" t="str">
        <f t="shared" si="1"/>
        <v/>
      </c>
      <c r="B266" s="2"/>
      <c r="C266" s="2"/>
      <c r="D266" s="2"/>
      <c r="E266" s="2"/>
      <c r="F266" s="2"/>
      <c r="G266" s="39"/>
      <c r="H266" s="39"/>
      <c r="I266" s="11"/>
      <c r="J266" s="11"/>
      <c r="K266" s="11"/>
      <c r="L266" s="11"/>
      <c r="M266" s="11"/>
      <c r="N266" s="11"/>
      <c r="O266" s="35"/>
    </row>
    <row r="267" spans="1:15" ht="37.5" customHeight="1" x14ac:dyDescent="0.25">
      <c r="A267" s="38" t="str">
        <f t="shared" si="1"/>
        <v/>
      </c>
      <c r="B267" s="2"/>
      <c r="C267" s="2"/>
      <c r="D267" s="2"/>
      <c r="E267" s="2"/>
      <c r="F267" s="2"/>
      <c r="G267" s="39"/>
      <c r="H267" s="39"/>
      <c r="I267" s="11"/>
      <c r="J267" s="11"/>
      <c r="K267" s="11"/>
      <c r="L267" s="11"/>
      <c r="M267" s="11"/>
      <c r="N267" s="11"/>
      <c r="O267" s="35"/>
    </row>
    <row r="268" spans="1:15" ht="37.5" customHeight="1" x14ac:dyDescent="0.25">
      <c r="A268" s="38" t="str">
        <f t="shared" si="1"/>
        <v/>
      </c>
      <c r="B268" s="2"/>
      <c r="C268" s="2"/>
      <c r="D268" s="2"/>
      <c r="E268" s="2"/>
      <c r="F268" s="2"/>
      <c r="G268" s="39"/>
      <c r="H268" s="39"/>
      <c r="I268" s="11"/>
      <c r="J268" s="11"/>
      <c r="K268" s="11"/>
      <c r="L268" s="11"/>
      <c r="M268" s="11"/>
      <c r="N268" s="11"/>
      <c r="O268" s="35"/>
    </row>
    <row r="269" spans="1:15" ht="37.5" customHeight="1" x14ac:dyDescent="0.25">
      <c r="A269" s="38" t="str">
        <f t="shared" si="1"/>
        <v/>
      </c>
      <c r="B269" s="2"/>
      <c r="C269" s="2"/>
      <c r="D269" s="2"/>
      <c r="E269" s="2"/>
      <c r="F269" s="2"/>
      <c r="G269" s="39"/>
      <c r="H269" s="39"/>
      <c r="I269" s="11"/>
      <c r="J269" s="11"/>
      <c r="K269" s="11"/>
      <c r="L269" s="11"/>
      <c r="M269" s="11"/>
      <c r="N269" s="11"/>
      <c r="O269" s="35"/>
    </row>
    <row r="270" spans="1:15" ht="37.5" customHeight="1" x14ac:dyDescent="0.25">
      <c r="A270" s="38" t="str">
        <f t="shared" si="1"/>
        <v/>
      </c>
      <c r="B270" s="2"/>
      <c r="C270" s="2"/>
      <c r="D270" s="2"/>
      <c r="E270" s="2"/>
      <c r="F270" s="2"/>
      <c r="G270" s="39"/>
      <c r="H270" s="39"/>
      <c r="I270" s="11"/>
      <c r="J270" s="11"/>
      <c r="K270" s="11"/>
      <c r="L270" s="11"/>
      <c r="M270" s="11"/>
      <c r="N270" s="11"/>
      <c r="O270" s="35"/>
    </row>
    <row r="271" spans="1:15" ht="37.5" customHeight="1" x14ac:dyDescent="0.25">
      <c r="A271" s="38" t="str">
        <f t="shared" si="1"/>
        <v/>
      </c>
      <c r="B271" s="2"/>
      <c r="C271" s="2"/>
      <c r="D271" s="2"/>
      <c r="E271" s="2"/>
      <c r="F271" s="2"/>
      <c r="G271" s="39"/>
      <c r="H271" s="39"/>
      <c r="I271" s="11"/>
      <c r="J271" s="11"/>
      <c r="K271" s="11"/>
      <c r="L271" s="11"/>
      <c r="M271" s="11"/>
      <c r="N271" s="11"/>
      <c r="O271" s="35"/>
    </row>
    <row r="272" spans="1:15" ht="37.5" customHeight="1" x14ac:dyDescent="0.25">
      <c r="A272" s="38" t="str">
        <f t="shared" si="1"/>
        <v/>
      </c>
      <c r="B272" s="2"/>
      <c r="C272" s="2"/>
      <c r="D272" s="2"/>
      <c r="E272" s="2"/>
      <c r="F272" s="2"/>
      <c r="G272" s="39"/>
      <c r="H272" s="39"/>
      <c r="I272" s="11"/>
      <c r="J272" s="11"/>
      <c r="K272" s="11"/>
      <c r="L272" s="11"/>
      <c r="M272" s="11"/>
      <c r="N272" s="11"/>
      <c r="O272" s="35"/>
    </row>
    <row r="273" spans="1:15" ht="37.5" customHeight="1" x14ac:dyDescent="0.25">
      <c r="A273" s="38" t="str">
        <f t="shared" si="1"/>
        <v/>
      </c>
      <c r="B273" s="2"/>
      <c r="C273" s="2"/>
      <c r="D273" s="2"/>
      <c r="E273" s="2"/>
      <c r="F273" s="2"/>
      <c r="G273" s="39"/>
      <c r="H273" s="39"/>
      <c r="I273" s="11"/>
      <c r="J273" s="11"/>
      <c r="K273" s="11"/>
      <c r="L273" s="11"/>
      <c r="M273" s="11"/>
      <c r="N273" s="11"/>
      <c r="O273" s="35"/>
    </row>
    <row r="274" spans="1:15" ht="37.5" customHeight="1" x14ac:dyDescent="0.25">
      <c r="A274" s="38" t="str">
        <f t="shared" si="1"/>
        <v/>
      </c>
      <c r="B274" s="2"/>
      <c r="C274" s="2"/>
      <c r="D274" s="2"/>
      <c r="E274" s="2"/>
      <c r="F274" s="2"/>
      <c r="G274" s="39"/>
      <c r="H274" s="39"/>
      <c r="I274" s="11"/>
      <c r="J274" s="11"/>
      <c r="K274" s="11"/>
      <c r="L274" s="11"/>
      <c r="M274" s="11"/>
      <c r="N274" s="11"/>
      <c r="O274" s="35"/>
    </row>
    <row r="275" spans="1:15" ht="37.5" customHeight="1" x14ac:dyDescent="0.25">
      <c r="A275" s="38" t="str">
        <f t="shared" si="1"/>
        <v/>
      </c>
      <c r="B275" s="2"/>
      <c r="C275" s="2"/>
      <c r="D275" s="2"/>
      <c r="E275" s="2"/>
      <c r="F275" s="2"/>
      <c r="G275" s="39"/>
      <c r="H275" s="39"/>
      <c r="I275" s="11"/>
      <c r="J275" s="11"/>
      <c r="K275" s="11"/>
      <c r="L275" s="11"/>
      <c r="M275" s="11"/>
      <c r="N275" s="11"/>
      <c r="O275" s="35"/>
    </row>
    <row r="276" spans="1:15" ht="37.5" customHeight="1" x14ac:dyDescent="0.25">
      <c r="A276" s="38" t="str">
        <f t="shared" si="1"/>
        <v/>
      </c>
      <c r="B276" s="2"/>
      <c r="C276" s="2"/>
      <c r="D276" s="2"/>
      <c r="E276" s="2"/>
      <c r="F276" s="2"/>
      <c r="G276" s="39"/>
      <c r="H276" s="39"/>
      <c r="I276" s="11"/>
      <c r="J276" s="11"/>
      <c r="K276" s="11"/>
      <c r="L276" s="11"/>
      <c r="M276" s="11"/>
      <c r="N276" s="11"/>
      <c r="O276" s="35"/>
    </row>
    <row r="277" spans="1:15" ht="37.5" customHeight="1" x14ac:dyDescent="0.25">
      <c r="A277" s="38" t="str">
        <f t="shared" si="1"/>
        <v/>
      </c>
      <c r="B277" s="2"/>
      <c r="C277" s="2"/>
      <c r="D277" s="2"/>
      <c r="E277" s="2"/>
      <c r="F277" s="2"/>
      <c r="G277" s="39"/>
      <c r="H277" s="39"/>
      <c r="I277" s="11"/>
      <c r="J277" s="11"/>
      <c r="K277" s="11"/>
      <c r="L277" s="11"/>
      <c r="M277" s="11"/>
      <c r="N277" s="11"/>
      <c r="O277" s="35"/>
    </row>
    <row r="278" spans="1:15" ht="37.5" customHeight="1" x14ac:dyDescent="0.25">
      <c r="A278" s="38" t="str">
        <f t="shared" si="1"/>
        <v/>
      </c>
      <c r="B278" s="2"/>
      <c r="C278" s="2"/>
      <c r="D278" s="2"/>
      <c r="E278" s="2"/>
      <c r="F278" s="2"/>
      <c r="G278" s="39"/>
      <c r="H278" s="39"/>
      <c r="I278" s="11"/>
      <c r="J278" s="11"/>
      <c r="K278" s="11"/>
      <c r="L278" s="11"/>
      <c r="M278" s="11"/>
      <c r="N278" s="11"/>
      <c r="O278" s="35"/>
    </row>
    <row r="279" spans="1:15" ht="37.5" customHeight="1" x14ac:dyDescent="0.25">
      <c r="A279" s="38" t="str">
        <f t="shared" si="1"/>
        <v/>
      </c>
      <c r="B279" s="2"/>
      <c r="C279" s="2"/>
      <c r="D279" s="2"/>
      <c r="E279" s="2"/>
      <c r="F279" s="2"/>
      <c r="G279" s="39"/>
      <c r="H279" s="39"/>
      <c r="I279" s="11"/>
      <c r="J279" s="11"/>
      <c r="K279" s="11"/>
      <c r="L279" s="11"/>
      <c r="M279" s="11"/>
      <c r="N279" s="11"/>
      <c r="O279" s="35"/>
    </row>
    <row r="280" spans="1:15" ht="37.5" customHeight="1" x14ac:dyDescent="0.25">
      <c r="A280" s="38" t="str">
        <f t="shared" si="1"/>
        <v/>
      </c>
      <c r="B280" s="2"/>
      <c r="C280" s="2"/>
      <c r="D280" s="2"/>
      <c r="E280" s="2"/>
      <c r="F280" s="2"/>
      <c r="G280" s="39"/>
      <c r="H280" s="39"/>
      <c r="I280" s="11"/>
      <c r="J280" s="11"/>
      <c r="K280" s="11"/>
      <c r="L280" s="11"/>
      <c r="M280" s="11"/>
      <c r="N280" s="11"/>
      <c r="O280" s="35"/>
    </row>
    <row r="281" spans="1:15" ht="37.5" customHeight="1" x14ac:dyDescent="0.25">
      <c r="A281" s="38" t="str">
        <f t="shared" si="1"/>
        <v/>
      </c>
      <c r="B281" s="2"/>
      <c r="C281" s="2"/>
      <c r="D281" s="2"/>
      <c r="E281" s="2"/>
      <c r="F281" s="2"/>
      <c r="G281" s="39"/>
      <c r="H281" s="39"/>
      <c r="I281" s="11"/>
      <c r="J281" s="11"/>
      <c r="K281" s="11"/>
      <c r="L281" s="11"/>
      <c r="M281" s="11"/>
      <c r="N281" s="11"/>
      <c r="O281" s="35"/>
    </row>
    <row r="282" spans="1:15" ht="37.5" customHeight="1" x14ac:dyDescent="0.25">
      <c r="A282" s="38" t="str">
        <f t="shared" si="1"/>
        <v/>
      </c>
      <c r="B282" s="2"/>
      <c r="C282" s="2"/>
      <c r="D282" s="2"/>
      <c r="E282" s="2"/>
      <c r="F282" s="2"/>
      <c r="G282" s="39"/>
      <c r="H282" s="39"/>
      <c r="I282" s="11"/>
      <c r="J282" s="11"/>
      <c r="K282" s="11"/>
      <c r="L282" s="11"/>
      <c r="M282" s="11"/>
      <c r="N282" s="11"/>
      <c r="O282" s="35"/>
    </row>
    <row r="283" spans="1:15" ht="37.5" customHeight="1" x14ac:dyDescent="0.25">
      <c r="A283" s="38" t="str">
        <f t="shared" si="1"/>
        <v/>
      </c>
      <c r="B283" s="2"/>
      <c r="C283" s="2"/>
      <c r="D283" s="2"/>
      <c r="E283" s="2"/>
      <c r="F283" s="2"/>
      <c r="G283" s="39"/>
      <c r="H283" s="39"/>
      <c r="I283" s="11"/>
      <c r="J283" s="11"/>
      <c r="K283" s="11"/>
      <c r="L283" s="11"/>
      <c r="M283" s="11"/>
      <c r="N283" s="11"/>
      <c r="O283" s="35"/>
    </row>
    <row r="284" spans="1:15" ht="37.5" customHeight="1" x14ac:dyDescent="0.25">
      <c r="A284" s="38" t="str">
        <f t="shared" si="1"/>
        <v/>
      </c>
      <c r="B284" s="2"/>
      <c r="C284" s="2"/>
      <c r="D284" s="2"/>
      <c r="E284" s="2"/>
      <c r="F284" s="2"/>
      <c r="G284" s="39"/>
      <c r="H284" s="39"/>
      <c r="I284" s="11"/>
      <c r="J284" s="11"/>
      <c r="K284" s="11"/>
      <c r="L284" s="11"/>
      <c r="M284" s="11"/>
      <c r="N284" s="11"/>
      <c r="O284" s="35"/>
    </row>
    <row r="285" spans="1:15" ht="37.5" customHeight="1" x14ac:dyDescent="0.25">
      <c r="A285" s="38" t="str">
        <f t="shared" si="1"/>
        <v/>
      </c>
      <c r="B285" s="2"/>
      <c r="C285" s="2"/>
      <c r="D285" s="2"/>
      <c r="E285" s="2"/>
      <c r="F285" s="2"/>
      <c r="G285" s="39"/>
      <c r="H285" s="39"/>
      <c r="I285" s="11"/>
      <c r="J285" s="11"/>
      <c r="K285" s="11"/>
      <c r="L285" s="11"/>
      <c r="M285" s="11"/>
      <c r="N285" s="11"/>
      <c r="O285" s="35"/>
    </row>
    <row r="286" spans="1:15" ht="37.5" customHeight="1" x14ac:dyDescent="0.25">
      <c r="A286" s="38" t="str">
        <f t="shared" si="1"/>
        <v/>
      </c>
      <c r="B286" s="2"/>
      <c r="C286" s="2"/>
      <c r="D286" s="2"/>
      <c r="E286" s="2"/>
      <c r="F286" s="2"/>
      <c r="G286" s="39"/>
      <c r="H286" s="39"/>
      <c r="I286" s="11"/>
      <c r="J286" s="11"/>
      <c r="K286" s="11"/>
      <c r="L286" s="11"/>
      <c r="M286" s="11"/>
      <c r="N286" s="11"/>
      <c r="O286" s="35"/>
    </row>
    <row r="287" spans="1:15" ht="37.5" customHeight="1" x14ac:dyDescent="0.25">
      <c r="A287" s="38" t="str">
        <f t="shared" si="1"/>
        <v/>
      </c>
      <c r="B287" s="2"/>
      <c r="C287" s="2"/>
      <c r="D287" s="2"/>
      <c r="E287" s="2"/>
      <c r="F287" s="2"/>
      <c r="G287" s="39"/>
      <c r="H287" s="39"/>
      <c r="I287" s="11"/>
      <c r="J287" s="11"/>
      <c r="K287" s="11"/>
      <c r="L287" s="11"/>
      <c r="M287" s="11"/>
      <c r="N287" s="11"/>
      <c r="O287" s="35"/>
    </row>
    <row r="288" spans="1:15" ht="37.5" customHeight="1" x14ac:dyDescent="0.25">
      <c r="A288" s="38" t="str">
        <f t="shared" si="1"/>
        <v/>
      </c>
      <c r="B288" s="2"/>
      <c r="C288" s="2"/>
      <c r="D288" s="2"/>
      <c r="E288" s="2"/>
      <c r="F288" s="2"/>
      <c r="G288" s="39"/>
      <c r="H288" s="39"/>
      <c r="I288" s="11"/>
      <c r="J288" s="11"/>
      <c r="K288" s="11"/>
      <c r="L288" s="11"/>
      <c r="M288" s="11"/>
      <c r="N288" s="11"/>
      <c r="O288" s="35"/>
    </row>
    <row r="289" spans="1:15" ht="37.5" customHeight="1" x14ac:dyDescent="0.25">
      <c r="A289" s="38" t="str">
        <f t="shared" si="1"/>
        <v/>
      </c>
      <c r="B289" s="2"/>
      <c r="C289" s="2"/>
      <c r="D289" s="2"/>
      <c r="E289" s="2"/>
      <c r="F289" s="2"/>
      <c r="G289" s="39"/>
      <c r="H289" s="39"/>
      <c r="I289" s="11"/>
      <c r="J289" s="11"/>
      <c r="K289" s="11"/>
      <c r="L289" s="11"/>
      <c r="M289" s="11"/>
      <c r="N289" s="11"/>
      <c r="O289" s="35"/>
    </row>
    <row r="290" spans="1:15" ht="37.5" customHeight="1" x14ac:dyDescent="0.25">
      <c r="A290" s="38" t="str">
        <f t="shared" si="1"/>
        <v/>
      </c>
      <c r="B290" s="2"/>
      <c r="C290" s="2"/>
      <c r="D290" s="2"/>
      <c r="E290" s="2"/>
      <c r="F290" s="2"/>
      <c r="G290" s="39"/>
      <c r="H290" s="39"/>
      <c r="I290" s="11"/>
      <c r="J290" s="11"/>
      <c r="K290" s="11"/>
      <c r="L290" s="11"/>
      <c r="M290" s="11"/>
      <c r="N290" s="11"/>
      <c r="O290" s="35"/>
    </row>
    <row r="291" spans="1:15" ht="37.5" customHeight="1" x14ac:dyDescent="0.25">
      <c r="A291" s="38" t="str">
        <f t="shared" si="1"/>
        <v/>
      </c>
      <c r="B291" s="2"/>
      <c r="C291" s="2"/>
      <c r="D291" s="2"/>
      <c r="E291" s="2"/>
      <c r="F291" s="2"/>
      <c r="G291" s="39"/>
      <c r="H291" s="39"/>
      <c r="I291" s="11"/>
      <c r="J291" s="11"/>
      <c r="K291" s="11"/>
      <c r="L291" s="11"/>
      <c r="M291" s="11"/>
      <c r="N291" s="11"/>
      <c r="O291" s="35"/>
    </row>
    <row r="292" spans="1:15" ht="37.5" customHeight="1" x14ac:dyDescent="0.25">
      <c r="A292" s="38" t="str">
        <f t="shared" si="1"/>
        <v/>
      </c>
      <c r="B292" s="2"/>
      <c r="C292" s="2"/>
      <c r="D292" s="2"/>
      <c r="E292" s="2"/>
      <c r="F292" s="2"/>
      <c r="G292" s="39"/>
      <c r="H292" s="39"/>
      <c r="I292" s="11"/>
      <c r="J292" s="11"/>
      <c r="K292" s="11"/>
      <c r="L292" s="11"/>
      <c r="M292" s="11"/>
      <c r="N292" s="11"/>
      <c r="O292" s="35"/>
    </row>
    <row r="293" spans="1:15" ht="37.5" customHeight="1" x14ac:dyDescent="0.25">
      <c r="A293" s="38" t="str">
        <f t="shared" si="1"/>
        <v/>
      </c>
      <c r="B293" s="2"/>
      <c r="C293" s="2"/>
      <c r="D293" s="2"/>
      <c r="E293" s="2"/>
      <c r="F293" s="2"/>
      <c r="G293" s="39"/>
      <c r="H293" s="39"/>
      <c r="I293" s="11"/>
      <c r="J293" s="11"/>
      <c r="K293" s="11"/>
      <c r="L293" s="11"/>
      <c r="M293" s="11"/>
      <c r="N293" s="11"/>
      <c r="O293" s="35"/>
    </row>
    <row r="294" spans="1:15" ht="37.5" customHeight="1" x14ac:dyDescent="0.25">
      <c r="A294" s="38" t="str">
        <f t="shared" si="1"/>
        <v/>
      </c>
      <c r="B294" s="2"/>
      <c r="C294" s="2"/>
      <c r="D294" s="2"/>
      <c r="E294" s="2"/>
      <c r="F294" s="2"/>
      <c r="G294" s="39"/>
      <c r="H294" s="39"/>
      <c r="I294" s="11"/>
      <c r="J294" s="11"/>
      <c r="K294" s="11"/>
      <c r="L294" s="11"/>
      <c r="M294" s="11"/>
      <c r="N294" s="11"/>
      <c r="O294" s="35"/>
    </row>
    <row r="295" spans="1:15" ht="37.5" customHeight="1" x14ac:dyDescent="0.25">
      <c r="A295" s="38" t="str">
        <f t="shared" si="1"/>
        <v/>
      </c>
      <c r="B295" s="2"/>
      <c r="C295" s="2"/>
      <c r="D295" s="2"/>
      <c r="E295" s="2"/>
      <c r="F295" s="2"/>
      <c r="G295" s="39"/>
      <c r="H295" s="39"/>
      <c r="I295" s="11"/>
      <c r="J295" s="11"/>
      <c r="K295" s="11"/>
      <c r="L295" s="11"/>
      <c r="M295" s="11"/>
      <c r="N295" s="11"/>
      <c r="O295" s="35"/>
    </row>
    <row r="296" spans="1:15" ht="37.5" customHeight="1" x14ac:dyDescent="0.25">
      <c r="A296" s="38" t="str">
        <f t="shared" si="1"/>
        <v/>
      </c>
      <c r="B296" s="2"/>
      <c r="C296" s="2"/>
      <c r="D296" s="2"/>
      <c r="E296" s="2"/>
      <c r="F296" s="2"/>
      <c r="G296" s="39"/>
      <c r="H296" s="39"/>
      <c r="I296" s="11"/>
      <c r="J296" s="11"/>
      <c r="K296" s="11"/>
      <c r="L296" s="11"/>
      <c r="M296" s="11"/>
      <c r="N296" s="11"/>
      <c r="O296" s="35"/>
    </row>
    <row r="297" spans="1:15" ht="37.5" customHeight="1" x14ac:dyDescent="0.25">
      <c r="A297" s="38" t="str">
        <f t="shared" si="1"/>
        <v/>
      </c>
      <c r="B297" s="2"/>
      <c r="C297" s="2"/>
      <c r="D297" s="2"/>
      <c r="E297" s="2"/>
      <c r="F297" s="2"/>
      <c r="G297" s="39"/>
      <c r="H297" s="39"/>
      <c r="I297" s="11"/>
      <c r="J297" s="11"/>
      <c r="K297" s="11"/>
      <c r="L297" s="11"/>
      <c r="M297" s="11"/>
      <c r="N297" s="11"/>
      <c r="O297" s="35"/>
    </row>
    <row r="298" spans="1:15" ht="37.5" customHeight="1" x14ac:dyDescent="0.25">
      <c r="A298" s="38" t="str">
        <f t="shared" si="1"/>
        <v/>
      </c>
      <c r="B298" s="2"/>
      <c r="C298" s="2"/>
      <c r="D298" s="2"/>
      <c r="E298" s="2"/>
      <c r="F298" s="2"/>
      <c r="G298" s="39"/>
      <c r="H298" s="39"/>
      <c r="I298" s="11"/>
      <c r="J298" s="11"/>
      <c r="K298" s="11"/>
      <c r="L298" s="11"/>
      <c r="M298" s="11"/>
      <c r="N298" s="11"/>
      <c r="O298" s="35"/>
    </row>
    <row r="299" spans="1:15" ht="37.5" customHeight="1" x14ac:dyDescent="0.25">
      <c r="A299" s="38" t="str">
        <f t="shared" si="1"/>
        <v/>
      </c>
      <c r="B299" s="2"/>
      <c r="C299" s="2"/>
      <c r="D299" s="2"/>
      <c r="E299" s="2"/>
      <c r="F299" s="2"/>
      <c r="G299" s="39"/>
      <c r="H299" s="39"/>
      <c r="I299" s="11"/>
      <c r="J299" s="11"/>
      <c r="K299" s="11"/>
      <c r="L299" s="11"/>
      <c r="M299" s="11"/>
      <c r="N299" s="11"/>
      <c r="O299" s="35"/>
    </row>
    <row r="300" spans="1:15" ht="37.5" customHeight="1" x14ac:dyDescent="0.25">
      <c r="A300" s="38" t="str">
        <f t="shared" si="1"/>
        <v/>
      </c>
      <c r="B300" s="2"/>
      <c r="C300" s="2"/>
      <c r="D300" s="2"/>
      <c r="E300" s="2"/>
      <c r="F300" s="2"/>
      <c r="G300" s="39"/>
      <c r="H300" s="39"/>
      <c r="I300" s="11"/>
      <c r="J300" s="11"/>
      <c r="K300" s="11"/>
      <c r="L300" s="11"/>
      <c r="M300" s="11"/>
      <c r="N300" s="11"/>
      <c r="O300" s="35"/>
    </row>
    <row r="301" spans="1:15" ht="37.5" customHeight="1" x14ac:dyDescent="0.25">
      <c r="A301" s="38" t="str">
        <f t="shared" si="1"/>
        <v/>
      </c>
      <c r="B301" s="2"/>
      <c r="C301" s="2"/>
      <c r="D301" s="2"/>
      <c r="E301" s="2"/>
      <c r="F301" s="2"/>
      <c r="G301" s="39"/>
      <c r="H301" s="39"/>
      <c r="I301" s="11"/>
      <c r="J301" s="11"/>
      <c r="K301" s="11"/>
      <c r="L301" s="11"/>
      <c r="M301" s="11"/>
      <c r="N301" s="11"/>
      <c r="O301" s="35"/>
    </row>
    <row r="302" spans="1:15" ht="37.5" customHeight="1" x14ac:dyDescent="0.25">
      <c r="A302" s="38" t="str">
        <f t="shared" si="1"/>
        <v/>
      </c>
      <c r="B302" s="2"/>
      <c r="C302" s="2"/>
      <c r="D302" s="2"/>
      <c r="E302" s="2"/>
      <c r="F302" s="2"/>
      <c r="G302" s="39"/>
      <c r="H302" s="39"/>
      <c r="I302" s="11"/>
      <c r="J302" s="11"/>
      <c r="K302" s="11"/>
      <c r="L302" s="11"/>
      <c r="M302" s="11"/>
      <c r="N302" s="11"/>
      <c r="O302" s="35"/>
    </row>
    <row r="303" spans="1:15" ht="37.5" customHeight="1" x14ac:dyDescent="0.25">
      <c r="A303" s="38" t="str">
        <f t="shared" si="1"/>
        <v/>
      </c>
      <c r="B303" s="2"/>
      <c r="C303" s="2"/>
      <c r="D303" s="2"/>
      <c r="E303" s="2"/>
      <c r="F303" s="2"/>
      <c r="G303" s="39"/>
      <c r="H303" s="39"/>
      <c r="I303" s="11"/>
      <c r="J303" s="11"/>
      <c r="K303" s="11"/>
      <c r="L303" s="11"/>
      <c r="M303" s="11"/>
      <c r="N303" s="11"/>
      <c r="O303" s="35"/>
    </row>
    <row r="304" spans="1:15" ht="37.5" customHeight="1" x14ac:dyDescent="0.25">
      <c r="A304" s="38" t="str">
        <f t="shared" si="1"/>
        <v/>
      </c>
      <c r="B304" s="2"/>
      <c r="C304" s="2"/>
      <c r="D304" s="2"/>
      <c r="E304" s="2"/>
      <c r="F304" s="2"/>
      <c r="G304" s="39"/>
      <c r="H304" s="39"/>
      <c r="I304" s="11"/>
      <c r="J304" s="11"/>
      <c r="K304" s="11"/>
      <c r="L304" s="11"/>
      <c r="M304" s="11"/>
      <c r="N304" s="11"/>
      <c r="O304" s="35"/>
    </row>
    <row r="305" spans="1:15" ht="37.5" customHeight="1" x14ac:dyDescent="0.25">
      <c r="A305" s="38" t="str">
        <f t="shared" si="1"/>
        <v/>
      </c>
      <c r="B305" s="2"/>
      <c r="C305" s="2"/>
      <c r="D305" s="2"/>
      <c r="E305" s="2"/>
      <c r="F305" s="2"/>
      <c r="G305" s="39"/>
      <c r="H305" s="39"/>
      <c r="I305" s="11"/>
      <c r="J305" s="11"/>
      <c r="K305" s="11"/>
      <c r="L305" s="11"/>
      <c r="M305" s="11"/>
      <c r="N305" s="11"/>
      <c r="O305" s="35"/>
    </row>
    <row r="306" spans="1:15" ht="37.5" customHeight="1" x14ac:dyDescent="0.25">
      <c r="A306" s="38" t="str">
        <f t="shared" si="1"/>
        <v/>
      </c>
      <c r="B306" s="2"/>
      <c r="C306" s="2"/>
      <c r="D306" s="2"/>
      <c r="E306" s="2"/>
      <c r="F306" s="2"/>
      <c r="G306" s="39"/>
      <c r="H306" s="39"/>
      <c r="I306" s="11"/>
      <c r="J306" s="11"/>
      <c r="K306" s="11"/>
      <c r="L306" s="11"/>
      <c r="M306" s="11"/>
      <c r="N306" s="11"/>
      <c r="O306" s="35"/>
    </row>
    <row r="307" spans="1:15" ht="37.5" customHeight="1" x14ac:dyDescent="0.25">
      <c r="A307" s="38" t="str">
        <f t="shared" si="1"/>
        <v/>
      </c>
      <c r="B307" s="2"/>
      <c r="C307" s="2"/>
      <c r="D307" s="2"/>
      <c r="E307" s="2"/>
      <c r="F307" s="2"/>
      <c r="G307" s="39"/>
      <c r="H307" s="39"/>
      <c r="I307" s="11"/>
      <c r="J307" s="11"/>
      <c r="K307" s="11"/>
      <c r="L307" s="11"/>
      <c r="M307" s="11"/>
      <c r="N307" s="11"/>
      <c r="O307" s="35"/>
    </row>
    <row r="308" spans="1:15" ht="37.5" customHeight="1" x14ac:dyDescent="0.25">
      <c r="A308" s="38" t="str">
        <f t="shared" si="1"/>
        <v/>
      </c>
      <c r="B308" s="2"/>
      <c r="C308" s="2"/>
      <c r="D308" s="2"/>
      <c r="E308" s="2"/>
      <c r="F308" s="2"/>
      <c r="G308" s="39"/>
      <c r="H308" s="39"/>
      <c r="I308" s="11"/>
      <c r="J308" s="11"/>
      <c r="K308" s="11"/>
      <c r="L308" s="11"/>
      <c r="M308" s="11"/>
      <c r="N308" s="11"/>
      <c r="O308" s="35"/>
    </row>
    <row r="309" spans="1:15" ht="37.5" customHeight="1" x14ac:dyDescent="0.25">
      <c r="A309" s="38" t="str">
        <f t="shared" si="1"/>
        <v/>
      </c>
      <c r="B309" s="2"/>
      <c r="C309" s="2"/>
      <c r="D309" s="2"/>
      <c r="E309" s="2"/>
      <c r="F309" s="2"/>
      <c r="G309" s="39"/>
      <c r="H309" s="39"/>
      <c r="I309" s="11"/>
      <c r="J309" s="11"/>
      <c r="K309" s="11"/>
      <c r="L309" s="11"/>
      <c r="M309" s="11"/>
      <c r="N309" s="11"/>
      <c r="O309" s="35"/>
    </row>
    <row r="310" spans="1:15" ht="37.5" customHeight="1" x14ac:dyDescent="0.25">
      <c r="A310" s="38" t="str">
        <f t="shared" si="1"/>
        <v/>
      </c>
      <c r="B310" s="2"/>
      <c r="C310" s="2"/>
      <c r="D310" s="2"/>
      <c r="E310" s="2"/>
      <c r="F310" s="2"/>
      <c r="G310" s="39"/>
      <c r="H310" s="39"/>
      <c r="I310" s="11"/>
      <c r="J310" s="11"/>
      <c r="K310" s="11"/>
      <c r="L310" s="11"/>
      <c r="M310" s="11"/>
      <c r="N310" s="11"/>
      <c r="O310" s="35"/>
    </row>
    <row r="311" spans="1:15" ht="37.5" customHeight="1" x14ac:dyDescent="0.25">
      <c r="A311" s="38" t="str">
        <f t="shared" si="1"/>
        <v/>
      </c>
      <c r="B311" s="2"/>
      <c r="C311" s="2"/>
      <c r="D311" s="2"/>
      <c r="E311" s="2"/>
      <c r="F311" s="2"/>
      <c r="G311" s="39"/>
      <c r="H311" s="39"/>
      <c r="I311" s="11"/>
      <c r="J311" s="11"/>
      <c r="K311" s="11"/>
      <c r="L311" s="11"/>
      <c r="M311" s="11"/>
      <c r="N311" s="11"/>
      <c r="O311" s="35"/>
    </row>
    <row r="312" spans="1:15" ht="37.5" customHeight="1" x14ac:dyDescent="0.25">
      <c r="A312" s="38" t="str">
        <f t="shared" si="1"/>
        <v/>
      </c>
      <c r="B312" s="2"/>
      <c r="C312" s="2"/>
      <c r="D312" s="2"/>
      <c r="E312" s="2"/>
      <c r="F312" s="2"/>
      <c r="G312" s="39"/>
      <c r="H312" s="39"/>
      <c r="I312" s="11"/>
      <c r="J312" s="11"/>
      <c r="K312" s="11"/>
      <c r="L312" s="11"/>
      <c r="M312" s="11"/>
      <c r="N312" s="11"/>
      <c r="O312" s="35"/>
    </row>
    <row r="313" spans="1:15" ht="37.5" customHeight="1" x14ac:dyDescent="0.25">
      <c r="A313" s="38" t="str">
        <f t="shared" si="1"/>
        <v/>
      </c>
      <c r="B313" s="2"/>
      <c r="C313" s="2"/>
      <c r="D313" s="2"/>
      <c r="E313" s="2"/>
      <c r="F313" s="2"/>
      <c r="G313" s="39"/>
      <c r="H313" s="39"/>
      <c r="I313" s="11"/>
      <c r="J313" s="11"/>
      <c r="K313" s="11"/>
      <c r="L313" s="11"/>
      <c r="M313" s="11"/>
      <c r="N313" s="11"/>
      <c r="O313" s="35"/>
    </row>
    <row r="314" spans="1:15" ht="37.5" customHeight="1" x14ac:dyDescent="0.25">
      <c r="A314" s="38" t="str">
        <f t="shared" si="1"/>
        <v/>
      </c>
      <c r="B314" s="2"/>
      <c r="C314" s="2"/>
      <c r="D314" s="2"/>
      <c r="E314" s="2"/>
      <c r="F314" s="2"/>
      <c r="G314" s="39"/>
      <c r="H314" s="39"/>
      <c r="I314" s="11"/>
      <c r="J314" s="11"/>
      <c r="K314" s="11"/>
      <c r="L314" s="11"/>
      <c r="M314" s="11"/>
      <c r="N314" s="11"/>
      <c r="O314" s="35"/>
    </row>
    <row r="315" spans="1:15" ht="37.5" customHeight="1" x14ac:dyDescent="0.25">
      <c r="A315" s="38" t="str">
        <f t="shared" si="1"/>
        <v/>
      </c>
      <c r="B315" s="2"/>
      <c r="C315" s="2"/>
      <c r="D315" s="2"/>
      <c r="E315" s="2"/>
      <c r="F315" s="2"/>
      <c r="G315" s="39"/>
      <c r="H315" s="39"/>
      <c r="I315" s="11"/>
      <c r="J315" s="11"/>
      <c r="K315" s="11"/>
      <c r="L315" s="11"/>
      <c r="M315" s="11"/>
      <c r="N315" s="11"/>
      <c r="O315" s="35"/>
    </row>
    <row r="316" spans="1:15" ht="37.5" customHeight="1" x14ac:dyDescent="0.25">
      <c r="A316" s="38" t="str">
        <f t="shared" si="1"/>
        <v/>
      </c>
      <c r="B316" s="2"/>
      <c r="C316" s="2"/>
      <c r="D316" s="2"/>
      <c r="E316" s="2"/>
      <c r="F316" s="2"/>
      <c r="G316" s="39"/>
      <c r="H316" s="39"/>
      <c r="I316" s="11"/>
      <c r="J316" s="11"/>
      <c r="K316" s="11"/>
      <c r="L316" s="11"/>
      <c r="M316" s="11"/>
      <c r="N316" s="11"/>
      <c r="O316" s="35"/>
    </row>
    <row r="317" spans="1:15" ht="37.5" customHeight="1" x14ac:dyDescent="0.25">
      <c r="A317" s="38" t="str">
        <f t="shared" si="1"/>
        <v/>
      </c>
      <c r="B317" s="2"/>
      <c r="C317" s="2"/>
      <c r="D317" s="2"/>
      <c r="E317" s="2"/>
      <c r="F317" s="2"/>
      <c r="G317" s="39"/>
      <c r="H317" s="39"/>
      <c r="I317" s="11"/>
      <c r="J317" s="11"/>
      <c r="K317" s="11"/>
      <c r="L317" s="11"/>
      <c r="M317" s="11"/>
      <c r="N317" s="11"/>
      <c r="O317" s="35"/>
    </row>
    <row r="318" spans="1:15" ht="37.5" customHeight="1" x14ac:dyDescent="0.25">
      <c r="A318" s="38" t="str">
        <f t="shared" si="1"/>
        <v/>
      </c>
      <c r="B318" s="2"/>
      <c r="C318" s="2"/>
      <c r="D318" s="2"/>
      <c r="E318" s="2"/>
      <c r="F318" s="2"/>
      <c r="G318" s="39"/>
      <c r="H318" s="39"/>
      <c r="I318" s="11"/>
      <c r="J318" s="11"/>
      <c r="K318" s="11"/>
      <c r="L318" s="11"/>
      <c r="M318" s="11"/>
      <c r="N318" s="11"/>
      <c r="O318" s="35"/>
    </row>
    <row r="319" spans="1:15" ht="37.5" customHeight="1" x14ac:dyDescent="0.25">
      <c r="A319" s="38" t="str">
        <f t="shared" si="1"/>
        <v/>
      </c>
      <c r="B319" s="2"/>
      <c r="C319" s="2"/>
      <c r="D319" s="2"/>
      <c r="E319" s="2"/>
      <c r="F319" s="2"/>
      <c r="G319" s="39"/>
      <c r="H319" s="39"/>
      <c r="I319" s="11"/>
      <c r="J319" s="11"/>
      <c r="K319" s="11"/>
      <c r="L319" s="11"/>
      <c r="M319" s="11"/>
      <c r="N319" s="11"/>
      <c r="O319" s="35"/>
    </row>
    <row r="320" spans="1:15" ht="37.5" customHeight="1" x14ac:dyDescent="0.25">
      <c r="A320" s="38" t="str">
        <f t="shared" si="1"/>
        <v/>
      </c>
      <c r="B320" s="2"/>
      <c r="C320" s="2"/>
      <c r="D320" s="2"/>
      <c r="E320" s="2"/>
      <c r="F320" s="2"/>
      <c r="G320" s="39"/>
      <c r="H320" s="39"/>
      <c r="I320" s="11"/>
      <c r="J320" s="11"/>
      <c r="K320" s="11"/>
      <c r="L320" s="11"/>
      <c r="M320" s="11"/>
      <c r="N320" s="11"/>
      <c r="O320" s="35"/>
    </row>
    <row r="321" spans="1:15" ht="37.5" customHeight="1" x14ac:dyDescent="0.25">
      <c r="A321" s="38" t="str">
        <f t="shared" si="1"/>
        <v/>
      </c>
      <c r="B321" s="2"/>
      <c r="C321" s="2"/>
      <c r="D321" s="2"/>
      <c r="E321" s="2"/>
      <c r="F321" s="2"/>
      <c r="G321" s="39"/>
      <c r="H321" s="39"/>
      <c r="I321" s="11"/>
      <c r="J321" s="11"/>
      <c r="K321" s="11"/>
      <c r="L321" s="11"/>
      <c r="M321" s="11"/>
      <c r="N321" s="11"/>
      <c r="O321" s="35"/>
    </row>
    <row r="322" spans="1:15" ht="37.5" customHeight="1" x14ac:dyDescent="0.25">
      <c r="A322" s="38" t="str">
        <f t="shared" si="1"/>
        <v/>
      </c>
      <c r="B322" s="2"/>
      <c r="C322" s="2"/>
      <c r="D322" s="2"/>
      <c r="E322" s="2"/>
      <c r="F322" s="2"/>
      <c r="G322" s="39"/>
      <c r="H322" s="39"/>
      <c r="I322" s="11"/>
      <c r="J322" s="11"/>
      <c r="K322" s="11"/>
      <c r="L322" s="11"/>
      <c r="M322" s="11"/>
      <c r="N322" s="11"/>
      <c r="O322" s="35"/>
    </row>
    <row r="323" spans="1:15" ht="37.5" customHeight="1" x14ac:dyDescent="0.25">
      <c r="A323" s="38" t="str">
        <f t="shared" si="1"/>
        <v/>
      </c>
      <c r="B323" s="2"/>
      <c r="C323" s="2"/>
      <c r="D323" s="2"/>
      <c r="E323" s="2"/>
      <c r="F323" s="2"/>
      <c r="G323" s="39"/>
      <c r="H323" s="39"/>
      <c r="I323" s="11"/>
      <c r="J323" s="11"/>
      <c r="K323" s="11"/>
      <c r="L323" s="11"/>
      <c r="M323" s="11"/>
      <c r="N323" s="11"/>
      <c r="O323" s="35"/>
    </row>
    <row r="324" spans="1:15" ht="37.5" customHeight="1" x14ac:dyDescent="0.25">
      <c r="A324" s="38" t="str">
        <f t="shared" si="1"/>
        <v/>
      </c>
      <c r="B324" s="2"/>
      <c r="C324" s="2"/>
      <c r="D324" s="2"/>
      <c r="E324" s="2"/>
      <c r="F324" s="2"/>
      <c r="G324" s="39"/>
      <c r="H324" s="39"/>
      <c r="I324" s="11"/>
      <c r="J324" s="11"/>
      <c r="K324" s="11"/>
      <c r="L324" s="11"/>
      <c r="M324" s="11"/>
      <c r="N324" s="11"/>
      <c r="O324" s="35"/>
    </row>
    <row r="325" spans="1:15" ht="37.5" customHeight="1" x14ac:dyDescent="0.25">
      <c r="A325" s="38" t="str">
        <f t="shared" si="1"/>
        <v/>
      </c>
      <c r="B325" s="2"/>
      <c r="C325" s="2"/>
      <c r="D325" s="2"/>
      <c r="E325" s="2"/>
      <c r="F325" s="2"/>
      <c r="G325" s="39"/>
      <c r="H325" s="39"/>
      <c r="I325" s="11"/>
      <c r="J325" s="11"/>
      <c r="K325" s="11"/>
      <c r="L325" s="11"/>
      <c r="M325" s="11"/>
      <c r="N325" s="11"/>
      <c r="O325" s="35"/>
    </row>
    <row r="326" spans="1:15" ht="37.5" customHeight="1" x14ac:dyDescent="0.25">
      <c r="A326" s="38" t="str">
        <f t="shared" si="1"/>
        <v/>
      </c>
      <c r="B326" s="2"/>
      <c r="C326" s="2"/>
      <c r="D326" s="2"/>
      <c r="E326" s="2"/>
      <c r="F326" s="2"/>
      <c r="G326" s="39"/>
      <c r="H326" s="39"/>
      <c r="I326" s="11"/>
      <c r="J326" s="11"/>
      <c r="K326" s="11"/>
      <c r="L326" s="11"/>
      <c r="M326" s="11"/>
      <c r="N326" s="11"/>
      <c r="O326" s="35"/>
    </row>
    <row r="327" spans="1:15" ht="37.5" customHeight="1" x14ac:dyDescent="0.25">
      <c r="A327" s="38" t="str">
        <f t="shared" si="1"/>
        <v/>
      </c>
      <c r="B327" s="2"/>
      <c r="C327" s="2"/>
      <c r="D327" s="2"/>
      <c r="E327" s="2"/>
      <c r="F327" s="2"/>
      <c r="G327" s="39"/>
      <c r="H327" s="39"/>
      <c r="I327" s="11"/>
      <c r="J327" s="11"/>
      <c r="K327" s="11"/>
      <c r="L327" s="11"/>
      <c r="M327" s="11"/>
      <c r="N327" s="11"/>
      <c r="O327" s="35"/>
    </row>
    <row r="328" spans="1:15" ht="37.5" customHeight="1" x14ac:dyDescent="0.25">
      <c r="A328" s="38" t="str">
        <f t="shared" si="1"/>
        <v/>
      </c>
      <c r="B328" s="2"/>
      <c r="C328" s="2"/>
      <c r="D328" s="2"/>
      <c r="E328" s="2"/>
      <c r="F328" s="2"/>
      <c r="G328" s="39"/>
      <c r="H328" s="39"/>
      <c r="I328" s="11"/>
      <c r="J328" s="11"/>
      <c r="K328" s="11"/>
      <c r="L328" s="11"/>
      <c r="M328" s="11"/>
      <c r="N328" s="11"/>
      <c r="O328" s="35"/>
    </row>
    <row r="329" spans="1:15" ht="37.5" customHeight="1" x14ac:dyDescent="0.25">
      <c r="A329" s="38" t="str">
        <f t="shared" si="1"/>
        <v/>
      </c>
      <c r="B329" s="2"/>
      <c r="C329" s="2"/>
      <c r="D329" s="2"/>
      <c r="E329" s="2"/>
      <c r="F329" s="2"/>
      <c r="G329" s="39"/>
      <c r="H329" s="39"/>
      <c r="I329" s="11"/>
      <c r="J329" s="11"/>
      <c r="K329" s="11"/>
      <c r="L329" s="11"/>
      <c r="M329" s="11"/>
      <c r="N329" s="11"/>
      <c r="O329" s="35"/>
    </row>
    <row r="330" spans="1:15" ht="37.5" customHeight="1" x14ac:dyDescent="0.25">
      <c r="A330" s="38" t="str">
        <f t="shared" si="1"/>
        <v/>
      </c>
      <c r="B330" s="2"/>
      <c r="C330" s="2"/>
      <c r="D330" s="2"/>
      <c r="E330" s="2"/>
      <c r="F330" s="2"/>
      <c r="G330" s="39"/>
      <c r="H330" s="39"/>
      <c r="I330" s="11"/>
      <c r="J330" s="11"/>
      <c r="K330" s="11"/>
      <c r="L330" s="11"/>
      <c r="M330" s="11"/>
      <c r="N330" s="11"/>
      <c r="O330" s="35"/>
    </row>
    <row r="331" spans="1:15" ht="37.5" customHeight="1" x14ac:dyDescent="0.25">
      <c r="A331" s="38" t="str">
        <f t="shared" si="1"/>
        <v/>
      </c>
      <c r="B331" s="2"/>
      <c r="C331" s="2"/>
      <c r="D331" s="2"/>
      <c r="E331" s="2"/>
      <c r="F331" s="2"/>
      <c r="G331" s="39"/>
      <c r="H331" s="39"/>
      <c r="I331" s="11"/>
      <c r="J331" s="11"/>
      <c r="K331" s="11"/>
      <c r="L331" s="11"/>
      <c r="M331" s="11"/>
      <c r="N331" s="11"/>
      <c r="O331" s="35"/>
    </row>
    <row r="332" spans="1:15" ht="37.5" customHeight="1" x14ac:dyDescent="0.25">
      <c r="A332" s="38" t="str">
        <f t="shared" si="1"/>
        <v/>
      </c>
      <c r="B332" s="2"/>
      <c r="C332" s="2"/>
      <c r="D332" s="2"/>
      <c r="E332" s="2"/>
      <c r="F332" s="2"/>
      <c r="G332" s="39"/>
      <c r="H332" s="39"/>
      <c r="I332" s="11"/>
      <c r="J332" s="11"/>
      <c r="K332" s="11"/>
      <c r="L332" s="11"/>
      <c r="M332" s="11"/>
      <c r="N332" s="11"/>
      <c r="O332" s="35"/>
    </row>
    <row r="333" spans="1:15" ht="37.5" customHeight="1" x14ac:dyDescent="0.25">
      <c r="A333" s="38" t="str">
        <f t="shared" si="1"/>
        <v/>
      </c>
      <c r="B333" s="2"/>
      <c r="C333" s="2"/>
      <c r="D333" s="2"/>
      <c r="E333" s="2"/>
      <c r="F333" s="2"/>
      <c r="G333" s="39"/>
      <c r="H333" s="39"/>
      <c r="I333" s="11"/>
      <c r="J333" s="11"/>
      <c r="K333" s="11"/>
      <c r="L333" s="11"/>
      <c r="M333" s="11"/>
      <c r="N333" s="11"/>
      <c r="O333" s="35"/>
    </row>
    <row r="334" spans="1:15" ht="37.5" customHeight="1" x14ac:dyDescent="0.25">
      <c r="A334" s="38" t="str">
        <f t="shared" si="1"/>
        <v/>
      </c>
      <c r="B334" s="2"/>
      <c r="C334" s="2"/>
      <c r="D334" s="2"/>
      <c r="E334" s="2"/>
      <c r="F334" s="2"/>
      <c r="G334" s="39"/>
      <c r="H334" s="39"/>
      <c r="I334" s="11"/>
      <c r="J334" s="11"/>
      <c r="K334" s="11"/>
      <c r="L334" s="11"/>
      <c r="M334" s="11"/>
      <c r="N334" s="11"/>
      <c r="O334" s="35"/>
    </row>
    <row r="335" spans="1:15" ht="37.5" customHeight="1" x14ac:dyDescent="0.25">
      <c r="A335" s="38" t="str">
        <f t="shared" si="1"/>
        <v/>
      </c>
      <c r="B335" s="2"/>
      <c r="C335" s="2"/>
      <c r="D335" s="2"/>
      <c r="E335" s="2"/>
      <c r="F335" s="2"/>
      <c r="G335" s="39"/>
      <c r="H335" s="39"/>
      <c r="I335" s="11"/>
      <c r="J335" s="11"/>
      <c r="K335" s="11"/>
      <c r="L335" s="11"/>
      <c r="M335" s="11"/>
      <c r="N335" s="11"/>
      <c r="O335" s="35"/>
    </row>
    <row r="336" spans="1:15" ht="37.5" customHeight="1" x14ac:dyDescent="0.25">
      <c r="A336" s="38" t="str">
        <f t="shared" si="1"/>
        <v/>
      </c>
      <c r="B336" s="2"/>
      <c r="C336" s="2"/>
      <c r="D336" s="2"/>
      <c r="E336" s="2"/>
      <c r="F336" s="2"/>
      <c r="G336" s="39"/>
      <c r="H336" s="39"/>
      <c r="I336" s="11"/>
      <c r="J336" s="11"/>
      <c r="K336" s="11"/>
      <c r="L336" s="11"/>
      <c r="M336" s="11"/>
      <c r="N336" s="11"/>
      <c r="O336" s="35"/>
    </row>
    <row r="337" spans="1:15" ht="37.5" customHeight="1" x14ac:dyDescent="0.25">
      <c r="A337" s="38" t="str">
        <f t="shared" si="1"/>
        <v/>
      </c>
      <c r="B337" s="2"/>
      <c r="C337" s="2"/>
      <c r="D337" s="2"/>
      <c r="E337" s="2"/>
      <c r="F337" s="2"/>
      <c r="G337" s="39"/>
      <c r="H337" s="39"/>
      <c r="I337" s="11"/>
      <c r="J337" s="11"/>
      <c r="K337" s="11"/>
      <c r="L337" s="11"/>
      <c r="M337" s="11"/>
      <c r="N337" s="11"/>
      <c r="O337" s="35"/>
    </row>
    <row r="338" spans="1:15" ht="37.5" customHeight="1" x14ac:dyDescent="0.25">
      <c r="A338" s="38" t="str">
        <f t="shared" si="1"/>
        <v/>
      </c>
      <c r="B338" s="2"/>
      <c r="C338" s="2"/>
      <c r="D338" s="2"/>
      <c r="E338" s="2"/>
      <c r="F338" s="2"/>
      <c r="G338" s="39"/>
      <c r="H338" s="39"/>
      <c r="I338" s="11"/>
      <c r="J338" s="11"/>
      <c r="K338" s="11"/>
      <c r="L338" s="11"/>
      <c r="M338" s="11"/>
      <c r="N338" s="11"/>
      <c r="O338" s="35"/>
    </row>
    <row r="339" spans="1:15" ht="37.5" customHeight="1" x14ac:dyDescent="0.25">
      <c r="A339" s="38" t="str">
        <f t="shared" si="1"/>
        <v/>
      </c>
      <c r="B339" s="2"/>
      <c r="C339" s="2"/>
      <c r="D339" s="2"/>
      <c r="E339" s="2"/>
      <c r="F339" s="2"/>
      <c r="G339" s="39"/>
      <c r="H339" s="39"/>
      <c r="I339" s="11"/>
      <c r="J339" s="11"/>
      <c r="K339" s="11"/>
      <c r="L339" s="11"/>
      <c r="M339" s="11"/>
      <c r="N339" s="11"/>
      <c r="O339" s="35"/>
    </row>
    <row r="340" spans="1:15" ht="37.5" customHeight="1" x14ac:dyDescent="0.25">
      <c r="A340" s="38" t="str">
        <f t="shared" si="1"/>
        <v/>
      </c>
      <c r="B340" s="2"/>
      <c r="C340" s="2"/>
      <c r="D340" s="2"/>
      <c r="E340" s="2"/>
      <c r="F340" s="2"/>
      <c r="G340" s="39"/>
      <c r="H340" s="39"/>
      <c r="I340" s="11"/>
      <c r="J340" s="11"/>
      <c r="K340" s="11"/>
      <c r="L340" s="11"/>
      <c r="M340" s="11"/>
      <c r="N340" s="11"/>
      <c r="O340" s="35"/>
    </row>
    <row r="341" spans="1:15" ht="37.5" customHeight="1" x14ac:dyDescent="0.25">
      <c r="A341" s="38" t="str">
        <f t="shared" si="1"/>
        <v/>
      </c>
      <c r="B341" s="2"/>
      <c r="C341" s="2"/>
      <c r="D341" s="2"/>
      <c r="E341" s="2"/>
      <c r="F341" s="2"/>
      <c r="G341" s="39"/>
      <c r="H341" s="39"/>
      <c r="I341" s="11"/>
      <c r="J341" s="11"/>
      <c r="K341" s="11"/>
      <c r="L341" s="11"/>
      <c r="M341" s="11"/>
      <c r="N341" s="11"/>
      <c r="O341" s="35"/>
    </row>
    <row r="342" spans="1:15" ht="37.5" customHeight="1" x14ac:dyDescent="0.25">
      <c r="A342" s="38" t="str">
        <f t="shared" si="1"/>
        <v/>
      </c>
      <c r="B342" s="2"/>
      <c r="C342" s="2"/>
      <c r="D342" s="2"/>
      <c r="E342" s="2"/>
      <c r="F342" s="2"/>
      <c r="G342" s="39"/>
      <c r="H342" s="39"/>
      <c r="I342" s="11"/>
      <c r="J342" s="11"/>
      <c r="K342" s="11"/>
      <c r="L342" s="11"/>
      <c r="M342" s="11"/>
      <c r="N342" s="11"/>
      <c r="O342" s="35"/>
    </row>
    <row r="343" spans="1:15" ht="37.5" customHeight="1" x14ac:dyDescent="0.25">
      <c r="A343" s="38" t="str">
        <f t="shared" si="1"/>
        <v/>
      </c>
      <c r="B343" s="2"/>
      <c r="C343" s="2"/>
      <c r="D343" s="2"/>
      <c r="E343" s="2"/>
      <c r="F343" s="2"/>
      <c r="G343" s="39"/>
      <c r="H343" s="39"/>
      <c r="I343" s="11"/>
      <c r="J343" s="11"/>
      <c r="K343" s="11"/>
      <c r="L343" s="11"/>
      <c r="M343" s="11"/>
      <c r="N343" s="11"/>
      <c r="O343" s="35"/>
    </row>
    <row r="344" spans="1:15" ht="37.5" customHeight="1" x14ac:dyDescent="0.25">
      <c r="A344" s="38" t="str">
        <f t="shared" si="1"/>
        <v/>
      </c>
      <c r="B344" s="2"/>
      <c r="C344" s="2"/>
      <c r="D344" s="2"/>
      <c r="E344" s="2"/>
      <c r="F344" s="2"/>
      <c r="G344" s="39"/>
      <c r="H344" s="39"/>
      <c r="I344" s="11"/>
      <c r="J344" s="11"/>
      <c r="K344" s="11"/>
      <c r="L344" s="11"/>
      <c r="M344" s="11"/>
      <c r="N344" s="11"/>
      <c r="O344" s="35"/>
    </row>
    <row r="345" spans="1:15" ht="37.5" customHeight="1" x14ac:dyDescent="0.25">
      <c r="A345" s="38" t="str">
        <f t="shared" si="1"/>
        <v/>
      </c>
      <c r="B345" s="2"/>
      <c r="C345" s="2"/>
      <c r="D345" s="2"/>
      <c r="E345" s="2"/>
      <c r="F345" s="2"/>
      <c r="G345" s="39"/>
      <c r="H345" s="39"/>
      <c r="I345" s="11"/>
      <c r="J345" s="11"/>
      <c r="K345" s="11"/>
      <c r="L345" s="11"/>
      <c r="M345" s="11"/>
      <c r="N345" s="11"/>
      <c r="O345" s="35"/>
    </row>
    <row r="346" spans="1:15" ht="37.5" customHeight="1" x14ac:dyDescent="0.25">
      <c r="A346" s="38" t="str">
        <f t="shared" si="1"/>
        <v/>
      </c>
      <c r="B346" s="2"/>
      <c r="C346" s="2"/>
      <c r="D346" s="2"/>
      <c r="E346" s="2"/>
      <c r="F346" s="2"/>
      <c r="G346" s="39"/>
      <c r="H346" s="39"/>
      <c r="I346" s="11"/>
      <c r="J346" s="11"/>
      <c r="K346" s="11"/>
      <c r="L346" s="11"/>
      <c r="M346" s="11"/>
      <c r="N346" s="11"/>
      <c r="O346" s="35"/>
    </row>
    <row r="347" spans="1:15" ht="37.5" customHeight="1" x14ac:dyDescent="0.25">
      <c r="A347" s="38" t="str">
        <f t="shared" si="1"/>
        <v/>
      </c>
      <c r="B347" s="2"/>
      <c r="C347" s="2"/>
      <c r="D347" s="2"/>
      <c r="E347" s="2"/>
      <c r="F347" s="2"/>
      <c r="G347" s="39"/>
      <c r="H347" s="39"/>
      <c r="I347" s="11"/>
      <c r="J347" s="11"/>
      <c r="K347" s="11"/>
      <c r="L347" s="11"/>
      <c r="M347" s="11"/>
      <c r="N347" s="11"/>
      <c r="O347" s="35"/>
    </row>
    <row r="348" spans="1:15" ht="37.5" customHeight="1" x14ac:dyDescent="0.25">
      <c r="A348" s="38" t="str">
        <f t="shared" si="1"/>
        <v/>
      </c>
      <c r="B348" s="2"/>
      <c r="C348" s="2"/>
      <c r="D348" s="2"/>
      <c r="E348" s="2"/>
      <c r="F348" s="2"/>
      <c r="G348" s="39"/>
      <c r="H348" s="39"/>
      <c r="I348" s="11"/>
      <c r="J348" s="11"/>
      <c r="K348" s="11"/>
      <c r="L348" s="11"/>
      <c r="M348" s="11"/>
      <c r="N348" s="11"/>
      <c r="O348" s="35"/>
    </row>
    <row r="349" spans="1:15" ht="37.5" customHeight="1" x14ac:dyDescent="0.25">
      <c r="A349" s="38" t="str">
        <f t="shared" si="1"/>
        <v/>
      </c>
      <c r="B349" s="2"/>
      <c r="C349" s="2"/>
      <c r="D349" s="2"/>
      <c r="E349" s="2"/>
      <c r="F349" s="2"/>
      <c r="G349" s="39"/>
      <c r="H349" s="39"/>
      <c r="I349" s="11"/>
      <c r="J349" s="11"/>
      <c r="K349" s="11"/>
      <c r="L349" s="11"/>
      <c r="M349" s="11"/>
      <c r="N349" s="11"/>
      <c r="O349" s="35"/>
    </row>
    <row r="350" spans="1:15" ht="37.5" customHeight="1" x14ac:dyDescent="0.25">
      <c r="A350" s="38" t="str">
        <f t="shared" si="1"/>
        <v/>
      </c>
      <c r="B350" s="2"/>
      <c r="C350" s="2"/>
      <c r="D350" s="2"/>
      <c r="E350" s="2"/>
      <c r="F350" s="2"/>
      <c r="G350" s="39"/>
      <c r="H350" s="39"/>
      <c r="I350" s="11"/>
      <c r="J350" s="11"/>
      <c r="K350" s="11"/>
      <c r="L350" s="11"/>
      <c r="M350" s="11"/>
      <c r="N350" s="11"/>
      <c r="O350" s="35"/>
    </row>
    <row r="351" spans="1:15" ht="37.5" customHeight="1" x14ac:dyDescent="0.25">
      <c r="A351" s="38" t="str">
        <f t="shared" si="1"/>
        <v/>
      </c>
      <c r="B351" s="2"/>
      <c r="C351" s="2"/>
      <c r="D351" s="2"/>
      <c r="E351" s="2"/>
      <c r="F351" s="2"/>
      <c r="G351" s="39"/>
      <c r="H351" s="39"/>
      <c r="I351" s="11"/>
      <c r="J351" s="11"/>
      <c r="K351" s="11"/>
      <c r="L351" s="11"/>
      <c r="M351" s="11"/>
      <c r="N351" s="11"/>
      <c r="O351" s="35"/>
    </row>
    <row r="352" spans="1:15" ht="37.5" customHeight="1" x14ac:dyDescent="0.25">
      <c r="A352" s="38" t="str">
        <f t="shared" si="1"/>
        <v/>
      </c>
      <c r="B352" s="2"/>
      <c r="C352" s="2"/>
      <c r="D352" s="2"/>
      <c r="E352" s="2"/>
      <c r="F352" s="2"/>
      <c r="G352" s="39"/>
      <c r="H352" s="39"/>
      <c r="I352" s="11"/>
      <c r="J352" s="11"/>
      <c r="K352" s="11"/>
      <c r="L352" s="11"/>
      <c r="M352" s="11"/>
      <c r="N352" s="11"/>
      <c r="O352" s="35"/>
    </row>
    <row r="353" spans="1:15" ht="37.5" customHeight="1" x14ac:dyDescent="0.25">
      <c r="A353" s="38" t="str">
        <f t="shared" si="1"/>
        <v/>
      </c>
      <c r="B353" s="2"/>
      <c r="C353" s="2"/>
      <c r="D353" s="2"/>
      <c r="E353" s="2"/>
      <c r="F353" s="2"/>
      <c r="G353" s="39"/>
      <c r="H353" s="39"/>
      <c r="I353" s="11"/>
      <c r="J353" s="11"/>
      <c r="K353" s="11"/>
      <c r="L353" s="11"/>
      <c r="M353" s="11"/>
      <c r="N353" s="11"/>
      <c r="O353" s="35"/>
    </row>
    <row r="354" spans="1:15" ht="37.5" customHeight="1" x14ac:dyDescent="0.25">
      <c r="A354" s="38" t="str">
        <f t="shared" si="1"/>
        <v/>
      </c>
      <c r="B354" s="2"/>
      <c r="C354" s="2"/>
      <c r="D354" s="2"/>
      <c r="E354" s="2"/>
      <c r="F354" s="2"/>
      <c r="G354" s="39"/>
      <c r="H354" s="39"/>
      <c r="I354" s="11"/>
      <c r="J354" s="11"/>
      <c r="K354" s="11"/>
      <c r="L354" s="11"/>
      <c r="M354" s="11"/>
      <c r="N354" s="11"/>
      <c r="O354" s="35"/>
    </row>
    <row r="355" spans="1:15" ht="37.5" customHeight="1" x14ac:dyDescent="0.25">
      <c r="A355" s="38" t="str">
        <f t="shared" si="1"/>
        <v/>
      </c>
      <c r="B355" s="2"/>
      <c r="C355" s="2"/>
      <c r="D355" s="2"/>
      <c r="E355" s="2"/>
      <c r="F355" s="2"/>
      <c r="G355" s="39"/>
      <c r="H355" s="39"/>
      <c r="I355" s="11"/>
      <c r="J355" s="11"/>
      <c r="K355" s="11"/>
      <c r="L355" s="11"/>
      <c r="M355" s="11"/>
      <c r="N355" s="11"/>
      <c r="O355" s="35"/>
    </row>
    <row r="356" spans="1:15" ht="37.5" customHeight="1" x14ac:dyDescent="0.25">
      <c r="A356" s="38" t="str">
        <f t="shared" si="1"/>
        <v/>
      </c>
      <c r="B356" s="2"/>
      <c r="C356" s="2"/>
      <c r="D356" s="2"/>
      <c r="E356" s="2"/>
      <c r="F356" s="2"/>
      <c r="G356" s="39"/>
      <c r="H356" s="39"/>
      <c r="I356" s="11"/>
      <c r="J356" s="11"/>
      <c r="K356" s="11"/>
      <c r="L356" s="11"/>
      <c r="M356" s="11"/>
      <c r="N356" s="11"/>
      <c r="O356" s="35"/>
    </row>
    <row r="357" spans="1:15" ht="37.5" customHeight="1" x14ac:dyDescent="0.25">
      <c r="A357" s="38" t="str">
        <f t="shared" si="1"/>
        <v/>
      </c>
      <c r="B357" s="2"/>
      <c r="C357" s="2"/>
      <c r="D357" s="2"/>
      <c r="E357" s="2"/>
      <c r="F357" s="2"/>
      <c r="G357" s="39"/>
      <c r="H357" s="39"/>
      <c r="I357" s="11"/>
      <c r="J357" s="11"/>
      <c r="K357" s="11"/>
      <c r="L357" s="11"/>
      <c r="M357" s="11"/>
      <c r="N357" s="11"/>
      <c r="O357" s="35"/>
    </row>
    <row r="358" spans="1:15" ht="37.5" customHeight="1" x14ac:dyDescent="0.25">
      <c r="A358" s="38" t="str">
        <f t="shared" si="1"/>
        <v/>
      </c>
      <c r="B358" s="2"/>
      <c r="C358" s="2"/>
      <c r="D358" s="2"/>
      <c r="E358" s="2"/>
      <c r="F358" s="2"/>
      <c r="G358" s="39"/>
      <c r="H358" s="39"/>
      <c r="I358" s="11"/>
      <c r="J358" s="11"/>
      <c r="K358" s="11"/>
      <c r="L358" s="11"/>
      <c r="M358" s="11"/>
      <c r="N358" s="11"/>
      <c r="O358" s="35"/>
    </row>
    <row r="359" spans="1:15" ht="37.5" customHeight="1" x14ac:dyDescent="0.25">
      <c r="A359" s="38" t="str">
        <f t="shared" si="1"/>
        <v/>
      </c>
      <c r="B359" s="2"/>
      <c r="C359" s="2"/>
      <c r="D359" s="2"/>
      <c r="E359" s="2"/>
      <c r="F359" s="2"/>
      <c r="G359" s="39"/>
      <c r="H359" s="39"/>
      <c r="I359" s="11"/>
      <c r="J359" s="11"/>
      <c r="K359" s="11"/>
      <c r="L359" s="11"/>
      <c r="M359" s="11"/>
      <c r="N359" s="11"/>
      <c r="O359" s="35"/>
    </row>
    <row r="360" spans="1:15" ht="37.5" customHeight="1" x14ac:dyDescent="0.25">
      <c r="A360" s="38" t="str">
        <f t="shared" si="1"/>
        <v/>
      </c>
      <c r="B360" s="2"/>
      <c r="C360" s="2"/>
      <c r="D360" s="2"/>
      <c r="E360" s="2"/>
      <c r="F360" s="2"/>
      <c r="G360" s="39"/>
      <c r="H360" s="39"/>
      <c r="I360" s="11"/>
      <c r="J360" s="11"/>
      <c r="K360" s="11"/>
      <c r="L360" s="11"/>
      <c r="M360" s="11"/>
      <c r="N360" s="11"/>
      <c r="O360" s="35"/>
    </row>
    <row r="361" spans="1:15" ht="37.5" customHeight="1" x14ac:dyDescent="0.25">
      <c r="A361" s="38" t="str">
        <f t="shared" si="1"/>
        <v/>
      </c>
      <c r="B361" s="2"/>
      <c r="C361" s="2"/>
      <c r="D361" s="2"/>
      <c r="E361" s="2"/>
      <c r="F361" s="2"/>
      <c r="G361" s="39"/>
      <c r="H361" s="39"/>
      <c r="I361" s="11"/>
      <c r="J361" s="11"/>
      <c r="K361" s="11"/>
      <c r="L361" s="11"/>
      <c r="M361" s="11"/>
      <c r="N361" s="11"/>
      <c r="O361" s="35"/>
    </row>
    <row r="362" spans="1:15" ht="37.5" customHeight="1" x14ac:dyDescent="0.25">
      <c r="A362" s="38" t="str">
        <f t="shared" si="1"/>
        <v/>
      </c>
      <c r="B362" s="2"/>
      <c r="C362" s="2"/>
      <c r="D362" s="2"/>
      <c r="E362" s="2"/>
      <c r="F362" s="2"/>
      <c r="G362" s="39"/>
      <c r="H362" s="39"/>
      <c r="I362" s="11"/>
      <c r="J362" s="11"/>
      <c r="K362" s="11"/>
      <c r="L362" s="11"/>
      <c r="M362" s="11"/>
      <c r="N362" s="11"/>
      <c r="O362" s="35"/>
    </row>
    <row r="363" spans="1:15" ht="37.5" customHeight="1" x14ac:dyDescent="0.25">
      <c r="A363" s="38" t="str">
        <f t="shared" si="1"/>
        <v/>
      </c>
      <c r="B363" s="2"/>
      <c r="C363" s="2"/>
      <c r="D363" s="2"/>
      <c r="E363" s="2"/>
      <c r="F363" s="2"/>
      <c r="G363" s="39"/>
      <c r="H363" s="39"/>
      <c r="I363" s="11"/>
      <c r="J363" s="11"/>
      <c r="K363" s="11"/>
      <c r="L363" s="11"/>
      <c r="M363" s="11"/>
      <c r="N363" s="11"/>
      <c r="O363" s="35"/>
    </row>
    <row r="364" spans="1:15" ht="37.5" customHeight="1" x14ac:dyDescent="0.25">
      <c r="A364" s="38" t="str">
        <f t="shared" si="1"/>
        <v/>
      </c>
      <c r="B364" s="2"/>
      <c r="C364" s="2"/>
      <c r="D364" s="2"/>
      <c r="E364" s="2"/>
      <c r="F364" s="2"/>
      <c r="G364" s="39"/>
      <c r="H364" s="39"/>
      <c r="I364" s="11"/>
      <c r="J364" s="11"/>
      <c r="K364" s="11"/>
      <c r="L364" s="11"/>
      <c r="M364" s="11"/>
      <c r="N364" s="11"/>
      <c r="O364" s="35"/>
    </row>
    <row r="365" spans="1:15" ht="37.5" customHeight="1" x14ac:dyDescent="0.25">
      <c r="A365" s="38" t="str">
        <f t="shared" si="1"/>
        <v/>
      </c>
      <c r="B365" s="2"/>
      <c r="C365" s="2"/>
      <c r="D365" s="2"/>
      <c r="E365" s="2"/>
      <c r="F365" s="2"/>
      <c r="G365" s="39"/>
      <c r="H365" s="39"/>
      <c r="I365" s="11"/>
      <c r="J365" s="11"/>
      <c r="K365" s="11"/>
      <c r="L365" s="11"/>
      <c r="M365" s="11"/>
      <c r="N365" s="11"/>
      <c r="O365" s="35"/>
    </row>
    <row r="366" spans="1:15" ht="37.5" customHeight="1" x14ac:dyDescent="0.25">
      <c r="A366" s="38" t="str">
        <f t="shared" si="1"/>
        <v/>
      </c>
      <c r="B366" s="2"/>
      <c r="C366" s="2"/>
      <c r="D366" s="2"/>
      <c r="E366" s="2"/>
      <c r="F366" s="2"/>
      <c r="G366" s="39"/>
      <c r="H366" s="39"/>
      <c r="I366" s="11"/>
      <c r="J366" s="11"/>
      <c r="K366" s="11"/>
      <c r="L366" s="11"/>
      <c r="M366" s="11"/>
      <c r="N366" s="11"/>
      <c r="O366" s="35"/>
    </row>
    <row r="367" spans="1:15" ht="37.5" customHeight="1" x14ac:dyDescent="0.25">
      <c r="A367" s="38" t="str">
        <f t="shared" si="1"/>
        <v/>
      </c>
      <c r="B367" s="2"/>
      <c r="C367" s="2"/>
      <c r="D367" s="2"/>
      <c r="E367" s="2"/>
      <c r="F367" s="2"/>
      <c r="G367" s="39"/>
      <c r="H367" s="39"/>
      <c r="I367" s="11"/>
      <c r="J367" s="11"/>
      <c r="K367" s="11"/>
      <c r="L367" s="11"/>
      <c r="M367" s="11"/>
      <c r="N367" s="11"/>
      <c r="O367" s="35"/>
    </row>
    <row r="368" spans="1:15" ht="37.5" customHeight="1" x14ac:dyDescent="0.25">
      <c r="A368" s="38" t="str">
        <f t="shared" si="1"/>
        <v/>
      </c>
      <c r="B368" s="2"/>
      <c r="C368" s="2"/>
      <c r="D368" s="2"/>
      <c r="E368" s="2"/>
      <c r="F368" s="2"/>
      <c r="G368" s="39"/>
      <c r="H368" s="39"/>
      <c r="I368" s="11"/>
      <c r="J368" s="11"/>
      <c r="K368" s="11"/>
      <c r="L368" s="11"/>
      <c r="M368" s="11"/>
      <c r="N368" s="11"/>
      <c r="O368" s="35"/>
    </row>
    <row r="369" spans="1:15" ht="37.5" customHeight="1" x14ac:dyDescent="0.25">
      <c r="A369" s="38" t="str">
        <f t="shared" si="1"/>
        <v/>
      </c>
      <c r="B369" s="2"/>
      <c r="C369" s="2"/>
      <c r="D369" s="2"/>
      <c r="E369" s="2"/>
      <c r="F369" s="2"/>
      <c r="G369" s="39"/>
      <c r="H369" s="39"/>
      <c r="I369" s="11"/>
      <c r="J369" s="11"/>
      <c r="K369" s="11"/>
      <c r="L369" s="11"/>
      <c r="M369" s="11"/>
      <c r="N369" s="11"/>
      <c r="O369" s="35"/>
    </row>
    <row r="370" spans="1:15" ht="37.5" customHeight="1" x14ac:dyDescent="0.25">
      <c r="A370" s="38" t="str">
        <f t="shared" si="1"/>
        <v/>
      </c>
      <c r="B370" s="2"/>
      <c r="C370" s="2"/>
      <c r="D370" s="2"/>
      <c r="E370" s="2"/>
      <c r="F370" s="2"/>
      <c r="G370" s="39"/>
      <c r="H370" s="39"/>
      <c r="I370" s="11"/>
      <c r="J370" s="11"/>
      <c r="K370" s="11"/>
      <c r="L370" s="11"/>
      <c r="M370" s="11"/>
      <c r="N370" s="11"/>
      <c r="O370" s="35"/>
    </row>
    <row r="371" spans="1:15" ht="37.5" customHeight="1" x14ac:dyDescent="0.25">
      <c r="A371" s="38" t="str">
        <f t="shared" si="1"/>
        <v/>
      </c>
      <c r="B371" s="2"/>
      <c r="C371" s="2"/>
      <c r="D371" s="2"/>
      <c r="E371" s="2"/>
      <c r="F371" s="2"/>
      <c r="G371" s="39"/>
      <c r="H371" s="39"/>
      <c r="I371" s="11"/>
      <c r="J371" s="11"/>
      <c r="K371" s="11"/>
      <c r="L371" s="11"/>
      <c r="M371" s="11"/>
      <c r="N371" s="11"/>
      <c r="O371" s="35"/>
    </row>
    <row r="372" spans="1:15" ht="37.5" customHeight="1" x14ac:dyDescent="0.25">
      <c r="A372" s="38" t="str">
        <f t="shared" si="1"/>
        <v/>
      </c>
      <c r="B372" s="2"/>
      <c r="C372" s="2"/>
      <c r="D372" s="2"/>
      <c r="E372" s="2"/>
      <c r="F372" s="2"/>
      <c r="G372" s="39"/>
      <c r="H372" s="39"/>
      <c r="I372" s="11"/>
      <c r="J372" s="11"/>
      <c r="K372" s="11"/>
      <c r="L372" s="11"/>
      <c r="M372" s="11"/>
      <c r="N372" s="11"/>
      <c r="O372" s="35"/>
    </row>
    <row r="373" spans="1:15" ht="37.5" customHeight="1" x14ac:dyDescent="0.25">
      <c r="A373" s="38" t="str">
        <f t="shared" si="1"/>
        <v/>
      </c>
      <c r="B373" s="2"/>
      <c r="C373" s="2"/>
      <c r="D373" s="2"/>
      <c r="E373" s="2"/>
      <c r="F373" s="2"/>
      <c r="G373" s="39"/>
      <c r="H373" s="39"/>
      <c r="I373" s="11"/>
      <c r="J373" s="11"/>
      <c r="K373" s="11"/>
      <c r="L373" s="11"/>
      <c r="M373" s="11"/>
      <c r="N373" s="11"/>
      <c r="O373" s="35"/>
    </row>
    <row r="374" spans="1:15" ht="37.5" customHeight="1" x14ac:dyDescent="0.25">
      <c r="A374" s="38" t="str">
        <f t="shared" si="1"/>
        <v/>
      </c>
      <c r="B374" s="2"/>
      <c r="C374" s="2"/>
      <c r="D374" s="2"/>
      <c r="E374" s="2"/>
      <c r="F374" s="2"/>
      <c r="G374" s="39"/>
      <c r="H374" s="39"/>
      <c r="I374" s="11"/>
      <c r="J374" s="11"/>
      <c r="K374" s="11"/>
      <c r="L374" s="11"/>
      <c r="M374" s="11"/>
      <c r="N374" s="11"/>
      <c r="O374" s="35"/>
    </row>
    <row r="375" spans="1:15" ht="37.5" customHeight="1" x14ac:dyDescent="0.25">
      <c r="A375" s="38" t="str">
        <f t="shared" si="1"/>
        <v/>
      </c>
      <c r="B375" s="2"/>
      <c r="C375" s="2"/>
      <c r="D375" s="2"/>
      <c r="E375" s="2"/>
      <c r="F375" s="2"/>
      <c r="G375" s="39"/>
      <c r="H375" s="39"/>
      <c r="I375" s="11"/>
      <c r="J375" s="11"/>
      <c r="K375" s="11"/>
      <c r="L375" s="11"/>
      <c r="M375" s="11"/>
      <c r="N375" s="11"/>
      <c r="O375" s="35"/>
    </row>
    <row r="376" spans="1:15" ht="37.5" customHeight="1" x14ac:dyDescent="0.25">
      <c r="A376" s="38" t="str">
        <f t="shared" si="1"/>
        <v/>
      </c>
      <c r="B376" s="2"/>
      <c r="C376" s="2"/>
      <c r="D376" s="2"/>
      <c r="E376" s="2"/>
      <c r="F376" s="2"/>
      <c r="G376" s="39"/>
      <c r="H376" s="39"/>
      <c r="I376" s="11"/>
      <c r="J376" s="11"/>
      <c r="K376" s="11"/>
      <c r="L376" s="11"/>
      <c r="M376" s="11"/>
      <c r="N376" s="11"/>
      <c r="O376" s="35"/>
    </row>
    <row r="377" spans="1:15" ht="37.5" customHeight="1" x14ac:dyDescent="0.25">
      <c r="A377" s="38" t="str">
        <f t="shared" si="1"/>
        <v/>
      </c>
      <c r="B377" s="2"/>
      <c r="C377" s="2"/>
      <c r="D377" s="2"/>
      <c r="E377" s="2"/>
      <c r="F377" s="2"/>
      <c r="G377" s="39"/>
      <c r="H377" s="39"/>
      <c r="I377" s="11"/>
      <c r="J377" s="11"/>
      <c r="K377" s="11"/>
      <c r="L377" s="11"/>
      <c r="M377" s="11"/>
      <c r="N377" s="11"/>
      <c r="O377" s="35"/>
    </row>
    <row r="378" spans="1:15" ht="37.5" customHeight="1" x14ac:dyDescent="0.25">
      <c r="A378" s="38" t="str">
        <f t="shared" si="1"/>
        <v/>
      </c>
      <c r="B378" s="2"/>
      <c r="C378" s="2"/>
      <c r="D378" s="2"/>
      <c r="E378" s="2"/>
      <c r="F378" s="2"/>
      <c r="G378" s="39"/>
      <c r="H378" s="39"/>
      <c r="I378" s="11"/>
      <c r="J378" s="11"/>
      <c r="K378" s="11"/>
      <c r="L378" s="11"/>
      <c r="M378" s="11"/>
      <c r="N378" s="11"/>
      <c r="O378" s="35"/>
    </row>
    <row r="379" spans="1:15" ht="37.5" customHeight="1" x14ac:dyDescent="0.25">
      <c r="A379" s="38" t="str">
        <f t="shared" si="1"/>
        <v/>
      </c>
      <c r="B379" s="2"/>
      <c r="C379" s="2"/>
      <c r="D379" s="2"/>
      <c r="E379" s="2"/>
      <c r="F379" s="2"/>
      <c r="G379" s="39"/>
      <c r="H379" s="39"/>
      <c r="I379" s="11"/>
      <c r="J379" s="11"/>
      <c r="K379" s="11"/>
      <c r="L379" s="11"/>
      <c r="M379" s="11"/>
      <c r="N379" s="11"/>
      <c r="O379" s="35"/>
    </row>
    <row r="380" spans="1:15" ht="37.5" customHeight="1" x14ac:dyDescent="0.25">
      <c r="A380" s="38" t="str">
        <f t="shared" si="1"/>
        <v/>
      </c>
      <c r="B380" s="2"/>
      <c r="C380" s="2"/>
      <c r="D380" s="2"/>
      <c r="E380" s="2"/>
      <c r="F380" s="2"/>
      <c r="G380" s="39"/>
      <c r="H380" s="39"/>
      <c r="I380" s="11"/>
      <c r="J380" s="11"/>
      <c r="K380" s="11"/>
      <c r="L380" s="11"/>
      <c r="M380" s="11"/>
      <c r="N380" s="11"/>
      <c r="O380" s="35"/>
    </row>
    <row r="381" spans="1:15" ht="37.5" customHeight="1" x14ac:dyDescent="0.25">
      <c r="A381" s="38" t="str">
        <f t="shared" si="1"/>
        <v/>
      </c>
      <c r="B381" s="2"/>
      <c r="C381" s="2"/>
      <c r="D381" s="2"/>
      <c r="E381" s="2"/>
      <c r="F381" s="2"/>
      <c r="G381" s="39"/>
      <c r="H381" s="39"/>
      <c r="I381" s="11"/>
      <c r="J381" s="11"/>
      <c r="K381" s="11"/>
      <c r="L381" s="11"/>
      <c r="M381" s="11"/>
      <c r="N381" s="11"/>
      <c r="O381" s="35"/>
    </row>
    <row r="382" spans="1:15" ht="37.5" customHeight="1" x14ac:dyDescent="0.25">
      <c r="A382" s="38" t="str">
        <f t="shared" si="1"/>
        <v/>
      </c>
      <c r="B382" s="2"/>
      <c r="C382" s="2"/>
      <c r="D382" s="2"/>
      <c r="E382" s="2"/>
      <c r="F382" s="2"/>
      <c r="G382" s="39"/>
      <c r="H382" s="39"/>
      <c r="I382" s="11"/>
      <c r="J382" s="11"/>
      <c r="K382" s="11"/>
      <c r="L382" s="11"/>
      <c r="M382" s="11"/>
      <c r="N382" s="11"/>
      <c r="O382" s="35"/>
    </row>
    <row r="383" spans="1:15" ht="37.5" customHeight="1" x14ac:dyDescent="0.25">
      <c r="A383" s="38" t="str">
        <f t="shared" si="1"/>
        <v/>
      </c>
      <c r="B383" s="2"/>
      <c r="C383" s="2"/>
      <c r="D383" s="2"/>
      <c r="E383" s="2"/>
      <c r="F383" s="2"/>
      <c r="G383" s="39"/>
      <c r="H383" s="39"/>
      <c r="I383" s="11"/>
      <c r="J383" s="11"/>
      <c r="K383" s="11"/>
      <c r="L383" s="11"/>
      <c r="M383" s="11"/>
      <c r="N383" s="11"/>
      <c r="O383" s="35"/>
    </row>
    <row r="384" spans="1:15" ht="37.5" customHeight="1" x14ac:dyDescent="0.25">
      <c r="A384" s="38" t="str">
        <f t="shared" si="1"/>
        <v/>
      </c>
      <c r="B384" s="2"/>
      <c r="C384" s="2"/>
      <c r="D384" s="2"/>
      <c r="E384" s="2"/>
      <c r="F384" s="2"/>
      <c r="G384" s="39"/>
      <c r="H384" s="39"/>
      <c r="I384" s="11"/>
      <c r="J384" s="11"/>
      <c r="K384" s="11"/>
      <c r="L384" s="11"/>
      <c r="M384" s="11"/>
      <c r="N384" s="11"/>
      <c r="O384" s="35"/>
    </row>
    <row r="385" spans="1:15" ht="37.5" customHeight="1" x14ac:dyDescent="0.25">
      <c r="A385" s="38" t="str">
        <f t="shared" si="1"/>
        <v/>
      </c>
      <c r="B385" s="2"/>
      <c r="C385" s="2"/>
      <c r="D385" s="2"/>
      <c r="E385" s="2"/>
      <c r="F385" s="2"/>
      <c r="G385" s="39"/>
      <c r="H385" s="39"/>
      <c r="I385" s="11"/>
      <c r="J385" s="11"/>
      <c r="K385" s="11"/>
      <c r="L385" s="11"/>
      <c r="M385" s="11"/>
      <c r="N385" s="11"/>
      <c r="O385" s="35"/>
    </row>
    <row r="386" spans="1:15" ht="37.5" customHeight="1" x14ac:dyDescent="0.25">
      <c r="A386" s="38" t="str">
        <f t="shared" si="1"/>
        <v/>
      </c>
      <c r="B386" s="2"/>
      <c r="C386" s="2"/>
      <c r="D386" s="2"/>
      <c r="E386" s="2"/>
      <c r="F386" s="2"/>
      <c r="G386" s="39"/>
      <c r="H386" s="39"/>
      <c r="I386" s="11"/>
      <c r="J386" s="11"/>
      <c r="K386" s="11"/>
      <c r="L386" s="11"/>
      <c r="M386" s="11"/>
      <c r="N386" s="11"/>
      <c r="O386" s="35"/>
    </row>
    <row r="387" spans="1:15" ht="37.5" customHeight="1" x14ac:dyDescent="0.25">
      <c r="A387" s="38" t="str">
        <f t="shared" si="1"/>
        <v/>
      </c>
      <c r="B387" s="2"/>
      <c r="C387" s="2"/>
      <c r="D387" s="2"/>
      <c r="E387" s="2"/>
      <c r="F387" s="2"/>
      <c r="G387" s="39"/>
      <c r="H387" s="39"/>
      <c r="I387" s="11"/>
      <c r="J387" s="11"/>
      <c r="K387" s="11"/>
      <c r="L387" s="11"/>
      <c r="M387" s="11"/>
      <c r="N387" s="11"/>
      <c r="O387" s="35"/>
    </row>
    <row r="388" spans="1:15" ht="37.5" customHeight="1" x14ac:dyDescent="0.25">
      <c r="A388" s="38" t="str">
        <f t="shared" si="1"/>
        <v/>
      </c>
      <c r="B388" s="2"/>
      <c r="C388" s="2"/>
      <c r="D388" s="2"/>
      <c r="E388" s="2"/>
      <c r="F388" s="2"/>
      <c r="G388" s="39"/>
      <c r="H388" s="39"/>
      <c r="I388" s="11"/>
      <c r="J388" s="11"/>
      <c r="K388" s="11"/>
      <c r="L388" s="11"/>
      <c r="M388" s="11"/>
      <c r="N388" s="11"/>
      <c r="O388" s="35"/>
    </row>
    <row r="389" spans="1:15" ht="37.5" customHeight="1" x14ac:dyDescent="0.25">
      <c r="A389" s="38" t="str">
        <f t="shared" si="1"/>
        <v/>
      </c>
      <c r="B389" s="2"/>
      <c r="C389" s="2"/>
      <c r="D389" s="2"/>
      <c r="E389" s="2"/>
      <c r="F389" s="2"/>
      <c r="G389" s="39"/>
      <c r="H389" s="39"/>
      <c r="I389" s="11"/>
      <c r="J389" s="11"/>
      <c r="K389" s="11"/>
      <c r="L389" s="11"/>
      <c r="M389" s="11"/>
      <c r="N389" s="11"/>
      <c r="O389" s="35"/>
    </row>
    <row r="390" spans="1:15" ht="37.5" customHeight="1" x14ac:dyDescent="0.25">
      <c r="A390" s="38" t="str">
        <f t="shared" si="1"/>
        <v/>
      </c>
      <c r="B390" s="2"/>
      <c r="C390" s="2"/>
      <c r="D390" s="2"/>
      <c r="E390" s="2"/>
      <c r="F390" s="2"/>
      <c r="G390" s="39"/>
      <c r="H390" s="39"/>
      <c r="I390" s="11"/>
      <c r="J390" s="11"/>
      <c r="K390" s="11"/>
      <c r="L390" s="11"/>
      <c r="M390" s="11"/>
      <c r="N390" s="11"/>
      <c r="O390" s="35"/>
    </row>
    <row r="391" spans="1:15" ht="37.5" customHeight="1" x14ac:dyDescent="0.25">
      <c r="A391" s="38" t="str">
        <f t="shared" si="1"/>
        <v/>
      </c>
      <c r="B391" s="2"/>
      <c r="C391" s="2"/>
      <c r="D391" s="2"/>
      <c r="E391" s="2"/>
      <c r="F391" s="2"/>
      <c r="G391" s="39"/>
      <c r="H391" s="39"/>
      <c r="I391" s="11"/>
      <c r="J391" s="11"/>
      <c r="K391" s="11"/>
      <c r="L391" s="11"/>
      <c r="M391" s="11"/>
      <c r="N391" s="11"/>
      <c r="O391" s="35"/>
    </row>
    <row r="392" spans="1:15" ht="37.5" customHeight="1" x14ac:dyDescent="0.25">
      <c r="A392" s="38" t="str">
        <f t="shared" si="1"/>
        <v/>
      </c>
      <c r="B392" s="2"/>
      <c r="C392" s="2"/>
      <c r="D392" s="2"/>
      <c r="E392" s="2"/>
      <c r="F392" s="2"/>
      <c r="G392" s="39"/>
      <c r="H392" s="39"/>
      <c r="I392" s="11"/>
      <c r="J392" s="11"/>
      <c r="K392" s="11"/>
      <c r="L392" s="11"/>
      <c r="M392" s="11"/>
      <c r="N392" s="11"/>
      <c r="O392" s="35"/>
    </row>
    <row r="393" spans="1:15" ht="37.5" customHeight="1" x14ac:dyDescent="0.25">
      <c r="A393" s="38" t="str">
        <f t="shared" si="1"/>
        <v/>
      </c>
      <c r="B393" s="2"/>
      <c r="C393" s="2"/>
      <c r="D393" s="2"/>
      <c r="E393" s="2"/>
      <c r="F393" s="2"/>
      <c r="G393" s="39"/>
      <c r="H393" s="39"/>
      <c r="I393" s="11"/>
      <c r="J393" s="11"/>
      <c r="K393" s="11"/>
      <c r="L393" s="11"/>
      <c r="M393" s="11"/>
      <c r="N393" s="11"/>
      <c r="O393" s="35"/>
    </row>
    <row r="394" spans="1:15" ht="37.5" customHeight="1" x14ac:dyDescent="0.25">
      <c r="A394" s="38" t="str">
        <f t="shared" si="1"/>
        <v/>
      </c>
      <c r="B394" s="2"/>
      <c r="C394" s="2"/>
      <c r="D394" s="2"/>
      <c r="E394" s="2"/>
      <c r="F394" s="2"/>
      <c r="G394" s="39"/>
      <c r="H394" s="39"/>
      <c r="I394" s="11"/>
      <c r="J394" s="11"/>
      <c r="K394" s="11"/>
      <c r="L394" s="11"/>
      <c r="M394" s="11"/>
      <c r="N394" s="11"/>
      <c r="O394" s="35"/>
    </row>
    <row r="395" spans="1:15" ht="37.5" customHeight="1" x14ac:dyDescent="0.25">
      <c r="A395" s="38" t="str">
        <f t="shared" si="1"/>
        <v/>
      </c>
      <c r="B395" s="2"/>
      <c r="C395" s="2"/>
      <c r="D395" s="2"/>
      <c r="E395" s="2"/>
      <c r="F395" s="2"/>
      <c r="G395" s="39"/>
      <c r="H395" s="39"/>
      <c r="I395" s="11"/>
      <c r="J395" s="11"/>
      <c r="K395" s="11"/>
      <c r="L395" s="11"/>
      <c r="M395" s="11"/>
      <c r="N395" s="11"/>
      <c r="O395" s="35"/>
    </row>
    <row r="396" spans="1:15" ht="37.5" customHeight="1" x14ac:dyDescent="0.25">
      <c r="A396" s="38" t="str">
        <f t="shared" si="1"/>
        <v/>
      </c>
      <c r="B396" s="2"/>
      <c r="C396" s="2"/>
      <c r="D396" s="2"/>
      <c r="E396" s="2"/>
      <c r="F396" s="2"/>
      <c r="G396" s="39"/>
      <c r="H396" s="39"/>
      <c r="I396" s="11"/>
      <c r="J396" s="11"/>
      <c r="K396" s="11"/>
      <c r="L396" s="11"/>
      <c r="M396" s="11"/>
      <c r="N396" s="11"/>
      <c r="O396" s="35"/>
    </row>
    <row r="397" spans="1:15" ht="37.5" customHeight="1" x14ac:dyDescent="0.25">
      <c r="A397" s="38" t="str">
        <f t="shared" si="1"/>
        <v/>
      </c>
      <c r="B397" s="2"/>
      <c r="C397" s="2"/>
      <c r="D397" s="2"/>
      <c r="E397" s="2"/>
      <c r="F397" s="2"/>
      <c r="G397" s="39"/>
      <c r="H397" s="39"/>
      <c r="I397" s="11"/>
      <c r="J397" s="11"/>
      <c r="K397" s="11"/>
      <c r="L397" s="11"/>
      <c r="M397" s="11"/>
      <c r="N397" s="11"/>
      <c r="O397" s="35"/>
    </row>
    <row r="398" spans="1:15" ht="37.5" customHeight="1" x14ac:dyDescent="0.25">
      <c r="A398" s="38" t="str">
        <f t="shared" si="1"/>
        <v/>
      </c>
      <c r="B398" s="2"/>
      <c r="C398" s="2"/>
      <c r="D398" s="2"/>
      <c r="E398" s="2"/>
      <c r="F398" s="2"/>
      <c r="G398" s="39"/>
      <c r="H398" s="39"/>
      <c r="I398" s="11"/>
      <c r="J398" s="11"/>
      <c r="K398" s="11"/>
      <c r="L398" s="11"/>
      <c r="M398" s="11"/>
      <c r="N398" s="11"/>
      <c r="O398" s="35"/>
    </row>
    <row r="399" spans="1:15" ht="37.5" customHeight="1" x14ac:dyDescent="0.25">
      <c r="A399" s="38" t="str">
        <f t="shared" si="1"/>
        <v/>
      </c>
      <c r="B399" s="2"/>
      <c r="C399" s="2"/>
      <c r="D399" s="2"/>
      <c r="E399" s="2"/>
      <c r="F399" s="2"/>
      <c r="G399" s="39"/>
      <c r="H399" s="39"/>
      <c r="I399" s="11"/>
      <c r="J399" s="11"/>
      <c r="K399" s="11"/>
      <c r="L399" s="11"/>
      <c r="M399" s="11"/>
      <c r="N399" s="11"/>
      <c r="O399" s="35"/>
    </row>
    <row r="400" spans="1:15" ht="37.5" customHeight="1" x14ac:dyDescent="0.25">
      <c r="A400" s="38" t="str">
        <f t="shared" si="1"/>
        <v/>
      </c>
      <c r="B400" s="2"/>
      <c r="C400" s="2"/>
      <c r="D400" s="2"/>
      <c r="E400" s="2"/>
      <c r="F400" s="2"/>
      <c r="G400" s="39"/>
      <c r="H400" s="39"/>
      <c r="I400" s="11"/>
      <c r="J400" s="11"/>
      <c r="K400" s="11"/>
      <c r="L400" s="11"/>
      <c r="M400" s="11"/>
      <c r="N400" s="11"/>
      <c r="O400" s="35"/>
    </row>
    <row r="401" spans="1:15" ht="37.5" customHeight="1" x14ac:dyDescent="0.25">
      <c r="A401" s="38" t="str">
        <f t="shared" si="1"/>
        <v/>
      </c>
      <c r="B401" s="2"/>
      <c r="C401" s="2"/>
      <c r="D401" s="2"/>
      <c r="E401" s="2"/>
      <c r="F401" s="2"/>
      <c r="G401" s="39"/>
      <c r="H401" s="39"/>
      <c r="I401" s="11"/>
      <c r="J401" s="11"/>
      <c r="K401" s="11"/>
      <c r="L401" s="11"/>
      <c r="M401" s="11"/>
      <c r="N401" s="11"/>
      <c r="O401" s="35"/>
    </row>
    <row r="402" spans="1:15" ht="37.5" customHeight="1" x14ac:dyDescent="0.25">
      <c r="A402" s="38" t="str">
        <f t="shared" si="1"/>
        <v/>
      </c>
      <c r="B402" s="2"/>
      <c r="C402" s="2"/>
      <c r="D402" s="2"/>
      <c r="E402" s="2"/>
      <c r="F402" s="2"/>
      <c r="G402" s="39"/>
      <c r="H402" s="39"/>
      <c r="I402" s="11"/>
      <c r="J402" s="11"/>
      <c r="K402" s="11"/>
      <c r="L402" s="11"/>
      <c r="M402" s="11"/>
      <c r="N402" s="11"/>
      <c r="O402" s="35"/>
    </row>
    <row r="403" spans="1:15" ht="37.5" customHeight="1" x14ac:dyDescent="0.25">
      <c r="A403" s="38" t="str">
        <f t="shared" si="1"/>
        <v/>
      </c>
      <c r="B403" s="2"/>
      <c r="C403" s="2"/>
      <c r="D403" s="2"/>
      <c r="E403" s="2"/>
      <c r="F403" s="2"/>
      <c r="G403" s="39"/>
      <c r="H403" s="39"/>
      <c r="I403" s="11"/>
      <c r="J403" s="11"/>
      <c r="K403" s="11"/>
      <c r="L403" s="11"/>
      <c r="M403" s="11"/>
      <c r="N403" s="11"/>
      <c r="O403" s="35"/>
    </row>
    <row r="404" spans="1:15" ht="37.5" customHeight="1" x14ac:dyDescent="0.25">
      <c r="A404" s="38" t="str">
        <f t="shared" si="1"/>
        <v/>
      </c>
      <c r="B404" s="2"/>
      <c r="C404" s="2"/>
      <c r="D404" s="2"/>
      <c r="E404" s="2"/>
      <c r="F404" s="2"/>
      <c r="G404" s="39"/>
      <c r="H404" s="39"/>
      <c r="I404" s="11"/>
      <c r="J404" s="11"/>
      <c r="K404" s="11"/>
      <c r="L404" s="11"/>
      <c r="M404" s="11"/>
      <c r="N404" s="11"/>
      <c r="O404" s="35"/>
    </row>
    <row r="405" spans="1:15" ht="37.5" customHeight="1" x14ac:dyDescent="0.25">
      <c r="A405" s="38" t="str">
        <f t="shared" si="1"/>
        <v/>
      </c>
      <c r="B405" s="2"/>
      <c r="C405" s="2"/>
      <c r="D405" s="2"/>
      <c r="E405" s="2"/>
      <c r="F405" s="2"/>
      <c r="G405" s="39"/>
      <c r="H405" s="39"/>
      <c r="I405" s="11"/>
      <c r="J405" s="11"/>
      <c r="K405" s="11"/>
      <c r="L405" s="11"/>
      <c r="M405" s="11"/>
      <c r="N405" s="11"/>
      <c r="O405" s="35"/>
    </row>
    <row r="406" spans="1:15" ht="37.5" customHeight="1" x14ac:dyDescent="0.25">
      <c r="A406" s="38" t="str">
        <f t="shared" si="1"/>
        <v/>
      </c>
      <c r="B406" s="2"/>
      <c r="C406" s="2"/>
      <c r="D406" s="2"/>
      <c r="E406" s="2"/>
      <c r="F406" s="2"/>
      <c r="G406" s="39"/>
      <c r="H406" s="39"/>
      <c r="I406" s="11"/>
      <c r="J406" s="11"/>
      <c r="K406" s="11"/>
      <c r="L406" s="11"/>
      <c r="M406" s="11"/>
      <c r="N406" s="11"/>
      <c r="O406" s="35"/>
    </row>
    <row r="407" spans="1:15" ht="37.5" customHeight="1" x14ac:dyDescent="0.25">
      <c r="A407" s="38" t="str">
        <f t="shared" si="1"/>
        <v/>
      </c>
      <c r="B407" s="2"/>
      <c r="C407" s="2"/>
      <c r="D407" s="2"/>
      <c r="E407" s="2"/>
      <c r="F407" s="2"/>
      <c r="G407" s="39"/>
      <c r="H407" s="39"/>
      <c r="I407" s="11"/>
      <c r="J407" s="11"/>
      <c r="K407" s="11"/>
      <c r="L407" s="11"/>
      <c r="M407" s="11"/>
      <c r="N407" s="11"/>
      <c r="O407" s="35"/>
    </row>
    <row r="408" spans="1:15" ht="37.5" customHeight="1" x14ac:dyDescent="0.25">
      <c r="A408" s="38" t="str">
        <f t="shared" si="1"/>
        <v/>
      </c>
      <c r="B408" s="2"/>
      <c r="C408" s="2"/>
      <c r="D408" s="2"/>
      <c r="E408" s="2"/>
      <c r="F408" s="2"/>
      <c r="G408" s="39"/>
      <c r="H408" s="39"/>
      <c r="I408" s="11"/>
      <c r="J408" s="11"/>
      <c r="K408" s="11"/>
      <c r="L408" s="11"/>
      <c r="M408" s="11"/>
      <c r="N408" s="11"/>
      <c r="O408" s="35"/>
    </row>
    <row r="409" spans="1:15" ht="37.5" customHeight="1" x14ac:dyDescent="0.25">
      <c r="A409" s="38" t="str">
        <f t="shared" si="1"/>
        <v/>
      </c>
      <c r="B409" s="2"/>
      <c r="C409" s="2"/>
      <c r="D409" s="2"/>
      <c r="E409" s="2"/>
      <c r="F409" s="2"/>
      <c r="G409" s="39"/>
      <c r="H409" s="39"/>
      <c r="I409" s="11"/>
      <c r="J409" s="11"/>
      <c r="K409" s="11"/>
      <c r="L409" s="11"/>
      <c r="M409" s="11"/>
      <c r="N409" s="11"/>
      <c r="O409" s="35"/>
    </row>
    <row r="410" spans="1:15" ht="37.5" customHeight="1" x14ac:dyDescent="0.25">
      <c r="A410" s="38" t="str">
        <f t="shared" si="1"/>
        <v/>
      </c>
      <c r="B410" s="2"/>
      <c r="C410" s="2"/>
      <c r="D410" s="2"/>
      <c r="E410" s="2"/>
      <c r="F410" s="2"/>
      <c r="G410" s="39"/>
      <c r="H410" s="39"/>
      <c r="I410" s="11"/>
      <c r="J410" s="11"/>
      <c r="K410" s="11"/>
      <c r="L410" s="11"/>
      <c r="M410" s="11"/>
      <c r="N410" s="11"/>
      <c r="O410" s="35"/>
    </row>
    <row r="411" spans="1:15" ht="37.5" customHeight="1" x14ac:dyDescent="0.25">
      <c r="A411" s="38" t="str">
        <f t="shared" si="1"/>
        <v/>
      </c>
      <c r="B411" s="2"/>
      <c r="C411" s="2"/>
      <c r="D411" s="2"/>
      <c r="E411" s="2"/>
      <c r="F411" s="2"/>
      <c r="G411" s="39"/>
      <c r="H411" s="39"/>
      <c r="I411" s="11"/>
      <c r="J411" s="11"/>
      <c r="K411" s="11"/>
      <c r="L411" s="11"/>
      <c r="M411" s="11"/>
      <c r="N411" s="11"/>
      <c r="O411" s="35"/>
    </row>
    <row r="412" spans="1:15" ht="37.5" customHeight="1" x14ac:dyDescent="0.25">
      <c r="A412" s="38" t="str">
        <f t="shared" si="1"/>
        <v/>
      </c>
      <c r="B412" s="2"/>
      <c r="C412" s="2"/>
      <c r="D412" s="2"/>
      <c r="E412" s="2"/>
      <c r="F412" s="2"/>
      <c r="G412" s="39"/>
      <c r="H412" s="39"/>
      <c r="I412" s="11"/>
      <c r="J412" s="11"/>
      <c r="K412" s="11"/>
      <c r="L412" s="11"/>
      <c r="M412" s="11"/>
      <c r="N412" s="11"/>
      <c r="O412" s="35"/>
    </row>
    <row r="413" spans="1:15" ht="37.5" customHeight="1" x14ac:dyDescent="0.25">
      <c r="A413" s="38" t="str">
        <f t="shared" si="1"/>
        <v/>
      </c>
      <c r="B413" s="2"/>
      <c r="C413" s="2"/>
      <c r="D413" s="2"/>
      <c r="E413" s="2"/>
      <c r="F413" s="2"/>
      <c r="G413" s="39"/>
      <c r="H413" s="39"/>
      <c r="I413" s="11"/>
      <c r="J413" s="11"/>
      <c r="K413" s="11"/>
      <c r="L413" s="11"/>
      <c r="M413" s="11"/>
      <c r="N413" s="11"/>
      <c r="O413" s="35"/>
    </row>
    <row r="414" spans="1:15" ht="37.5" customHeight="1" x14ac:dyDescent="0.25">
      <c r="A414" s="38" t="str">
        <f t="shared" si="1"/>
        <v/>
      </c>
      <c r="B414" s="2"/>
      <c r="C414" s="2"/>
      <c r="D414" s="2"/>
      <c r="E414" s="2"/>
      <c r="F414" s="2"/>
      <c r="G414" s="39"/>
      <c r="H414" s="39"/>
      <c r="I414" s="11"/>
      <c r="J414" s="11"/>
      <c r="K414" s="11"/>
      <c r="L414" s="11"/>
      <c r="M414" s="11"/>
      <c r="N414" s="11"/>
      <c r="O414" s="35"/>
    </row>
    <row r="415" spans="1:15" ht="37.5" customHeight="1" x14ac:dyDescent="0.25">
      <c r="A415" s="38" t="str">
        <f t="shared" si="1"/>
        <v/>
      </c>
      <c r="B415" s="2"/>
      <c r="C415" s="2"/>
      <c r="D415" s="2"/>
      <c r="E415" s="2"/>
      <c r="F415" s="2"/>
      <c r="G415" s="39"/>
      <c r="H415" s="39"/>
      <c r="I415" s="11"/>
      <c r="J415" s="11"/>
      <c r="K415" s="11"/>
      <c r="L415" s="11"/>
      <c r="M415" s="11"/>
      <c r="N415" s="11"/>
      <c r="O415" s="35"/>
    </row>
    <row r="416" spans="1:15" ht="37.5" customHeight="1" x14ac:dyDescent="0.25">
      <c r="A416" s="38" t="str">
        <f t="shared" si="1"/>
        <v/>
      </c>
      <c r="B416" s="2"/>
      <c r="C416" s="2"/>
      <c r="D416" s="2"/>
      <c r="E416" s="2"/>
      <c r="F416" s="2"/>
      <c r="G416" s="39"/>
      <c r="H416" s="39"/>
      <c r="I416" s="11"/>
      <c r="J416" s="11"/>
      <c r="K416" s="11"/>
      <c r="L416" s="11"/>
      <c r="M416" s="11"/>
      <c r="N416" s="11"/>
      <c r="O416" s="35"/>
    </row>
    <row r="417" spans="1:15" ht="37.5" customHeight="1" x14ac:dyDescent="0.25">
      <c r="A417" s="38" t="str">
        <f t="shared" si="1"/>
        <v/>
      </c>
      <c r="B417" s="2"/>
      <c r="C417" s="2"/>
      <c r="D417" s="2"/>
      <c r="E417" s="2"/>
      <c r="F417" s="2"/>
      <c r="G417" s="39"/>
      <c r="H417" s="39"/>
      <c r="I417" s="11"/>
      <c r="J417" s="11"/>
      <c r="K417" s="11"/>
      <c r="L417" s="11"/>
      <c r="M417" s="11"/>
      <c r="N417" s="11"/>
      <c r="O417" s="35"/>
    </row>
    <row r="418" spans="1:15" ht="37.5" customHeight="1" x14ac:dyDescent="0.25">
      <c r="A418" s="38" t="str">
        <f t="shared" si="1"/>
        <v/>
      </c>
      <c r="B418" s="2"/>
      <c r="C418" s="2"/>
      <c r="D418" s="2"/>
      <c r="E418" s="2"/>
      <c r="F418" s="2"/>
      <c r="G418" s="39"/>
      <c r="H418" s="39"/>
      <c r="I418" s="11"/>
      <c r="J418" s="11"/>
      <c r="K418" s="11"/>
      <c r="L418" s="11"/>
      <c r="M418" s="11"/>
      <c r="N418" s="11"/>
      <c r="O418" s="35"/>
    </row>
    <row r="419" spans="1:15" ht="37.5" customHeight="1" x14ac:dyDescent="0.25">
      <c r="A419" s="38" t="str">
        <f t="shared" si="1"/>
        <v/>
      </c>
      <c r="B419" s="2"/>
      <c r="C419" s="2"/>
      <c r="D419" s="2"/>
      <c r="E419" s="2"/>
      <c r="F419" s="2"/>
      <c r="G419" s="39"/>
      <c r="H419" s="39"/>
      <c r="I419" s="11"/>
      <c r="J419" s="11"/>
      <c r="K419" s="11"/>
      <c r="L419" s="11"/>
      <c r="M419" s="11"/>
      <c r="N419" s="11"/>
      <c r="O419" s="35"/>
    </row>
    <row r="420" spans="1:15" ht="37.5" customHeight="1" x14ac:dyDescent="0.25">
      <c r="A420" s="38" t="str">
        <f t="shared" si="1"/>
        <v/>
      </c>
      <c r="B420" s="2"/>
      <c r="C420" s="2"/>
      <c r="D420" s="2"/>
      <c r="E420" s="2"/>
      <c r="F420" s="2"/>
      <c r="G420" s="39"/>
      <c r="H420" s="39"/>
      <c r="I420" s="11"/>
      <c r="J420" s="11"/>
      <c r="K420" s="11"/>
      <c r="L420" s="11"/>
      <c r="M420" s="11"/>
      <c r="N420" s="11"/>
      <c r="O420" s="35"/>
    </row>
    <row r="421" spans="1:15" ht="37.5" customHeight="1" x14ac:dyDescent="0.25">
      <c r="A421" s="38" t="str">
        <f t="shared" si="1"/>
        <v/>
      </c>
      <c r="B421" s="2"/>
      <c r="C421" s="2"/>
      <c r="D421" s="2"/>
      <c r="E421" s="2"/>
      <c r="F421" s="2"/>
      <c r="G421" s="39"/>
      <c r="H421" s="39"/>
      <c r="I421" s="11"/>
      <c r="J421" s="11"/>
      <c r="K421" s="11"/>
      <c r="L421" s="11"/>
      <c r="M421" s="11"/>
      <c r="N421" s="11"/>
      <c r="O421" s="35"/>
    </row>
    <row r="422" spans="1:15" ht="37.5" customHeight="1" x14ac:dyDescent="0.25">
      <c r="A422" s="38" t="str">
        <f t="shared" si="1"/>
        <v/>
      </c>
      <c r="B422" s="2"/>
      <c r="C422" s="2"/>
      <c r="D422" s="2"/>
      <c r="E422" s="2"/>
      <c r="F422" s="2"/>
      <c r="G422" s="39"/>
      <c r="H422" s="39"/>
      <c r="I422" s="11"/>
      <c r="J422" s="11"/>
      <c r="K422" s="11"/>
      <c r="L422" s="11"/>
      <c r="M422" s="11"/>
      <c r="N422" s="11"/>
      <c r="O422" s="35"/>
    </row>
    <row r="423" spans="1:15" ht="37.5" customHeight="1" x14ac:dyDescent="0.25">
      <c r="A423" s="38" t="str">
        <f t="shared" si="1"/>
        <v/>
      </c>
      <c r="B423" s="2"/>
      <c r="C423" s="2"/>
      <c r="D423" s="2"/>
      <c r="E423" s="2"/>
      <c r="F423" s="2"/>
      <c r="G423" s="39"/>
      <c r="H423" s="39"/>
      <c r="I423" s="11"/>
      <c r="J423" s="11"/>
      <c r="K423" s="11"/>
      <c r="L423" s="11"/>
      <c r="M423" s="11"/>
      <c r="N423" s="11"/>
      <c r="O423" s="35"/>
    </row>
    <row r="424" spans="1:15" ht="37.5" customHeight="1" x14ac:dyDescent="0.25">
      <c r="A424" s="38" t="str">
        <f t="shared" si="1"/>
        <v/>
      </c>
      <c r="B424" s="2"/>
      <c r="C424" s="2"/>
      <c r="D424" s="2"/>
      <c r="E424" s="2"/>
      <c r="F424" s="2"/>
      <c r="G424" s="39"/>
      <c r="H424" s="39"/>
      <c r="I424" s="11"/>
      <c r="J424" s="11"/>
      <c r="K424" s="11"/>
      <c r="L424" s="11"/>
      <c r="M424" s="11"/>
      <c r="N424" s="11"/>
      <c r="O424" s="35"/>
    </row>
    <row r="425" spans="1:15" ht="37.5" customHeight="1" x14ac:dyDescent="0.25">
      <c r="A425" s="38" t="str">
        <f t="shared" si="1"/>
        <v/>
      </c>
      <c r="B425" s="2"/>
      <c r="C425" s="2"/>
      <c r="D425" s="2"/>
      <c r="E425" s="2"/>
      <c r="F425" s="2"/>
      <c r="G425" s="39"/>
      <c r="H425" s="39"/>
      <c r="I425" s="11"/>
      <c r="J425" s="11"/>
      <c r="K425" s="11"/>
      <c r="L425" s="11"/>
      <c r="M425" s="11"/>
      <c r="N425" s="11"/>
      <c r="O425" s="35"/>
    </row>
    <row r="426" spans="1:15" ht="37.5" customHeight="1" x14ac:dyDescent="0.25">
      <c r="A426" s="38" t="str">
        <f t="shared" si="1"/>
        <v/>
      </c>
      <c r="B426" s="2"/>
      <c r="C426" s="2"/>
      <c r="D426" s="2"/>
      <c r="E426" s="2"/>
      <c r="F426" s="2"/>
      <c r="G426" s="39"/>
      <c r="H426" s="39"/>
      <c r="I426" s="11"/>
      <c r="J426" s="11"/>
      <c r="K426" s="11"/>
      <c r="L426" s="11"/>
      <c r="M426" s="11"/>
      <c r="N426" s="11"/>
      <c r="O426" s="35"/>
    </row>
    <row r="427" spans="1:15" ht="37.5" customHeight="1" x14ac:dyDescent="0.25">
      <c r="A427" s="38" t="str">
        <f t="shared" si="1"/>
        <v/>
      </c>
      <c r="B427" s="2"/>
      <c r="C427" s="2"/>
      <c r="D427" s="2"/>
      <c r="E427" s="2"/>
      <c r="F427" s="2"/>
      <c r="G427" s="39"/>
      <c r="H427" s="39"/>
      <c r="I427" s="11"/>
      <c r="J427" s="11"/>
      <c r="K427" s="11"/>
      <c r="L427" s="11"/>
      <c r="M427" s="11"/>
      <c r="N427" s="11"/>
      <c r="O427" s="35"/>
    </row>
    <row r="428" spans="1:15" ht="37.5" customHeight="1" x14ac:dyDescent="0.25">
      <c r="A428" s="38" t="str">
        <f t="shared" si="1"/>
        <v/>
      </c>
      <c r="B428" s="2"/>
      <c r="C428" s="2"/>
      <c r="D428" s="2"/>
      <c r="E428" s="2"/>
      <c r="F428" s="2"/>
      <c r="G428" s="39"/>
      <c r="H428" s="39"/>
      <c r="I428" s="11"/>
      <c r="J428" s="11"/>
      <c r="K428" s="11"/>
      <c r="L428" s="11"/>
      <c r="M428" s="11"/>
      <c r="N428" s="11"/>
      <c r="O428" s="35"/>
    </row>
    <row r="429" spans="1:15" ht="37.5" customHeight="1" x14ac:dyDescent="0.25">
      <c r="A429" s="38" t="str">
        <f t="shared" si="1"/>
        <v/>
      </c>
      <c r="B429" s="2"/>
      <c r="C429" s="2"/>
      <c r="D429" s="2"/>
      <c r="E429" s="2"/>
      <c r="F429" s="2"/>
      <c r="G429" s="39"/>
      <c r="H429" s="39"/>
      <c r="I429" s="11"/>
      <c r="J429" s="11"/>
      <c r="K429" s="11"/>
      <c r="L429" s="11"/>
      <c r="M429" s="11"/>
      <c r="N429" s="11"/>
      <c r="O429" s="35"/>
    </row>
    <row r="430" spans="1:15" ht="37.5" customHeight="1" x14ac:dyDescent="0.25">
      <c r="A430" s="38" t="str">
        <f t="shared" si="1"/>
        <v/>
      </c>
      <c r="B430" s="2"/>
      <c r="C430" s="2"/>
      <c r="D430" s="2"/>
      <c r="E430" s="2"/>
      <c r="F430" s="2"/>
      <c r="G430" s="39"/>
      <c r="H430" s="39"/>
      <c r="I430" s="11"/>
      <c r="J430" s="11"/>
      <c r="K430" s="11"/>
      <c r="L430" s="11"/>
      <c r="M430" s="11"/>
      <c r="N430" s="11"/>
      <c r="O430" s="35"/>
    </row>
    <row r="431" spans="1:15" ht="37.5" customHeight="1" x14ac:dyDescent="0.25">
      <c r="A431" s="38" t="str">
        <f t="shared" si="1"/>
        <v/>
      </c>
      <c r="B431" s="2"/>
      <c r="C431" s="2"/>
      <c r="D431" s="2"/>
      <c r="E431" s="2"/>
      <c r="F431" s="2"/>
      <c r="G431" s="39"/>
      <c r="H431" s="39"/>
      <c r="I431" s="11"/>
      <c r="J431" s="11"/>
      <c r="K431" s="11"/>
      <c r="L431" s="11"/>
      <c r="M431" s="11"/>
      <c r="N431" s="11"/>
      <c r="O431" s="35"/>
    </row>
    <row r="432" spans="1:15" ht="37.5" customHeight="1" x14ac:dyDescent="0.25">
      <c r="A432" s="38" t="str">
        <f t="shared" si="1"/>
        <v/>
      </c>
      <c r="B432" s="2"/>
      <c r="C432" s="2"/>
      <c r="D432" s="2"/>
      <c r="E432" s="2"/>
      <c r="F432" s="2"/>
      <c r="G432" s="39"/>
      <c r="H432" s="39"/>
      <c r="I432" s="11"/>
      <c r="J432" s="11"/>
      <c r="K432" s="11"/>
      <c r="L432" s="11"/>
      <c r="M432" s="11"/>
      <c r="N432" s="11"/>
      <c r="O432" s="35"/>
    </row>
    <row r="433" spans="1:15" ht="37.5" customHeight="1" x14ac:dyDescent="0.25">
      <c r="A433" s="38" t="str">
        <f t="shared" si="1"/>
        <v/>
      </c>
      <c r="B433" s="2"/>
      <c r="C433" s="2"/>
      <c r="D433" s="2"/>
      <c r="E433" s="2"/>
      <c r="F433" s="2"/>
      <c r="G433" s="39"/>
      <c r="H433" s="39"/>
      <c r="I433" s="11"/>
      <c r="J433" s="11"/>
      <c r="K433" s="11"/>
      <c r="L433" s="11"/>
      <c r="M433" s="11"/>
      <c r="N433" s="11"/>
      <c r="O433" s="35"/>
    </row>
    <row r="434" spans="1:15" ht="37.5" customHeight="1" x14ac:dyDescent="0.25">
      <c r="A434" s="38" t="str">
        <f t="shared" si="1"/>
        <v/>
      </c>
      <c r="B434" s="2"/>
      <c r="C434" s="2"/>
      <c r="D434" s="2"/>
      <c r="E434" s="2"/>
      <c r="F434" s="2"/>
      <c r="G434" s="39"/>
      <c r="H434" s="39"/>
      <c r="I434" s="11"/>
      <c r="J434" s="11"/>
      <c r="K434" s="11"/>
      <c r="L434" s="11"/>
      <c r="M434" s="11"/>
      <c r="N434" s="11"/>
      <c r="O434" s="35"/>
    </row>
    <row r="435" spans="1:15" ht="37.5" customHeight="1" x14ac:dyDescent="0.25">
      <c r="A435" s="38" t="str">
        <f t="shared" si="1"/>
        <v/>
      </c>
      <c r="B435" s="2"/>
      <c r="C435" s="2"/>
      <c r="D435" s="2"/>
      <c r="E435" s="2"/>
      <c r="F435" s="2"/>
      <c r="G435" s="39"/>
      <c r="H435" s="39"/>
      <c r="I435" s="11"/>
      <c r="J435" s="11"/>
      <c r="K435" s="11"/>
      <c r="L435" s="11"/>
      <c r="M435" s="11"/>
      <c r="N435" s="11"/>
      <c r="O435" s="35"/>
    </row>
    <row r="436" spans="1:15" ht="37.5" customHeight="1" x14ac:dyDescent="0.25">
      <c r="A436" s="38" t="str">
        <f t="shared" si="1"/>
        <v/>
      </c>
      <c r="B436" s="2"/>
      <c r="C436" s="2"/>
      <c r="D436" s="2"/>
      <c r="E436" s="2"/>
      <c r="F436" s="2"/>
      <c r="G436" s="39"/>
      <c r="H436" s="39"/>
      <c r="I436" s="11"/>
      <c r="J436" s="11"/>
      <c r="K436" s="11"/>
      <c r="L436" s="11"/>
      <c r="M436" s="11"/>
      <c r="N436" s="11"/>
      <c r="O436" s="35"/>
    </row>
    <row r="437" spans="1:15" ht="37.5" customHeight="1" x14ac:dyDescent="0.25">
      <c r="A437" s="38" t="str">
        <f t="shared" si="1"/>
        <v/>
      </c>
      <c r="B437" s="2"/>
      <c r="C437" s="2"/>
      <c r="D437" s="2"/>
      <c r="E437" s="2"/>
      <c r="F437" s="2"/>
      <c r="G437" s="39"/>
      <c r="H437" s="39"/>
      <c r="I437" s="11"/>
      <c r="J437" s="11"/>
      <c r="K437" s="11"/>
      <c r="L437" s="11"/>
      <c r="M437" s="11"/>
      <c r="N437" s="11"/>
      <c r="O437" s="35"/>
    </row>
    <row r="438" spans="1:15" ht="37.5" customHeight="1" x14ac:dyDescent="0.25">
      <c r="A438" s="38" t="str">
        <f t="shared" si="1"/>
        <v/>
      </c>
      <c r="B438" s="2"/>
      <c r="C438" s="2"/>
      <c r="D438" s="2"/>
      <c r="E438" s="2"/>
      <c r="F438" s="2"/>
      <c r="G438" s="39"/>
      <c r="H438" s="39"/>
      <c r="I438" s="11"/>
      <c r="J438" s="11"/>
      <c r="K438" s="11"/>
      <c r="L438" s="11"/>
      <c r="M438" s="11"/>
      <c r="N438" s="11"/>
      <c r="O438" s="35"/>
    </row>
    <row r="439" spans="1:15" ht="37.5" customHeight="1" x14ac:dyDescent="0.25">
      <c r="A439" s="38" t="str">
        <f t="shared" si="1"/>
        <v/>
      </c>
      <c r="B439" s="2"/>
      <c r="C439" s="2"/>
      <c r="D439" s="2"/>
      <c r="E439" s="2"/>
      <c r="F439" s="2"/>
      <c r="G439" s="39"/>
      <c r="H439" s="39"/>
      <c r="I439" s="11"/>
      <c r="J439" s="11"/>
      <c r="K439" s="11"/>
      <c r="L439" s="11"/>
      <c r="M439" s="11"/>
      <c r="N439" s="11"/>
      <c r="O439" s="35"/>
    </row>
    <row r="440" spans="1:15" ht="37.5" customHeight="1" x14ac:dyDescent="0.25">
      <c r="A440" s="38" t="str">
        <f t="shared" si="1"/>
        <v/>
      </c>
      <c r="B440" s="2"/>
      <c r="C440" s="2"/>
      <c r="D440" s="2"/>
      <c r="E440" s="2"/>
      <c r="F440" s="2"/>
      <c r="G440" s="39"/>
      <c r="H440" s="39"/>
      <c r="I440" s="11"/>
      <c r="J440" s="11"/>
      <c r="K440" s="11"/>
      <c r="L440" s="11"/>
      <c r="M440" s="11"/>
      <c r="N440" s="11"/>
      <c r="O440" s="35"/>
    </row>
    <row r="441" spans="1:15" ht="37.5" customHeight="1" x14ac:dyDescent="0.25">
      <c r="A441" s="38" t="str">
        <f t="shared" si="1"/>
        <v/>
      </c>
      <c r="B441" s="2"/>
      <c r="C441" s="2"/>
      <c r="D441" s="2"/>
      <c r="E441" s="2"/>
      <c r="F441" s="2"/>
      <c r="G441" s="39"/>
      <c r="H441" s="39"/>
      <c r="I441" s="11"/>
      <c r="J441" s="11"/>
      <c r="K441" s="11"/>
      <c r="L441" s="11"/>
      <c r="M441" s="11"/>
      <c r="N441" s="11"/>
      <c r="O441" s="35"/>
    </row>
    <row r="442" spans="1:15" ht="37.5" customHeight="1" x14ac:dyDescent="0.25">
      <c r="A442" s="38" t="str">
        <f t="shared" si="1"/>
        <v/>
      </c>
      <c r="B442" s="2"/>
      <c r="C442" s="2"/>
      <c r="D442" s="2"/>
      <c r="E442" s="2"/>
      <c r="F442" s="2"/>
      <c r="G442" s="39"/>
      <c r="H442" s="39"/>
      <c r="I442" s="11"/>
      <c r="J442" s="11"/>
      <c r="K442" s="11"/>
      <c r="L442" s="11"/>
      <c r="M442" s="11"/>
      <c r="N442" s="11"/>
      <c r="O442" s="35"/>
    </row>
    <row r="443" spans="1:15" ht="37.5" customHeight="1" x14ac:dyDescent="0.25">
      <c r="A443" s="38" t="str">
        <f t="shared" si="1"/>
        <v/>
      </c>
      <c r="B443" s="2"/>
      <c r="C443" s="2"/>
      <c r="D443" s="2"/>
      <c r="E443" s="2"/>
      <c r="F443" s="2"/>
      <c r="G443" s="39"/>
      <c r="H443" s="39"/>
      <c r="I443" s="11"/>
      <c r="J443" s="11"/>
      <c r="K443" s="11"/>
      <c r="L443" s="11"/>
      <c r="M443" s="11"/>
      <c r="N443" s="11"/>
      <c r="O443" s="35"/>
    </row>
    <row r="444" spans="1:15" ht="37.5" customHeight="1" x14ac:dyDescent="0.25">
      <c r="A444" s="38" t="str">
        <f t="shared" si="1"/>
        <v/>
      </c>
      <c r="B444" s="2"/>
      <c r="C444" s="2"/>
      <c r="D444" s="2"/>
      <c r="E444" s="2"/>
      <c r="F444" s="2"/>
      <c r="G444" s="39"/>
      <c r="H444" s="39"/>
      <c r="I444" s="11"/>
      <c r="J444" s="11"/>
      <c r="K444" s="11"/>
      <c r="L444" s="11"/>
      <c r="M444" s="11"/>
      <c r="N444" s="11"/>
      <c r="O444" s="35"/>
    </row>
    <row r="445" spans="1:15" ht="37.5" customHeight="1" x14ac:dyDescent="0.25">
      <c r="A445" s="38" t="str">
        <f t="shared" si="1"/>
        <v/>
      </c>
      <c r="B445" s="2"/>
      <c r="C445" s="2"/>
      <c r="D445" s="2"/>
      <c r="E445" s="2"/>
      <c r="F445" s="2"/>
      <c r="G445" s="39"/>
      <c r="H445" s="39"/>
      <c r="I445" s="11"/>
      <c r="J445" s="11"/>
      <c r="K445" s="11"/>
      <c r="L445" s="11"/>
      <c r="M445" s="11"/>
      <c r="N445" s="11"/>
      <c r="O445" s="35"/>
    </row>
    <row r="446" spans="1:15" ht="37.5" customHeight="1" x14ac:dyDescent="0.25">
      <c r="A446" s="38" t="str">
        <f t="shared" si="1"/>
        <v/>
      </c>
      <c r="B446" s="2"/>
      <c r="C446" s="2"/>
      <c r="D446" s="2"/>
      <c r="E446" s="2"/>
      <c r="F446" s="2"/>
      <c r="G446" s="39"/>
      <c r="H446" s="39"/>
      <c r="I446" s="11"/>
      <c r="J446" s="11"/>
      <c r="K446" s="11"/>
      <c r="L446" s="11"/>
      <c r="M446" s="11"/>
      <c r="N446" s="11"/>
      <c r="O446" s="35"/>
    </row>
    <row r="447" spans="1:15" ht="37.5" customHeight="1" x14ac:dyDescent="0.25">
      <c r="A447" s="38" t="str">
        <f t="shared" si="1"/>
        <v/>
      </c>
      <c r="B447" s="2"/>
      <c r="C447" s="2"/>
      <c r="D447" s="2"/>
      <c r="E447" s="2"/>
      <c r="F447" s="2"/>
      <c r="G447" s="39"/>
      <c r="H447" s="39"/>
      <c r="I447" s="11"/>
      <c r="J447" s="11"/>
      <c r="K447" s="11"/>
      <c r="L447" s="11"/>
      <c r="M447" s="11"/>
      <c r="N447" s="11"/>
      <c r="O447" s="35"/>
    </row>
    <row r="448" spans="1:15" ht="37.5" customHeight="1" x14ac:dyDescent="0.25">
      <c r="A448" s="38" t="str">
        <f t="shared" si="1"/>
        <v/>
      </c>
      <c r="B448" s="2"/>
      <c r="C448" s="2"/>
      <c r="D448" s="2"/>
      <c r="E448" s="2"/>
      <c r="F448" s="2"/>
      <c r="G448" s="39"/>
      <c r="H448" s="39"/>
      <c r="I448" s="11"/>
      <c r="J448" s="11"/>
      <c r="K448" s="11"/>
      <c r="L448" s="11"/>
      <c r="M448" s="11"/>
      <c r="N448" s="11"/>
      <c r="O448" s="35"/>
    </row>
    <row r="449" spans="1:15" ht="37.5" customHeight="1" x14ac:dyDescent="0.25">
      <c r="A449" s="38" t="str">
        <f t="shared" si="1"/>
        <v/>
      </c>
      <c r="B449" s="2"/>
      <c r="C449" s="2"/>
      <c r="D449" s="2"/>
      <c r="E449" s="2"/>
      <c r="F449" s="2"/>
      <c r="G449" s="39"/>
      <c r="H449" s="39"/>
      <c r="I449" s="11"/>
      <c r="J449" s="11"/>
      <c r="K449" s="11"/>
      <c r="L449" s="11"/>
      <c r="M449" s="11"/>
      <c r="N449" s="11"/>
      <c r="O449" s="35"/>
    </row>
    <row r="450" spans="1:15" ht="37.5" customHeight="1" x14ac:dyDescent="0.25">
      <c r="A450" s="38" t="str">
        <f t="shared" si="1"/>
        <v/>
      </c>
      <c r="B450" s="2"/>
      <c r="C450" s="2"/>
      <c r="D450" s="2"/>
      <c r="E450" s="2"/>
      <c r="F450" s="2"/>
      <c r="G450" s="39"/>
      <c r="H450" s="39"/>
      <c r="I450" s="11"/>
      <c r="J450" s="11"/>
      <c r="K450" s="11"/>
      <c r="L450" s="11"/>
      <c r="M450" s="11"/>
      <c r="N450" s="11"/>
      <c r="O450" s="35"/>
    </row>
    <row r="451" spans="1:15" ht="37.5" customHeight="1" x14ac:dyDescent="0.25">
      <c r="A451" s="38" t="str">
        <f t="shared" si="1"/>
        <v/>
      </c>
      <c r="B451" s="2"/>
      <c r="C451" s="2"/>
      <c r="D451" s="2"/>
      <c r="E451" s="2"/>
      <c r="F451" s="2"/>
      <c r="G451" s="39"/>
      <c r="H451" s="39"/>
      <c r="I451" s="11"/>
      <c r="J451" s="11"/>
      <c r="K451" s="11"/>
      <c r="L451" s="11"/>
      <c r="M451" s="11"/>
      <c r="N451" s="11"/>
      <c r="O451" s="35"/>
    </row>
    <row r="452" spans="1:15" ht="37.5" customHeight="1" x14ac:dyDescent="0.25">
      <c r="A452" s="38" t="str">
        <f t="shared" si="1"/>
        <v/>
      </c>
      <c r="B452" s="2"/>
      <c r="C452" s="2"/>
      <c r="D452" s="2"/>
      <c r="E452" s="2"/>
      <c r="F452" s="2"/>
      <c r="G452" s="39"/>
      <c r="H452" s="39"/>
      <c r="I452" s="11"/>
      <c r="J452" s="11"/>
      <c r="K452" s="11"/>
      <c r="L452" s="11"/>
      <c r="M452" s="11"/>
      <c r="N452" s="11"/>
      <c r="O452" s="35"/>
    </row>
    <row r="453" spans="1:15" ht="37.5" customHeight="1" x14ac:dyDescent="0.25">
      <c r="A453" s="38" t="str">
        <f t="shared" si="1"/>
        <v/>
      </c>
      <c r="B453" s="2"/>
      <c r="C453" s="2"/>
      <c r="D453" s="2"/>
      <c r="E453" s="2"/>
      <c r="F453" s="2"/>
      <c r="G453" s="39"/>
      <c r="H453" s="39"/>
      <c r="I453" s="11"/>
      <c r="J453" s="11"/>
      <c r="K453" s="11"/>
      <c r="L453" s="11"/>
      <c r="M453" s="11"/>
      <c r="N453" s="11"/>
      <c r="O453" s="35"/>
    </row>
    <row r="454" spans="1:15" ht="37.5" customHeight="1" x14ac:dyDescent="0.25">
      <c r="A454" s="38" t="str">
        <f t="shared" si="1"/>
        <v/>
      </c>
      <c r="B454" s="2"/>
      <c r="C454" s="2"/>
      <c r="D454" s="2"/>
      <c r="E454" s="2"/>
      <c r="F454" s="2"/>
      <c r="G454" s="39"/>
      <c r="H454" s="39"/>
      <c r="I454" s="11"/>
      <c r="J454" s="11"/>
      <c r="K454" s="11"/>
      <c r="L454" s="11"/>
      <c r="M454" s="11"/>
      <c r="N454" s="11"/>
      <c r="O454" s="35"/>
    </row>
    <row r="455" spans="1:15" ht="37.5" customHeight="1" x14ac:dyDescent="0.25">
      <c r="A455" s="38" t="str">
        <f t="shared" si="1"/>
        <v/>
      </c>
      <c r="B455" s="2"/>
      <c r="C455" s="2"/>
      <c r="D455" s="2"/>
      <c r="E455" s="2"/>
      <c r="F455" s="2"/>
      <c r="G455" s="39"/>
      <c r="H455" s="39"/>
      <c r="I455" s="11"/>
      <c r="J455" s="11"/>
      <c r="K455" s="11"/>
      <c r="L455" s="11"/>
      <c r="M455" s="11"/>
      <c r="N455" s="11"/>
      <c r="O455" s="35"/>
    </row>
    <row r="456" spans="1:15" ht="37.5" customHeight="1" x14ac:dyDescent="0.25">
      <c r="A456" s="38" t="str">
        <f t="shared" si="1"/>
        <v/>
      </c>
      <c r="B456" s="2"/>
      <c r="C456" s="2"/>
      <c r="D456" s="2"/>
      <c r="E456" s="2"/>
      <c r="F456" s="2"/>
      <c r="G456" s="39"/>
      <c r="H456" s="39"/>
      <c r="I456" s="11"/>
      <c r="J456" s="11"/>
      <c r="K456" s="11"/>
      <c r="L456" s="11"/>
      <c r="M456" s="11"/>
      <c r="N456" s="11"/>
      <c r="O456" s="35"/>
    </row>
    <row r="457" spans="1:15" ht="37.5" customHeight="1" x14ac:dyDescent="0.25">
      <c r="A457" s="38" t="str">
        <f t="shared" si="1"/>
        <v/>
      </c>
      <c r="B457" s="2"/>
      <c r="C457" s="2"/>
      <c r="D457" s="2"/>
      <c r="E457" s="2"/>
      <c r="F457" s="2"/>
      <c r="G457" s="39"/>
      <c r="H457" s="39"/>
      <c r="I457" s="11"/>
      <c r="J457" s="11"/>
      <c r="K457" s="11"/>
      <c r="L457" s="11"/>
      <c r="M457" s="11"/>
      <c r="N457" s="11"/>
      <c r="O457" s="35"/>
    </row>
    <row r="458" spans="1:15" ht="37.5" customHeight="1" x14ac:dyDescent="0.25">
      <c r="A458" s="38" t="str">
        <f t="shared" si="1"/>
        <v/>
      </c>
      <c r="B458" s="2"/>
      <c r="C458" s="2"/>
      <c r="D458" s="2"/>
      <c r="E458" s="2"/>
      <c r="F458" s="2"/>
      <c r="G458" s="39"/>
      <c r="H458" s="39"/>
      <c r="I458" s="11"/>
      <c r="J458" s="11"/>
      <c r="K458" s="11"/>
      <c r="L458" s="11"/>
      <c r="M458" s="11"/>
      <c r="N458" s="11"/>
      <c r="O458" s="35"/>
    </row>
    <row r="459" spans="1:15" ht="37.5" customHeight="1" x14ac:dyDescent="0.25">
      <c r="A459" s="38" t="str">
        <f t="shared" si="1"/>
        <v/>
      </c>
      <c r="B459" s="2"/>
      <c r="C459" s="2"/>
      <c r="D459" s="2"/>
      <c r="E459" s="2"/>
      <c r="F459" s="2"/>
      <c r="G459" s="39"/>
      <c r="H459" s="39"/>
      <c r="I459" s="11"/>
      <c r="J459" s="11"/>
      <c r="K459" s="11"/>
      <c r="L459" s="11"/>
      <c r="M459" s="11"/>
      <c r="N459" s="11"/>
      <c r="O459" s="35"/>
    </row>
    <row r="460" spans="1:15" ht="37.5" customHeight="1" x14ac:dyDescent="0.25">
      <c r="A460" s="38" t="str">
        <f t="shared" si="1"/>
        <v/>
      </c>
      <c r="B460" s="2"/>
      <c r="C460" s="2"/>
      <c r="D460" s="2"/>
      <c r="E460" s="2"/>
      <c r="F460" s="2"/>
      <c r="G460" s="39"/>
      <c r="H460" s="39"/>
      <c r="I460" s="11"/>
      <c r="J460" s="11"/>
      <c r="K460" s="11"/>
      <c r="L460" s="11"/>
      <c r="M460" s="11"/>
      <c r="N460" s="11"/>
      <c r="O460" s="35"/>
    </row>
    <row r="461" spans="1:15" ht="37.5" customHeight="1" x14ac:dyDescent="0.25">
      <c r="A461" s="38" t="str">
        <f t="shared" si="1"/>
        <v/>
      </c>
      <c r="B461" s="2"/>
      <c r="C461" s="2"/>
      <c r="D461" s="2"/>
      <c r="E461" s="2"/>
      <c r="F461" s="2"/>
      <c r="G461" s="39"/>
      <c r="H461" s="39"/>
      <c r="I461" s="11"/>
      <c r="J461" s="11"/>
      <c r="K461" s="11"/>
      <c r="L461" s="11"/>
      <c r="M461" s="11"/>
      <c r="N461" s="11"/>
      <c r="O461" s="35"/>
    </row>
    <row r="462" spans="1:15" ht="37.5" customHeight="1" x14ac:dyDescent="0.25">
      <c r="A462" s="38" t="str">
        <f t="shared" si="1"/>
        <v/>
      </c>
      <c r="B462" s="2"/>
      <c r="C462" s="2"/>
      <c r="D462" s="2"/>
      <c r="E462" s="2"/>
      <c r="F462" s="2"/>
      <c r="G462" s="39"/>
      <c r="H462" s="39"/>
      <c r="I462" s="11"/>
      <c r="J462" s="11"/>
      <c r="K462" s="11"/>
      <c r="L462" s="11"/>
      <c r="M462" s="11"/>
      <c r="N462" s="11"/>
      <c r="O462" s="35"/>
    </row>
    <row r="463" spans="1:15" ht="37.5" customHeight="1" x14ac:dyDescent="0.25">
      <c r="A463" s="38" t="str">
        <f t="shared" si="1"/>
        <v/>
      </c>
      <c r="B463" s="2"/>
      <c r="C463" s="2"/>
      <c r="D463" s="2"/>
      <c r="E463" s="2"/>
      <c r="F463" s="2"/>
      <c r="G463" s="39"/>
      <c r="H463" s="39"/>
      <c r="I463" s="11"/>
      <c r="J463" s="11"/>
      <c r="K463" s="11"/>
      <c r="L463" s="11"/>
      <c r="M463" s="11"/>
      <c r="N463" s="11"/>
      <c r="O463" s="35"/>
    </row>
    <row r="464" spans="1:15" ht="37.5" customHeight="1" x14ac:dyDescent="0.25">
      <c r="A464" s="38" t="str">
        <f t="shared" si="1"/>
        <v/>
      </c>
      <c r="B464" s="2"/>
      <c r="C464" s="2"/>
      <c r="D464" s="2"/>
      <c r="E464" s="2"/>
      <c r="F464" s="2"/>
      <c r="G464" s="39"/>
      <c r="H464" s="39"/>
      <c r="I464" s="11"/>
      <c r="J464" s="11"/>
      <c r="K464" s="11"/>
      <c r="L464" s="11"/>
      <c r="M464" s="11"/>
      <c r="N464" s="11"/>
      <c r="O464" s="35"/>
    </row>
    <row r="465" spans="1:15" ht="37.5" customHeight="1" x14ac:dyDescent="0.25">
      <c r="A465" s="38" t="str">
        <f t="shared" si="1"/>
        <v/>
      </c>
      <c r="B465" s="2"/>
      <c r="C465" s="2"/>
      <c r="D465" s="2"/>
      <c r="E465" s="2"/>
      <c r="F465" s="2"/>
      <c r="G465" s="39"/>
      <c r="H465" s="39"/>
      <c r="I465" s="11"/>
      <c r="J465" s="11"/>
      <c r="K465" s="11"/>
      <c r="L465" s="11"/>
      <c r="M465" s="11"/>
      <c r="N465" s="11"/>
      <c r="O465" s="35"/>
    </row>
    <row r="466" spans="1:15" ht="37.5" customHeight="1" x14ac:dyDescent="0.25">
      <c r="A466" s="38" t="str">
        <f t="shared" si="1"/>
        <v/>
      </c>
      <c r="B466" s="2"/>
      <c r="C466" s="2"/>
      <c r="D466" s="2"/>
      <c r="E466" s="2"/>
      <c r="F466" s="2"/>
      <c r="G466" s="39"/>
      <c r="H466" s="39"/>
      <c r="I466" s="11"/>
      <c r="J466" s="11"/>
      <c r="K466" s="11"/>
      <c r="L466" s="11"/>
      <c r="M466" s="11"/>
      <c r="N466" s="11"/>
      <c r="O466" s="35"/>
    </row>
    <row r="467" spans="1:15" ht="37.5" customHeight="1" x14ac:dyDescent="0.25">
      <c r="A467" s="38" t="str">
        <f t="shared" si="1"/>
        <v/>
      </c>
      <c r="B467" s="2"/>
      <c r="C467" s="2"/>
      <c r="D467" s="2"/>
      <c r="E467" s="2"/>
      <c r="F467" s="2"/>
      <c r="G467" s="39"/>
      <c r="H467" s="39"/>
      <c r="I467" s="11"/>
      <c r="J467" s="11"/>
      <c r="K467" s="11"/>
      <c r="L467" s="11"/>
      <c r="M467" s="11"/>
      <c r="N467" s="11"/>
      <c r="O467" s="35"/>
    </row>
    <row r="468" spans="1:15" ht="37.5" customHeight="1" x14ac:dyDescent="0.25">
      <c r="A468" s="38" t="str">
        <f t="shared" si="1"/>
        <v/>
      </c>
      <c r="B468" s="2"/>
      <c r="C468" s="2"/>
      <c r="D468" s="2"/>
      <c r="E468" s="2"/>
      <c r="F468" s="2"/>
      <c r="G468" s="39"/>
      <c r="H468" s="39"/>
      <c r="I468" s="11"/>
      <c r="J468" s="11"/>
      <c r="K468" s="11"/>
      <c r="L468" s="11"/>
      <c r="M468" s="11"/>
      <c r="N468" s="11"/>
      <c r="O468" s="35"/>
    </row>
    <row r="469" spans="1:15" ht="37.5" customHeight="1" x14ac:dyDescent="0.25">
      <c r="A469" s="38" t="str">
        <f t="shared" si="1"/>
        <v/>
      </c>
      <c r="B469" s="2"/>
      <c r="C469" s="2"/>
      <c r="D469" s="2"/>
      <c r="E469" s="2"/>
      <c r="F469" s="2"/>
      <c r="G469" s="39"/>
      <c r="H469" s="39"/>
      <c r="I469" s="11"/>
      <c r="J469" s="11"/>
      <c r="K469" s="11"/>
      <c r="L469" s="11"/>
      <c r="M469" s="11"/>
      <c r="N469" s="11"/>
      <c r="O469" s="35"/>
    </row>
    <row r="470" spans="1:15" ht="37.5" customHeight="1" x14ac:dyDescent="0.25">
      <c r="A470" s="38" t="str">
        <f t="shared" si="1"/>
        <v/>
      </c>
      <c r="B470" s="2"/>
      <c r="C470" s="2"/>
      <c r="D470" s="2"/>
      <c r="E470" s="2"/>
      <c r="F470" s="2"/>
      <c r="G470" s="39"/>
      <c r="H470" s="39"/>
      <c r="I470" s="11"/>
      <c r="J470" s="11"/>
      <c r="K470" s="11"/>
      <c r="L470" s="11"/>
      <c r="M470" s="11"/>
      <c r="N470" s="11"/>
      <c r="O470" s="35"/>
    </row>
    <row r="471" spans="1:15" ht="37.5" customHeight="1" x14ac:dyDescent="0.25">
      <c r="A471" s="38" t="str">
        <f t="shared" si="1"/>
        <v/>
      </c>
      <c r="B471" s="2"/>
      <c r="C471" s="2"/>
      <c r="D471" s="2"/>
      <c r="E471" s="2"/>
      <c r="F471" s="2"/>
      <c r="G471" s="39"/>
      <c r="H471" s="39"/>
      <c r="I471" s="11"/>
      <c r="J471" s="11"/>
      <c r="K471" s="11"/>
      <c r="L471" s="11"/>
      <c r="M471" s="11"/>
      <c r="N471" s="11"/>
      <c r="O471" s="35"/>
    </row>
    <row r="472" spans="1:15" ht="37.5" customHeight="1" x14ac:dyDescent="0.25">
      <c r="A472" s="38" t="str">
        <f t="shared" si="1"/>
        <v/>
      </c>
      <c r="B472" s="2"/>
      <c r="C472" s="2"/>
      <c r="D472" s="2"/>
      <c r="E472" s="2"/>
      <c r="F472" s="2"/>
      <c r="G472" s="39"/>
      <c r="H472" s="39"/>
      <c r="I472" s="11"/>
      <c r="J472" s="11"/>
      <c r="K472" s="11"/>
      <c r="L472" s="11"/>
      <c r="M472" s="11"/>
      <c r="N472" s="11"/>
      <c r="O472" s="35"/>
    </row>
    <row r="473" spans="1:15" ht="37.5" customHeight="1" x14ac:dyDescent="0.25">
      <c r="A473" s="38" t="str">
        <f t="shared" si="1"/>
        <v/>
      </c>
      <c r="B473" s="2"/>
      <c r="C473" s="2"/>
      <c r="D473" s="2"/>
      <c r="E473" s="2"/>
      <c r="F473" s="2"/>
      <c r="G473" s="39"/>
      <c r="H473" s="39"/>
      <c r="I473" s="11"/>
      <c r="J473" s="11"/>
      <c r="K473" s="11"/>
      <c r="L473" s="11"/>
      <c r="M473" s="11"/>
      <c r="N473" s="11"/>
      <c r="O473" s="35"/>
    </row>
    <row r="474" spans="1:15" ht="37.5" customHeight="1" x14ac:dyDescent="0.25">
      <c r="A474" s="38" t="str">
        <f t="shared" si="1"/>
        <v/>
      </c>
      <c r="B474" s="2"/>
      <c r="C474" s="2"/>
      <c r="D474" s="2"/>
      <c r="E474" s="2"/>
      <c r="F474" s="2"/>
      <c r="G474" s="39"/>
      <c r="H474" s="39"/>
      <c r="I474" s="11"/>
      <c r="J474" s="11"/>
      <c r="K474" s="11"/>
      <c r="L474" s="11"/>
      <c r="M474" s="11"/>
      <c r="N474" s="11"/>
      <c r="O474" s="35"/>
    </row>
    <row r="475" spans="1:15" ht="37.5" customHeight="1" x14ac:dyDescent="0.25">
      <c r="A475" s="38" t="str">
        <f t="shared" si="1"/>
        <v/>
      </c>
      <c r="B475" s="2"/>
      <c r="C475" s="2"/>
      <c r="D475" s="2"/>
      <c r="E475" s="2"/>
      <c r="F475" s="2"/>
      <c r="G475" s="39"/>
      <c r="H475" s="39"/>
      <c r="I475" s="11"/>
      <c r="J475" s="11"/>
      <c r="K475" s="11"/>
      <c r="L475" s="11"/>
      <c r="M475" s="11"/>
      <c r="N475" s="11"/>
      <c r="O475" s="35"/>
    </row>
    <row r="476" spans="1:15" ht="37.5" customHeight="1" x14ac:dyDescent="0.25">
      <c r="A476" s="38" t="str">
        <f t="shared" si="1"/>
        <v/>
      </c>
      <c r="B476" s="2"/>
      <c r="C476" s="2"/>
      <c r="D476" s="2"/>
      <c r="E476" s="2"/>
      <c r="F476" s="2"/>
      <c r="G476" s="39"/>
      <c r="H476" s="39"/>
      <c r="I476" s="11"/>
      <c r="J476" s="11"/>
      <c r="K476" s="11"/>
      <c r="L476" s="11"/>
      <c r="M476" s="11"/>
      <c r="N476" s="11"/>
      <c r="O476" s="35"/>
    </row>
    <row r="477" spans="1:15" ht="37.5" customHeight="1" x14ac:dyDescent="0.25">
      <c r="A477" s="38" t="str">
        <f t="shared" si="1"/>
        <v/>
      </c>
      <c r="B477" s="2"/>
      <c r="C477" s="2"/>
      <c r="D477" s="2"/>
      <c r="E477" s="2"/>
      <c r="F477" s="2"/>
      <c r="G477" s="39"/>
      <c r="H477" s="39"/>
      <c r="I477" s="11"/>
      <c r="J477" s="11"/>
      <c r="K477" s="11"/>
      <c r="L477" s="11"/>
      <c r="M477" s="11"/>
      <c r="N477" s="11"/>
      <c r="O477" s="35"/>
    </row>
    <row r="478" spans="1:15" ht="37.5" customHeight="1" x14ac:dyDescent="0.25">
      <c r="A478" s="38" t="str">
        <f t="shared" si="1"/>
        <v/>
      </c>
      <c r="B478" s="2"/>
      <c r="C478" s="2"/>
      <c r="D478" s="2"/>
      <c r="E478" s="2"/>
      <c r="F478" s="2"/>
      <c r="G478" s="39"/>
      <c r="H478" s="39"/>
      <c r="I478" s="11"/>
      <c r="J478" s="11"/>
      <c r="K478" s="11"/>
      <c r="L478" s="11"/>
      <c r="M478" s="11"/>
      <c r="N478" s="11"/>
      <c r="O478" s="35"/>
    </row>
    <row r="479" spans="1:15" ht="37.5" customHeight="1" x14ac:dyDescent="0.25">
      <c r="A479" s="38" t="str">
        <f t="shared" si="1"/>
        <v/>
      </c>
      <c r="B479" s="2"/>
      <c r="C479" s="2"/>
      <c r="D479" s="2"/>
      <c r="E479" s="2"/>
      <c r="F479" s="2"/>
      <c r="G479" s="39"/>
      <c r="H479" s="39"/>
      <c r="I479" s="11"/>
      <c r="J479" s="11"/>
      <c r="K479" s="11"/>
      <c r="L479" s="11"/>
      <c r="M479" s="11"/>
      <c r="N479" s="11"/>
      <c r="O479" s="35"/>
    </row>
    <row r="480" spans="1:15" ht="37.5" customHeight="1" x14ac:dyDescent="0.25">
      <c r="A480" s="38" t="str">
        <f t="shared" si="1"/>
        <v/>
      </c>
      <c r="B480" s="2"/>
      <c r="C480" s="2"/>
      <c r="D480" s="2"/>
      <c r="E480" s="2"/>
      <c r="F480" s="2"/>
      <c r="G480" s="39"/>
      <c r="H480" s="39"/>
      <c r="I480" s="11"/>
      <c r="J480" s="11"/>
      <c r="K480" s="11"/>
      <c r="L480" s="11"/>
      <c r="M480" s="11"/>
      <c r="N480" s="11"/>
      <c r="O480" s="35"/>
    </row>
    <row r="481" spans="1:15" ht="37.5" customHeight="1" x14ac:dyDescent="0.25">
      <c r="A481" s="38" t="str">
        <f t="shared" si="1"/>
        <v/>
      </c>
      <c r="B481" s="2"/>
      <c r="C481" s="2"/>
      <c r="D481" s="2"/>
      <c r="E481" s="2"/>
      <c r="F481" s="2"/>
      <c r="G481" s="39"/>
      <c r="H481" s="39"/>
      <c r="I481" s="11"/>
      <c r="J481" s="11"/>
      <c r="K481" s="11"/>
      <c r="L481" s="11"/>
      <c r="M481" s="11"/>
      <c r="N481" s="11"/>
      <c r="O481" s="35"/>
    </row>
    <row r="482" spans="1:15" ht="37.5" customHeight="1" x14ac:dyDescent="0.25">
      <c r="A482" s="38" t="str">
        <f t="shared" si="1"/>
        <v/>
      </c>
      <c r="B482" s="2"/>
      <c r="C482" s="2"/>
      <c r="D482" s="2"/>
      <c r="E482" s="2"/>
      <c r="F482" s="2"/>
      <c r="G482" s="39"/>
      <c r="H482" s="39"/>
      <c r="I482" s="11"/>
      <c r="J482" s="11"/>
      <c r="K482" s="11"/>
      <c r="L482" s="11"/>
      <c r="M482" s="11"/>
      <c r="N482" s="11"/>
      <c r="O482" s="35"/>
    </row>
    <row r="483" spans="1:15" ht="37.5" customHeight="1" x14ac:dyDescent="0.25">
      <c r="A483" s="38" t="str">
        <f t="shared" si="1"/>
        <v/>
      </c>
      <c r="B483" s="2"/>
      <c r="C483" s="2"/>
      <c r="D483" s="2"/>
      <c r="E483" s="2"/>
      <c r="F483" s="2"/>
      <c r="G483" s="39"/>
      <c r="H483" s="39"/>
      <c r="I483" s="11"/>
      <c r="J483" s="11"/>
      <c r="K483" s="11"/>
      <c r="L483" s="11"/>
      <c r="M483" s="11"/>
      <c r="N483" s="11"/>
      <c r="O483" s="35"/>
    </row>
    <row r="484" spans="1:15" ht="37.5" customHeight="1" x14ac:dyDescent="0.25">
      <c r="A484" s="38" t="str">
        <f t="shared" si="1"/>
        <v/>
      </c>
      <c r="B484" s="2"/>
      <c r="C484" s="2"/>
      <c r="D484" s="2"/>
      <c r="E484" s="2"/>
      <c r="F484" s="2"/>
      <c r="G484" s="39"/>
      <c r="H484" s="39"/>
      <c r="I484" s="11"/>
      <c r="J484" s="11"/>
      <c r="K484" s="11"/>
      <c r="L484" s="11"/>
      <c r="M484" s="11"/>
      <c r="N484" s="11"/>
      <c r="O484" s="35"/>
    </row>
    <row r="485" spans="1:15" ht="37.5" customHeight="1" x14ac:dyDescent="0.25">
      <c r="A485" s="38" t="str">
        <f t="shared" si="1"/>
        <v/>
      </c>
      <c r="B485" s="2"/>
      <c r="C485" s="2"/>
      <c r="D485" s="2"/>
      <c r="E485" s="2"/>
      <c r="F485" s="2"/>
      <c r="G485" s="39"/>
      <c r="H485" s="39"/>
      <c r="I485" s="11"/>
      <c r="J485" s="11"/>
      <c r="K485" s="11"/>
      <c r="L485" s="11"/>
      <c r="M485" s="11"/>
      <c r="N485" s="11"/>
      <c r="O485" s="35"/>
    </row>
    <row r="486" spans="1:15" ht="37.5" customHeight="1" x14ac:dyDescent="0.25">
      <c r="A486" s="38" t="str">
        <f t="shared" si="1"/>
        <v/>
      </c>
      <c r="B486" s="2"/>
      <c r="C486" s="2"/>
      <c r="D486" s="2"/>
      <c r="E486" s="2"/>
      <c r="F486" s="2"/>
      <c r="G486" s="39"/>
      <c r="H486" s="39"/>
      <c r="I486" s="11"/>
      <c r="J486" s="11"/>
      <c r="K486" s="11"/>
      <c r="L486" s="11"/>
      <c r="M486" s="11"/>
      <c r="N486" s="11"/>
      <c r="O486" s="35"/>
    </row>
    <row r="487" spans="1:15" ht="37.5" customHeight="1" x14ac:dyDescent="0.25">
      <c r="A487" s="38" t="str">
        <f t="shared" si="1"/>
        <v/>
      </c>
      <c r="B487" s="2"/>
      <c r="C487" s="2"/>
      <c r="D487" s="2"/>
      <c r="E487" s="2"/>
      <c r="F487" s="2"/>
      <c r="G487" s="39"/>
      <c r="H487" s="39"/>
      <c r="I487" s="11"/>
      <c r="J487" s="11"/>
      <c r="K487" s="11"/>
      <c r="L487" s="11"/>
      <c r="M487" s="11"/>
      <c r="N487" s="11"/>
      <c r="O487" s="35"/>
    </row>
    <row r="488" spans="1:15" ht="37.5" customHeight="1" x14ac:dyDescent="0.25">
      <c r="A488" s="38" t="str">
        <f t="shared" si="1"/>
        <v/>
      </c>
      <c r="B488" s="2"/>
      <c r="C488" s="2"/>
      <c r="D488" s="2"/>
      <c r="E488" s="2"/>
      <c r="F488" s="2"/>
      <c r="G488" s="39"/>
      <c r="H488" s="39"/>
      <c r="I488" s="11"/>
      <c r="J488" s="11"/>
      <c r="K488" s="11"/>
      <c r="L488" s="11"/>
      <c r="M488" s="11"/>
      <c r="N488" s="11"/>
      <c r="O488" s="35"/>
    </row>
    <row r="489" spans="1:15" ht="37.5" customHeight="1" x14ac:dyDescent="0.25">
      <c r="A489" s="38" t="str">
        <f t="shared" si="1"/>
        <v/>
      </c>
      <c r="B489" s="2"/>
      <c r="C489" s="2"/>
      <c r="D489" s="2"/>
      <c r="E489" s="2"/>
      <c r="F489" s="2"/>
      <c r="G489" s="39"/>
      <c r="H489" s="39"/>
      <c r="I489" s="11"/>
      <c r="J489" s="11"/>
      <c r="K489" s="11"/>
      <c r="L489" s="11"/>
      <c r="M489" s="11"/>
      <c r="N489" s="11"/>
      <c r="O489" s="35"/>
    </row>
    <row r="490" spans="1:15" ht="37.5" customHeight="1" x14ac:dyDescent="0.25">
      <c r="A490" s="38" t="str">
        <f t="shared" si="1"/>
        <v/>
      </c>
      <c r="B490" s="2"/>
      <c r="C490" s="2"/>
      <c r="D490" s="2"/>
      <c r="E490" s="2"/>
      <c r="F490" s="2"/>
      <c r="G490" s="39"/>
      <c r="H490" s="39"/>
      <c r="I490" s="11"/>
      <c r="J490" s="11"/>
      <c r="K490" s="11"/>
      <c r="L490" s="11"/>
      <c r="M490" s="11"/>
      <c r="N490" s="11"/>
      <c r="O490" s="35"/>
    </row>
    <row r="491" spans="1:15" ht="37.5" customHeight="1" x14ac:dyDescent="0.25">
      <c r="A491" s="38" t="str">
        <f t="shared" si="1"/>
        <v/>
      </c>
      <c r="B491" s="2"/>
      <c r="C491" s="2"/>
      <c r="D491" s="2"/>
      <c r="E491" s="2"/>
      <c r="F491" s="2"/>
      <c r="G491" s="39"/>
      <c r="H491" s="39"/>
      <c r="I491" s="11"/>
      <c r="J491" s="11"/>
      <c r="K491" s="11"/>
      <c r="L491" s="11"/>
      <c r="M491" s="11"/>
      <c r="N491" s="11"/>
      <c r="O491" s="35"/>
    </row>
    <row r="492" spans="1:15" ht="37.5" customHeight="1" x14ac:dyDescent="0.25">
      <c r="A492" s="38" t="str">
        <f t="shared" si="1"/>
        <v/>
      </c>
      <c r="B492" s="2"/>
      <c r="C492" s="2"/>
      <c r="D492" s="2"/>
      <c r="E492" s="2"/>
      <c r="F492" s="2"/>
      <c r="G492" s="39"/>
      <c r="H492" s="39"/>
      <c r="I492" s="11"/>
      <c r="J492" s="11"/>
      <c r="K492" s="11"/>
      <c r="L492" s="11"/>
      <c r="M492" s="11"/>
      <c r="N492" s="11"/>
      <c r="O492" s="35"/>
    </row>
    <row r="493" spans="1:15" ht="37.5" customHeight="1" x14ac:dyDescent="0.25">
      <c r="A493" s="38" t="str">
        <f t="shared" si="1"/>
        <v/>
      </c>
      <c r="B493" s="2"/>
      <c r="C493" s="2"/>
      <c r="D493" s="2"/>
      <c r="E493" s="2"/>
      <c r="F493" s="2"/>
      <c r="G493" s="39"/>
      <c r="H493" s="39"/>
      <c r="I493" s="11"/>
      <c r="J493" s="11"/>
      <c r="K493" s="11"/>
      <c r="L493" s="11"/>
      <c r="M493" s="11"/>
      <c r="N493" s="11"/>
      <c r="O493" s="35"/>
    </row>
    <row r="494" spans="1:15" ht="37.5" customHeight="1" x14ac:dyDescent="0.25">
      <c r="A494" s="38" t="str">
        <f t="shared" si="1"/>
        <v/>
      </c>
      <c r="B494" s="2"/>
      <c r="C494" s="2"/>
      <c r="D494" s="2"/>
      <c r="E494" s="2"/>
      <c r="F494" s="2"/>
      <c r="G494" s="39"/>
      <c r="H494" s="39"/>
      <c r="I494" s="11"/>
      <c r="J494" s="11"/>
      <c r="K494" s="11"/>
      <c r="L494" s="11"/>
      <c r="M494" s="11"/>
      <c r="N494" s="11"/>
      <c r="O494" s="35"/>
    </row>
    <row r="495" spans="1:15" ht="37.5" customHeight="1" x14ac:dyDescent="0.25">
      <c r="A495" s="38" t="str">
        <f t="shared" si="1"/>
        <v/>
      </c>
      <c r="B495" s="2"/>
      <c r="C495" s="2"/>
      <c r="D495" s="2"/>
      <c r="E495" s="2"/>
      <c r="F495" s="2"/>
      <c r="G495" s="39"/>
      <c r="H495" s="39"/>
      <c r="I495" s="11"/>
      <c r="J495" s="11"/>
      <c r="K495" s="11"/>
      <c r="L495" s="11"/>
      <c r="M495" s="11"/>
      <c r="N495" s="11"/>
      <c r="O495" s="35"/>
    </row>
    <row r="496" spans="1:15" ht="37.5" customHeight="1" x14ac:dyDescent="0.25">
      <c r="A496" s="38" t="str">
        <f t="shared" si="1"/>
        <v/>
      </c>
      <c r="B496" s="2"/>
      <c r="C496" s="2"/>
      <c r="D496" s="2"/>
      <c r="E496" s="2"/>
      <c r="F496" s="2"/>
      <c r="G496" s="39"/>
      <c r="H496" s="39"/>
      <c r="I496" s="11"/>
      <c r="J496" s="11"/>
      <c r="K496" s="11"/>
      <c r="L496" s="11"/>
      <c r="M496" s="11"/>
      <c r="N496" s="11"/>
      <c r="O496" s="35"/>
    </row>
    <row r="497" spans="1:15" ht="37.5" customHeight="1" x14ac:dyDescent="0.25">
      <c r="A497" s="38" t="str">
        <f t="shared" si="1"/>
        <v/>
      </c>
      <c r="B497" s="2"/>
      <c r="C497" s="2"/>
      <c r="D497" s="2"/>
      <c r="E497" s="2"/>
      <c r="F497" s="2"/>
      <c r="G497" s="39"/>
      <c r="H497" s="39"/>
      <c r="I497" s="11"/>
      <c r="J497" s="11"/>
      <c r="K497" s="11"/>
      <c r="L497" s="11"/>
      <c r="M497" s="11"/>
      <c r="N497" s="11"/>
      <c r="O497" s="35"/>
    </row>
    <row r="498" spans="1:15" ht="37.5" customHeight="1" x14ac:dyDescent="0.25">
      <c r="A498" s="38" t="str">
        <f t="shared" si="1"/>
        <v/>
      </c>
      <c r="B498" s="2"/>
      <c r="C498" s="2"/>
      <c r="D498" s="2"/>
      <c r="E498" s="2"/>
      <c r="F498" s="2"/>
      <c r="G498" s="39"/>
      <c r="H498" s="39"/>
      <c r="I498" s="11"/>
      <c r="J498" s="11"/>
      <c r="K498" s="11"/>
      <c r="L498" s="11"/>
      <c r="M498" s="11"/>
      <c r="N498" s="11"/>
      <c r="O498" s="35"/>
    </row>
    <row r="499" spans="1:15" ht="37.5" customHeight="1" x14ac:dyDescent="0.25">
      <c r="A499" s="38" t="str">
        <f t="shared" si="1"/>
        <v/>
      </c>
      <c r="B499" s="2"/>
      <c r="C499" s="2"/>
      <c r="D499" s="2"/>
      <c r="E499" s="2"/>
      <c r="F499" s="2"/>
      <c r="G499" s="39"/>
      <c r="H499" s="39"/>
      <c r="I499" s="11"/>
      <c r="J499" s="11"/>
      <c r="K499" s="11"/>
      <c r="L499" s="11"/>
      <c r="M499" s="11"/>
      <c r="N499" s="11"/>
      <c r="O499" s="35"/>
    </row>
    <row r="500" spans="1:15" ht="37.5" customHeight="1" x14ac:dyDescent="0.25">
      <c r="A500" s="38" t="str">
        <f t="shared" si="1"/>
        <v/>
      </c>
      <c r="B500" s="2"/>
      <c r="C500" s="2"/>
      <c r="D500" s="2"/>
      <c r="E500" s="2"/>
      <c r="F500" s="2"/>
      <c r="G500" s="39"/>
      <c r="H500" s="39"/>
      <c r="I500" s="11"/>
      <c r="J500" s="11"/>
      <c r="K500" s="11"/>
      <c r="L500" s="11"/>
      <c r="M500" s="11"/>
      <c r="N500" s="11"/>
      <c r="O500" s="35"/>
    </row>
    <row r="501" spans="1:15" ht="37.5" customHeight="1" x14ac:dyDescent="0.25">
      <c r="A501" s="38" t="str">
        <f t="shared" si="1"/>
        <v/>
      </c>
      <c r="B501" s="2"/>
      <c r="C501" s="2"/>
      <c r="D501" s="2"/>
      <c r="E501" s="2"/>
      <c r="F501" s="2"/>
      <c r="G501" s="39"/>
      <c r="H501" s="39"/>
      <c r="I501" s="11"/>
      <c r="J501" s="11"/>
      <c r="K501" s="11"/>
      <c r="L501" s="11"/>
      <c r="M501" s="11"/>
      <c r="N501" s="11"/>
      <c r="O501" s="35"/>
    </row>
    <row r="502" spans="1:15" ht="37.5" customHeight="1" x14ac:dyDescent="0.25">
      <c r="A502" s="38" t="str">
        <f t="shared" si="1"/>
        <v/>
      </c>
      <c r="B502" s="2"/>
      <c r="C502" s="2"/>
      <c r="D502" s="2"/>
      <c r="E502" s="2"/>
      <c r="F502" s="2"/>
      <c r="G502" s="39"/>
      <c r="H502" s="39"/>
      <c r="I502" s="11"/>
      <c r="J502" s="11"/>
      <c r="K502" s="11"/>
      <c r="L502" s="11"/>
      <c r="M502" s="11"/>
      <c r="N502" s="11"/>
      <c r="O502" s="35"/>
    </row>
    <row r="503" spans="1:15" ht="37.5" customHeight="1" x14ac:dyDescent="0.25">
      <c r="A503" s="38" t="str">
        <f t="shared" si="1"/>
        <v/>
      </c>
      <c r="B503" s="2"/>
      <c r="C503" s="2"/>
      <c r="D503" s="2"/>
      <c r="E503" s="2"/>
      <c r="F503" s="2"/>
      <c r="G503" s="39"/>
      <c r="H503" s="39"/>
      <c r="I503" s="11"/>
      <c r="J503" s="11"/>
      <c r="K503" s="11"/>
      <c r="L503" s="11"/>
      <c r="M503" s="11"/>
      <c r="N503" s="11"/>
      <c r="O503" s="35"/>
    </row>
    <row r="504" spans="1:15" ht="37.5" customHeight="1" x14ac:dyDescent="0.25">
      <c r="A504" s="38" t="str">
        <f t="shared" si="1"/>
        <v/>
      </c>
      <c r="B504" s="2"/>
      <c r="C504" s="2"/>
      <c r="D504" s="2"/>
      <c r="E504" s="2"/>
      <c r="F504" s="2"/>
      <c r="G504" s="39"/>
      <c r="H504" s="39"/>
      <c r="I504" s="11"/>
      <c r="J504" s="11"/>
      <c r="K504" s="11"/>
      <c r="L504" s="11"/>
      <c r="M504" s="11"/>
      <c r="N504" s="11"/>
      <c r="O504" s="35"/>
    </row>
    <row r="505" spans="1:15" ht="37.5" customHeight="1" x14ac:dyDescent="0.25">
      <c r="A505" s="38" t="str">
        <f t="shared" si="1"/>
        <v/>
      </c>
      <c r="B505" s="2"/>
      <c r="C505" s="2"/>
      <c r="D505" s="2"/>
      <c r="E505" s="2"/>
      <c r="F505" s="2"/>
      <c r="G505" s="39"/>
      <c r="H505" s="39"/>
      <c r="I505" s="11"/>
      <c r="J505" s="11"/>
      <c r="K505" s="11"/>
      <c r="L505" s="11"/>
      <c r="M505" s="11"/>
      <c r="N505" s="11"/>
      <c r="O505" s="35"/>
    </row>
    <row r="506" spans="1:15" ht="37.5" customHeight="1" x14ac:dyDescent="0.25">
      <c r="A506" s="38" t="str">
        <f t="shared" si="1"/>
        <v/>
      </c>
      <c r="B506" s="2"/>
      <c r="C506" s="2"/>
      <c r="D506" s="2"/>
      <c r="E506" s="2"/>
      <c r="F506" s="2"/>
      <c r="G506" s="39"/>
      <c r="H506" s="39"/>
      <c r="I506" s="11"/>
      <c r="J506" s="11"/>
      <c r="K506" s="11"/>
      <c r="L506" s="11"/>
      <c r="M506" s="11"/>
      <c r="N506" s="11"/>
      <c r="O506" s="35"/>
    </row>
    <row r="507" spans="1:15" ht="37.5" customHeight="1" x14ac:dyDescent="0.25">
      <c r="A507" s="38" t="str">
        <f t="shared" si="1"/>
        <v/>
      </c>
      <c r="B507" s="2"/>
      <c r="C507" s="2"/>
      <c r="D507" s="2"/>
      <c r="E507" s="2"/>
      <c r="F507" s="2"/>
      <c r="G507" s="39"/>
      <c r="H507" s="39"/>
      <c r="I507" s="11"/>
      <c r="J507" s="11"/>
      <c r="K507" s="11"/>
      <c r="L507" s="11"/>
      <c r="M507" s="11"/>
      <c r="N507" s="11"/>
      <c r="O507" s="35"/>
    </row>
    <row r="508" spans="1:15" ht="37.5" customHeight="1" x14ac:dyDescent="0.25">
      <c r="A508" s="38" t="str">
        <f t="shared" si="1"/>
        <v/>
      </c>
      <c r="B508" s="2"/>
      <c r="C508" s="2"/>
      <c r="D508" s="2"/>
      <c r="E508" s="2"/>
      <c r="F508" s="2"/>
      <c r="G508" s="39"/>
      <c r="H508" s="39"/>
      <c r="I508" s="11"/>
      <c r="J508" s="11"/>
      <c r="K508" s="11"/>
      <c r="L508" s="11"/>
      <c r="M508" s="11"/>
      <c r="N508" s="11"/>
      <c r="O508" s="35"/>
    </row>
    <row r="509" spans="1:15" ht="37.5" customHeight="1" x14ac:dyDescent="0.25">
      <c r="A509" s="38" t="str">
        <f t="shared" si="1"/>
        <v/>
      </c>
      <c r="B509" s="2"/>
      <c r="C509" s="2"/>
      <c r="D509" s="2"/>
      <c r="E509" s="2"/>
      <c r="F509" s="2"/>
      <c r="G509" s="39"/>
      <c r="H509" s="39"/>
      <c r="I509" s="11"/>
      <c r="J509" s="11"/>
      <c r="K509" s="11"/>
      <c r="L509" s="11"/>
      <c r="M509" s="11"/>
      <c r="N509" s="11"/>
      <c r="O509" s="35"/>
    </row>
    <row r="510" spans="1:15" ht="37.5" customHeight="1" x14ac:dyDescent="0.25">
      <c r="A510" s="38" t="str">
        <f t="shared" si="1"/>
        <v/>
      </c>
      <c r="B510" s="2"/>
      <c r="C510" s="2"/>
      <c r="D510" s="2"/>
      <c r="E510" s="2"/>
      <c r="F510" s="2"/>
      <c r="G510" s="39"/>
      <c r="H510" s="39"/>
      <c r="I510" s="11"/>
      <c r="J510" s="11"/>
      <c r="K510" s="11"/>
      <c r="L510" s="11"/>
      <c r="M510" s="11"/>
      <c r="N510" s="11"/>
      <c r="O510" s="35"/>
    </row>
    <row r="511" spans="1:15" ht="37.5" customHeight="1" x14ac:dyDescent="0.25">
      <c r="A511" s="38" t="str">
        <f t="shared" si="1"/>
        <v/>
      </c>
      <c r="B511" s="2"/>
      <c r="C511" s="2"/>
      <c r="D511" s="2"/>
      <c r="E511" s="2"/>
      <c r="F511" s="2"/>
      <c r="G511" s="39"/>
      <c r="H511" s="39"/>
      <c r="I511" s="11"/>
      <c r="J511" s="11"/>
      <c r="K511" s="11"/>
      <c r="L511" s="11"/>
      <c r="M511" s="11"/>
      <c r="N511" s="11"/>
      <c r="O511" s="35"/>
    </row>
    <row r="512" spans="1:15" ht="37.5" customHeight="1" x14ac:dyDescent="0.25">
      <c r="A512" s="38" t="str">
        <f t="shared" si="1"/>
        <v/>
      </c>
      <c r="B512" s="2"/>
      <c r="C512" s="2"/>
      <c r="D512" s="2"/>
      <c r="E512" s="2"/>
      <c r="F512" s="2"/>
      <c r="G512" s="39"/>
      <c r="H512" s="39"/>
      <c r="I512" s="11"/>
      <c r="J512" s="11"/>
      <c r="K512" s="11"/>
      <c r="L512" s="11"/>
      <c r="M512" s="11"/>
      <c r="N512" s="11"/>
      <c r="O512" s="35"/>
    </row>
    <row r="513" spans="1:15" ht="37.5" customHeight="1" x14ac:dyDescent="0.25">
      <c r="A513" s="38" t="str">
        <f t="shared" si="1"/>
        <v/>
      </c>
      <c r="B513" s="2"/>
      <c r="C513" s="2"/>
      <c r="D513" s="2"/>
      <c r="E513" s="2"/>
      <c r="F513" s="2"/>
      <c r="G513" s="39"/>
      <c r="H513" s="39"/>
      <c r="I513" s="11"/>
      <c r="J513" s="11"/>
      <c r="K513" s="11"/>
      <c r="L513" s="11"/>
      <c r="M513" s="11"/>
      <c r="N513" s="11"/>
      <c r="O513" s="35"/>
    </row>
    <row r="514" spans="1:15" ht="37.5" customHeight="1" x14ac:dyDescent="0.25">
      <c r="A514" s="38" t="str">
        <f t="shared" si="1"/>
        <v/>
      </c>
      <c r="B514" s="2"/>
      <c r="C514" s="2"/>
      <c r="D514" s="2"/>
      <c r="E514" s="2"/>
      <c r="F514" s="2"/>
      <c r="G514" s="39"/>
      <c r="H514" s="39"/>
      <c r="I514" s="11"/>
      <c r="J514" s="11"/>
      <c r="K514" s="11"/>
      <c r="L514" s="11"/>
      <c r="M514" s="11"/>
      <c r="N514" s="11"/>
      <c r="O514" s="35"/>
    </row>
    <row r="515" spans="1:15" ht="37.5" customHeight="1" x14ac:dyDescent="0.25">
      <c r="A515" s="38" t="str">
        <f t="shared" si="1"/>
        <v/>
      </c>
      <c r="B515" s="2"/>
      <c r="C515" s="2"/>
      <c r="D515" s="2"/>
      <c r="E515" s="2"/>
      <c r="F515" s="2"/>
      <c r="G515" s="39"/>
      <c r="H515" s="39"/>
      <c r="I515" s="11"/>
      <c r="J515" s="11"/>
      <c r="K515" s="11"/>
      <c r="L515" s="11"/>
      <c r="M515" s="11"/>
      <c r="N515" s="11"/>
      <c r="O515" s="35"/>
    </row>
    <row r="516" spans="1:15" ht="37.5" customHeight="1" x14ac:dyDescent="0.25">
      <c r="A516" s="38" t="str">
        <f t="shared" si="1"/>
        <v/>
      </c>
      <c r="B516" s="2"/>
      <c r="C516" s="2"/>
      <c r="D516" s="2"/>
      <c r="E516" s="2"/>
      <c r="F516" s="2"/>
      <c r="G516" s="39"/>
      <c r="H516" s="39"/>
      <c r="I516" s="11"/>
      <c r="J516" s="11"/>
      <c r="K516" s="11"/>
      <c r="L516" s="11"/>
      <c r="M516" s="11"/>
      <c r="N516" s="11"/>
      <c r="O516" s="35"/>
    </row>
    <row r="517" spans="1:15" ht="37.5" customHeight="1" x14ac:dyDescent="0.25">
      <c r="A517" s="38" t="str">
        <f t="shared" si="1"/>
        <v/>
      </c>
      <c r="B517" s="2"/>
      <c r="C517" s="2"/>
      <c r="D517" s="2"/>
      <c r="E517" s="2"/>
      <c r="F517" s="2"/>
      <c r="G517" s="39"/>
      <c r="H517" s="39"/>
      <c r="I517" s="11"/>
      <c r="J517" s="11"/>
      <c r="K517" s="11"/>
      <c r="L517" s="11"/>
      <c r="M517" s="11"/>
      <c r="N517" s="11"/>
      <c r="O517" s="35"/>
    </row>
    <row r="518" spans="1:15" ht="37.5" customHeight="1" x14ac:dyDescent="0.25">
      <c r="A518" s="38" t="str">
        <f t="shared" si="1"/>
        <v/>
      </c>
      <c r="B518" s="2"/>
      <c r="C518" s="2"/>
      <c r="D518" s="2"/>
      <c r="E518" s="2"/>
      <c r="F518" s="2"/>
      <c r="G518" s="39"/>
      <c r="H518" s="39"/>
      <c r="I518" s="11"/>
      <c r="J518" s="11"/>
      <c r="K518" s="11"/>
      <c r="L518" s="11"/>
      <c r="M518" s="11"/>
      <c r="N518" s="11"/>
      <c r="O518" s="35"/>
    </row>
    <row r="519" spans="1:15" ht="37.5" customHeight="1" x14ac:dyDescent="0.25">
      <c r="A519" s="38" t="str">
        <f t="shared" si="1"/>
        <v/>
      </c>
      <c r="B519" s="2"/>
      <c r="C519" s="2"/>
      <c r="D519" s="2"/>
      <c r="E519" s="2"/>
      <c r="F519" s="2"/>
      <c r="G519" s="39"/>
      <c r="H519" s="39"/>
      <c r="I519" s="11"/>
      <c r="J519" s="11"/>
      <c r="K519" s="11"/>
      <c r="L519" s="11"/>
      <c r="M519" s="11"/>
      <c r="N519" s="11"/>
      <c r="O519" s="35"/>
    </row>
    <row r="520" spans="1:15" ht="37.5" customHeight="1" x14ac:dyDescent="0.25">
      <c r="A520" s="38" t="str">
        <f t="shared" si="1"/>
        <v/>
      </c>
      <c r="B520" s="2"/>
      <c r="C520" s="2"/>
      <c r="D520" s="2"/>
      <c r="E520" s="2"/>
      <c r="F520" s="2"/>
      <c r="G520" s="39"/>
      <c r="H520" s="39"/>
      <c r="I520" s="11"/>
      <c r="J520" s="11"/>
      <c r="K520" s="11"/>
      <c r="L520" s="11"/>
      <c r="M520" s="11"/>
      <c r="N520" s="11"/>
      <c r="O520" s="35"/>
    </row>
    <row r="521" spans="1:15" ht="37.5" customHeight="1" x14ac:dyDescent="0.25">
      <c r="A521" s="38" t="str">
        <f t="shared" si="1"/>
        <v/>
      </c>
      <c r="B521" s="2"/>
      <c r="C521" s="2"/>
      <c r="D521" s="2"/>
      <c r="E521" s="2"/>
      <c r="F521" s="2"/>
      <c r="G521" s="39"/>
      <c r="H521" s="39"/>
      <c r="I521" s="11"/>
      <c r="J521" s="11"/>
      <c r="K521" s="11"/>
      <c r="L521" s="11"/>
      <c r="M521" s="11"/>
      <c r="N521" s="11"/>
      <c r="O521" s="35"/>
    </row>
    <row r="522" spans="1:15" ht="37.5" customHeight="1" x14ac:dyDescent="0.25">
      <c r="A522" s="38" t="str">
        <f t="shared" si="1"/>
        <v/>
      </c>
      <c r="B522" s="2"/>
      <c r="C522" s="2"/>
      <c r="D522" s="2"/>
      <c r="E522" s="2"/>
      <c r="F522" s="2"/>
      <c r="G522" s="39"/>
      <c r="H522" s="39"/>
      <c r="I522" s="11"/>
      <c r="J522" s="11"/>
      <c r="K522" s="11"/>
      <c r="L522" s="11"/>
      <c r="M522" s="11"/>
      <c r="N522" s="11"/>
      <c r="O522" s="35"/>
    </row>
    <row r="523" spans="1:15" ht="37.5" customHeight="1" x14ac:dyDescent="0.25">
      <c r="A523" s="38" t="str">
        <f t="shared" si="1"/>
        <v/>
      </c>
      <c r="B523" s="2"/>
      <c r="C523" s="2"/>
      <c r="D523" s="2"/>
      <c r="E523" s="2"/>
      <c r="F523" s="2"/>
      <c r="G523" s="39"/>
      <c r="H523" s="39"/>
      <c r="I523" s="11"/>
      <c r="J523" s="11"/>
      <c r="K523" s="11"/>
      <c r="L523" s="11"/>
      <c r="M523" s="11"/>
      <c r="N523" s="11"/>
      <c r="O523" s="35"/>
    </row>
    <row r="524" spans="1:15" ht="37.5" customHeight="1" x14ac:dyDescent="0.25">
      <c r="A524" s="38" t="str">
        <f t="shared" si="1"/>
        <v/>
      </c>
      <c r="B524" s="2"/>
      <c r="C524" s="2"/>
      <c r="D524" s="2"/>
      <c r="E524" s="2"/>
      <c r="F524" s="2"/>
      <c r="G524" s="39"/>
      <c r="H524" s="39"/>
      <c r="I524" s="11"/>
      <c r="J524" s="11"/>
      <c r="K524" s="11"/>
      <c r="L524" s="11"/>
      <c r="M524" s="11"/>
      <c r="N524" s="11"/>
      <c r="O524" s="35"/>
    </row>
    <row r="525" spans="1:15" ht="37.5" customHeight="1" x14ac:dyDescent="0.25">
      <c r="A525" s="38" t="str">
        <f t="shared" si="1"/>
        <v/>
      </c>
      <c r="B525" s="2"/>
      <c r="C525" s="2"/>
      <c r="D525" s="2"/>
      <c r="E525" s="2"/>
      <c r="F525" s="2"/>
      <c r="G525" s="39"/>
      <c r="H525" s="39"/>
      <c r="I525" s="11"/>
      <c r="J525" s="11"/>
      <c r="K525" s="11"/>
      <c r="L525" s="11"/>
      <c r="M525" s="11"/>
      <c r="N525" s="11"/>
      <c r="O525" s="35"/>
    </row>
    <row r="526" spans="1:15" ht="37.5" customHeight="1" x14ac:dyDescent="0.25">
      <c r="A526" s="38" t="str">
        <f t="shared" si="1"/>
        <v/>
      </c>
      <c r="B526" s="2"/>
      <c r="C526" s="2"/>
      <c r="D526" s="2"/>
      <c r="E526" s="2"/>
      <c r="F526" s="2"/>
      <c r="G526" s="39"/>
      <c r="H526" s="39"/>
      <c r="I526" s="11"/>
      <c r="J526" s="11"/>
      <c r="K526" s="11"/>
      <c r="L526" s="11"/>
      <c r="M526" s="11"/>
      <c r="N526" s="11"/>
      <c r="O526" s="35"/>
    </row>
    <row r="527" spans="1:15" ht="37.5" customHeight="1" x14ac:dyDescent="0.25">
      <c r="A527" s="38" t="str">
        <f t="shared" si="1"/>
        <v/>
      </c>
      <c r="B527" s="2"/>
      <c r="C527" s="2"/>
      <c r="D527" s="2"/>
      <c r="E527" s="2"/>
      <c r="F527" s="2"/>
      <c r="G527" s="39"/>
      <c r="H527" s="39"/>
      <c r="I527" s="11"/>
      <c r="J527" s="11"/>
      <c r="K527" s="11"/>
      <c r="L527" s="11"/>
      <c r="M527" s="11"/>
      <c r="N527" s="11"/>
      <c r="O527" s="35"/>
    </row>
    <row r="528" spans="1:15" ht="37.5" customHeight="1" x14ac:dyDescent="0.25">
      <c r="A528" s="38" t="str">
        <f t="shared" si="1"/>
        <v/>
      </c>
      <c r="B528" s="2"/>
      <c r="C528" s="2"/>
      <c r="D528" s="2"/>
      <c r="E528" s="2"/>
      <c r="F528" s="2"/>
      <c r="G528" s="39"/>
      <c r="H528" s="39"/>
      <c r="I528" s="11"/>
      <c r="J528" s="11"/>
      <c r="K528" s="11"/>
      <c r="L528" s="11"/>
      <c r="M528" s="11"/>
      <c r="N528" s="11"/>
      <c r="O528" s="35"/>
    </row>
    <row r="529" spans="1:15" ht="37.5" customHeight="1" x14ac:dyDescent="0.25">
      <c r="A529" s="38" t="str">
        <f t="shared" si="1"/>
        <v/>
      </c>
      <c r="B529" s="2"/>
      <c r="C529" s="2"/>
      <c r="D529" s="2"/>
      <c r="E529" s="2"/>
      <c r="F529" s="2"/>
      <c r="G529" s="39"/>
      <c r="H529" s="39"/>
      <c r="I529" s="11"/>
      <c r="J529" s="11"/>
      <c r="K529" s="11"/>
      <c r="L529" s="11"/>
      <c r="M529" s="11"/>
      <c r="N529" s="11"/>
      <c r="O529" s="35"/>
    </row>
    <row r="530" spans="1:15" ht="37.5" customHeight="1" x14ac:dyDescent="0.25">
      <c r="A530" s="38" t="str">
        <f t="shared" si="1"/>
        <v/>
      </c>
      <c r="B530" s="2"/>
      <c r="C530" s="2"/>
      <c r="D530" s="2"/>
      <c r="E530" s="2"/>
      <c r="F530" s="2"/>
      <c r="G530" s="39"/>
      <c r="H530" s="39"/>
      <c r="I530" s="11"/>
      <c r="J530" s="11"/>
      <c r="K530" s="11"/>
      <c r="L530" s="11"/>
      <c r="M530" s="11"/>
      <c r="N530" s="11"/>
      <c r="O530" s="35"/>
    </row>
    <row r="531" spans="1:15" ht="37.5" customHeight="1" x14ac:dyDescent="0.25">
      <c r="A531" s="38" t="str">
        <f t="shared" si="1"/>
        <v/>
      </c>
      <c r="B531" s="2"/>
      <c r="C531" s="2"/>
      <c r="D531" s="2"/>
      <c r="E531" s="2"/>
      <c r="F531" s="2"/>
      <c r="G531" s="39"/>
      <c r="H531" s="39"/>
      <c r="I531" s="11"/>
      <c r="J531" s="11"/>
      <c r="K531" s="11"/>
      <c r="L531" s="11"/>
      <c r="M531" s="11"/>
      <c r="N531" s="11"/>
      <c r="O531" s="35"/>
    </row>
    <row r="532" spans="1:15" ht="37.5" customHeight="1" x14ac:dyDescent="0.25">
      <c r="A532" s="38" t="str">
        <f t="shared" si="1"/>
        <v/>
      </c>
      <c r="B532" s="2"/>
      <c r="C532" s="2"/>
      <c r="D532" s="2"/>
      <c r="E532" s="2"/>
      <c r="F532" s="2"/>
      <c r="G532" s="39"/>
      <c r="H532" s="39"/>
      <c r="I532" s="11"/>
      <c r="J532" s="11"/>
      <c r="K532" s="11"/>
      <c r="L532" s="11"/>
      <c r="M532" s="11"/>
      <c r="N532" s="11"/>
      <c r="O532" s="35"/>
    </row>
    <row r="533" spans="1:15" ht="37.5" customHeight="1" x14ac:dyDescent="0.25">
      <c r="A533" s="38" t="str">
        <f t="shared" si="1"/>
        <v/>
      </c>
      <c r="B533" s="2"/>
      <c r="C533" s="2"/>
      <c r="D533" s="2"/>
      <c r="E533" s="2"/>
      <c r="F533" s="2"/>
      <c r="G533" s="39"/>
      <c r="H533" s="39"/>
      <c r="I533" s="11"/>
      <c r="J533" s="11"/>
      <c r="K533" s="11"/>
      <c r="L533" s="11"/>
      <c r="M533" s="11"/>
      <c r="N533" s="11"/>
      <c r="O533" s="35"/>
    </row>
    <row r="534" spans="1:15" ht="37.5" customHeight="1" x14ac:dyDescent="0.25">
      <c r="A534" s="38" t="str">
        <f t="shared" si="1"/>
        <v/>
      </c>
      <c r="B534" s="2"/>
      <c r="C534" s="2"/>
      <c r="D534" s="2"/>
      <c r="E534" s="2"/>
      <c r="F534" s="2"/>
      <c r="G534" s="39"/>
      <c r="H534" s="39"/>
      <c r="I534" s="11"/>
      <c r="J534" s="11"/>
      <c r="K534" s="11"/>
      <c r="L534" s="11"/>
      <c r="M534" s="11"/>
      <c r="N534" s="11"/>
      <c r="O534" s="35"/>
    </row>
    <row r="535" spans="1:15" ht="37.5" customHeight="1" x14ac:dyDescent="0.25">
      <c r="A535" s="38" t="str">
        <f t="shared" si="1"/>
        <v/>
      </c>
      <c r="B535" s="2"/>
      <c r="C535" s="2"/>
      <c r="D535" s="2"/>
      <c r="E535" s="2"/>
      <c r="F535" s="2"/>
      <c r="G535" s="39"/>
      <c r="H535" s="39"/>
      <c r="I535" s="11"/>
      <c r="J535" s="11"/>
      <c r="K535" s="11"/>
      <c r="L535" s="11"/>
      <c r="M535" s="11"/>
      <c r="N535" s="11"/>
      <c r="O535" s="35"/>
    </row>
    <row r="536" spans="1:15" ht="37.5" customHeight="1" x14ac:dyDescent="0.25">
      <c r="A536" s="38" t="str">
        <f t="shared" si="1"/>
        <v/>
      </c>
      <c r="B536" s="2"/>
      <c r="C536" s="2"/>
      <c r="D536" s="2"/>
      <c r="E536" s="2"/>
      <c r="F536" s="2"/>
      <c r="G536" s="39"/>
      <c r="H536" s="39"/>
      <c r="I536" s="11"/>
      <c r="J536" s="11"/>
      <c r="K536" s="11"/>
      <c r="L536" s="11"/>
      <c r="M536" s="11"/>
      <c r="N536" s="11"/>
      <c r="O536" s="35"/>
    </row>
    <row r="537" spans="1:15" ht="37.5" customHeight="1" x14ac:dyDescent="0.25">
      <c r="A537" s="38" t="str">
        <f t="shared" si="1"/>
        <v/>
      </c>
      <c r="B537" s="2"/>
      <c r="C537" s="2"/>
      <c r="D537" s="2"/>
      <c r="E537" s="2"/>
      <c r="F537" s="2"/>
      <c r="G537" s="39"/>
      <c r="H537" s="39"/>
      <c r="I537" s="11"/>
      <c r="J537" s="11"/>
      <c r="K537" s="11"/>
      <c r="L537" s="11"/>
      <c r="M537" s="11"/>
      <c r="N537" s="11"/>
      <c r="O537" s="35"/>
    </row>
    <row r="538" spans="1:15" ht="37.5" customHeight="1" x14ac:dyDescent="0.25">
      <c r="A538" s="38" t="str">
        <f t="shared" si="1"/>
        <v/>
      </c>
      <c r="B538" s="2"/>
      <c r="C538" s="2"/>
      <c r="D538" s="2"/>
      <c r="E538" s="2"/>
      <c r="F538" s="2"/>
      <c r="G538" s="39"/>
      <c r="H538" s="39"/>
      <c r="I538" s="11"/>
      <c r="J538" s="11"/>
      <c r="K538" s="11"/>
      <c r="L538" s="11"/>
      <c r="M538" s="11"/>
      <c r="N538" s="11"/>
      <c r="O538" s="35"/>
    </row>
    <row r="539" spans="1:15" ht="37.5" customHeight="1" x14ac:dyDescent="0.25">
      <c r="A539" s="38" t="str">
        <f t="shared" si="1"/>
        <v/>
      </c>
      <c r="B539" s="2"/>
      <c r="C539" s="2"/>
      <c r="D539" s="2"/>
      <c r="E539" s="2"/>
      <c r="F539" s="2"/>
      <c r="G539" s="39"/>
      <c r="H539" s="39"/>
      <c r="I539" s="11"/>
      <c r="J539" s="11"/>
      <c r="K539" s="11"/>
      <c r="L539" s="11"/>
      <c r="M539" s="11"/>
      <c r="N539" s="11"/>
      <c r="O539" s="35"/>
    </row>
    <row r="540" spans="1:15" ht="37.5" customHeight="1" x14ac:dyDescent="0.25">
      <c r="A540" s="38" t="str">
        <f t="shared" si="1"/>
        <v/>
      </c>
      <c r="B540" s="2"/>
      <c r="C540" s="2"/>
      <c r="D540" s="2"/>
      <c r="E540" s="2"/>
      <c r="F540" s="2"/>
      <c r="G540" s="39"/>
      <c r="H540" s="39"/>
      <c r="I540" s="11"/>
      <c r="J540" s="11"/>
      <c r="K540" s="11"/>
      <c r="L540" s="11"/>
      <c r="M540" s="11"/>
      <c r="N540" s="11"/>
      <c r="O540" s="35"/>
    </row>
    <row r="541" spans="1:15" ht="37.5" customHeight="1" x14ac:dyDescent="0.25">
      <c r="A541" s="38" t="str">
        <f t="shared" si="1"/>
        <v/>
      </c>
      <c r="B541" s="2"/>
      <c r="C541" s="2"/>
      <c r="D541" s="2"/>
      <c r="E541" s="2"/>
      <c r="F541" s="2"/>
      <c r="G541" s="39"/>
      <c r="H541" s="39"/>
      <c r="I541" s="11"/>
      <c r="J541" s="11"/>
      <c r="K541" s="11"/>
      <c r="L541" s="11"/>
      <c r="M541" s="11"/>
      <c r="N541" s="11"/>
      <c r="O541" s="35"/>
    </row>
    <row r="542" spans="1:15" ht="37.5" customHeight="1" x14ac:dyDescent="0.25">
      <c r="A542" s="38" t="str">
        <f t="shared" si="1"/>
        <v/>
      </c>
      <c r="B542" s="2"/>
      <c r="C542" s="2"/>
      <c r="D542" s="2"/>
      <c r="E542" s="2"/>
      <c r="F542" s="2"/>
      <c r="G542" s="39"/>
      <c r="H542" s="39"/>
      <c r="I542" s="11"/>
      <c r="J542" s="11"/>
      <c r="K542" s="11"/>
      <c r="L542" s="11"/>
      <c r="M542" s="11"/>
      <c r="N542" s="11"/>
      <c r="O542" s="35"/>
    </row>
    <row r="543" spans="1:15" ht="37.5" customHeight="1" x14ac:dyDescent="0.25">
      <c r="A543" s="38" t="str">
        <f t="shared" si="1"/>
        <v/>
      </c>
      <c r="B543" s="2"/>
      <c r="C543" s="2"/>
      <c r="D543" s="2"/>
      <c r="E543" s="2"/>
      <c r="F543" s="2"/>
      <c r="G543" s="39"/>
      <c r="H543" s="39"/>
      <c r="I543" s="11"/>
      <c r="J543" s="11"/>
      <c r="K543" s="11"/>
      <c r="L543" s="11"/>
      <c r="M543" s="11"/>
      <c r="N543" s="11"/>
      <c r="O543" s="35"/>
    </row>
    <row r="544" spans="1:15" ht="37.5" customHeight="1" x14ac:dyDescent="0.25">
      <c r="A544" s="38" t="str">
        <f t="shared" si="1"/>
        <v/>
      </c>
      <c r="B544" s="2"/>
      <c r="C544" s="2"/>
      <c r="D544" s="2"/>
      <c r="E544" s="2"/>
      <c r="F544" s="2"/>
      <c r="G544" s="39"/>
      <c r="H544" s="39"/>
      <c r="I544" s="11"/>
      <c r="J544" s="11"/>
      <c r="K544" s="11"/>
      <c r="L544" s="11"/>
      <c r="M544" s="11"/>
      <c r="N544" s="11"/>
      <c r="O544" s="35"/>
    </row>
    <row r="545" spans="1:15" ht="37.5" customHeight="1" x14ac:dyDescent="0.25">
      <c r="A545" s="38" t="str">
        <f t="shared" si="1"/>
        <v/>
      </c>
      <c r="B545" s="2"/>
      <c r="C545" s="2"/>
      <c r="D545" s="2"/>
      <c r="E545" s="2"/>
      <c r="F545" s="2"/>
      <c r="G545" s="39"/>
      <c r="H545" s="39"/>
      <c r="I545" s="11"/>
      <c r="J545" s="11"/>
      <c r="K545" s="11"/>
      <c r="L545" s="11"/>
      <c r="M545" s="11"/>
      <c r="N545" s="11"/>
      <c r="O545" s="35"/>
    </row>
    <row r="546" spans="1:15" ht="37.5" customHeight="1" x14ac:dyDescent="0.25">
      <c r="A546" s="38" t="str">
        <f t="shared" si="1"/>
        <v/>
      </c>
      <c r="B546" s="2"/>
      <c r="C546" s="2"/>
      <c r="D546" s="2"/>
      <c r="E546" s="2"/>
      <c r="F546" s="2"/>
      <c r="G546" s="39"/>
      <c r="H546" s="39"/>
      <c r="I546" s="11"/>
      <c r="J546" s="11"/>
      <c r="K546" s="11"/>
      <c r="L546" s="11"/>
      <c r="M546" s="11"/>
      <c r="N546" s="11"/>
      <c r="O546" s="35"/>
    </row>
    <row r="547" spans="1:15" ht="37.5" customHeight="1" x14ac:dyDescent="0.25">
      <c r="A547" s="38" t="str">
        <f t="shared" si="1"/>
        <v/>
      </c>
      <c r="B547" s="2"/>
      <c r="C547" s="2"/>
      <c r="D547" s="2"/>
      <c r="E547" s="2"/>
      <c r="F547" s="2"/>
      <c r="G547" s="39"/>
      <c r="H547" s="39"/>
      <c r="I547" s="11"/>
      <c r="J547" s="11"/>
      <c r="K547" s="11"/>
      <c r="L547" s="11"/>
      <c r="M547" s="11"/>
      <c r="N547" s="11"/>
      <c r="O547" s="35"/>
    </row>
    <row r="548" spans="1:15" ht="37.5" customHeight="1" x14ac:dyDescent="0.25">
      <c r="A548" s="38" t="str">
        <f t="shared" si="1"/>
        <v/>
      </c>
      <c r="B548" s="2"/>
      <c r="C548" s="2"/>
      <c r="D548" s="2"/>
      <c r="E548" s="2"/>
      <c r="F548" s="2"/>
      <c r="G548" s="39"/>
      <c r="H548" s="39"/>
      <c r="I548" s="11"/>
      <c r="J548" s="11"/>
      <c r="K548" s="11"/>
      <c r="L548" s="11"/>
      <c r="M548" s="11"/>
      <c r="N548" s="11"/>
      <c r="O548" s="35"/>
    </row>
    <row r="549" spans="1:15" ht="37.5" customHeight="1" x14ac:dyDescent="0.25">
      <c r="A549" s="38" t="str">
        <f t="shared" si="1"/>
        <v/>
      </c>
      <c r="B549" s="2"/>
      <c r="C549" s="2"/>
      <c r="D549" s="2"/>
      <c r="E549" s="2"/>
      <c r="F549" s="2"/>
      <c r="G549" s="39"/>
      <c r="H549" s="39"/>
      <c r="I549" s="11"/>
      <c r="J549" s="11"/>
      <c r="K549" s="11"/>
      <c r="L549" s="11"/>
      <c r="M549" s="11"/>
      <c r="N549" s="11"/>
      <c r="O549" s="35"/>
    </row>
    <row r="550" spans="1:15" ht="37.5" customHeight="1" x14ac:dyDescent="0.25">
      <c r="A550" s="38" t="str">
        <f t="shared" si="1"/>
        <v/>
      </c>
      <c r="B550" s="2"/>
      <c r="C550" s="2"/>
      <c r="D550" s="2"/>
      <c r="E550" s="2"/>
      <c r="F550" s="2"/>
      <c r="G550" s="39"/>
      <c r="H550" s="39"/>
      <c r="I550" s="11"/>
      <c r="J550" s="11"/>
      <c r="K550" s="11"/>
      <c r="L550" s="11"/>
      <c r="M550" s="11"/>
      <c r="N550" s="11"/>
      <c r="O550" s="35"/>
    </row>
    <row r="551" spans="1:15" ht="37.5" customHeight="1" x14ac:dyDescent="0.25">
      <c r="A551" s="38" t="str">
        <f t="shared" si="1"/>
        <v/>
      </c>
      <c r="B551" s="2"/>
      <c r="C551" s="2"/>
      <c r="D551" s="2"/>
      <c r="E551" s="2"/>
      <c r="F551" s="2"/>
      <c r="G551" s="39"/>
      <c r="H551" s="39"/>
      <c r="I551" s="11"/>
      <c r="J551" s="11"/>
      <c r="K551" s="11"/>
      <c r="L551" s="11"/>
      <c r="M551" s="11"/>
      <c r="N551" s="11"/>
      <c r="O551" s="35"/>
    </row>
    <row r="552" spans="1:15" ht="37.5" customHeight="1" x14ac:dyDescent="0.25">
      <c r="A552" s="38" t="str">
        <f t="shared" si="1"/>
        <v/>
      </c>
      <c r="B552" s="2"/>
      <c r="C552" s="2"/>
      <c r="D552" s="2"/>
      <c r="E552" s="2"/>
      <c r="F552" s="2"/>
      <c r="G552" s="39"/>
      <c r="H552" s="39"/>
      <c r="I552" s="11"/>
      <c r="J552" s="11"/>
      <c r="K552" s="11"/>
      <c r="L552" s="11"/>
      <c r="M552" s="11"/>
      <c r="N552" s="11"/>
      <c r="O552" s="35"/>
    </row>
    <row r="553" spans="1:15" ht="37.5" customHeight="1" x14ac:dyDescent="0.25">
      <c r="A553" s="38" t="str">
        <f t="shared" si="1"/>
        <v/>
      </c>
      <c r="B553" s="2"/>
      <c r="C553" s="2"/>
      <c r="D553" s="2"/>
      <c r="E553" s="2"/>
      <c r="F553" s="2"/>
      <c r="G553" s="39"/>
      <c r="H553" s="39"/>
      <c r="I553" s="11"/>
      <c r="J553" s="11"/>
      <c r="K553" s="11"/>
      <c r="L553" s="11"/>
      <c r="M553" s="11"/>
      <c r="N553" s="11"/>
      <c r="O553" s="35"/>
    </row>
    <row r="554" spans="1:15" ht="37.5" customHeight="1" x14ac:dyDescent="0.25">
      <c r="A554" s="38" t="str">
        <f t="shared" si="1"/>
        <v/>
      </c>
      <c r="B554" s="2"/>
      <c r="C554" s="2"/>
      <c r="D554" s="2"/>
      <c r="E554" s="2"/>
      <c r="F554" s="2"/>
      <c r="G554" s="39"/>
      <c r="H554" s="39"/>
      <c r="I554" s="11"/>
      <c r="J554" s="11"/>
      <c r="K554" s="11"/>
      <c r="L554" s="11"/>
      <c r="M554" s="11"/>
      <c r="N554" s="11"/>
      <c r="O554" s="35"/>
    </row>
    <row r="555" spans="1:15" ht="37.5" customHeight="1" x14ac:dyDescent="0.25">
      <c r="A555" s="38" t="str">
        <f t="shared" si="1"/>
        <v/>
      </c>
      <c r="B555" s="2"/>
      <c r="C555" s="2"/>
      <c r="D555" s="2"/>
      <c r="E555" s="2"/>
      <c r="F555" s="2"/>
      <c r="G555" s="39"/>
      <c r="H555" s="39"/>
      <c r="I555" s="11"/>
      <c r="J555" s="11"/>
      <c r="K555" s="11"/>
      <c r="L555" s="11"/>
      <c r="M555" s="11"/>
      <c r="N555" s="11"/>
      <c r="O555" s="35"/>
    </row>
    <row r="556" spans="1:15" ht="37.5" customHeight="1" x14ac:dyDescent="0.25">
      <c r="A556" s="38" t="str">
        <f t="shared" si="1"/>
        <v/>
      </c>
      <c r="B556" s="2"/>
      <c r="C556" s="2"/>
      <c r="D556" s="2"/>
      <c r="E556" s="2"/>
      <c r="F556" s="2"/>
      <c r="G556" s="39"/>
      <c r="H556" s="39"/>
      <c r="I556" s="11"/>
      <c r="J556" s="11"/>
      <c r="K556" s="11"/>
      <c r="L556" s="11"/>
      <c r="M556" s="11"/>
      <c r="N556" s="11"/>
      <c r="O556" s="35"/>
    </row>
    <row r="557" spans="1:15" ht="37.5" customHeight="1" x14ac:dyDescent="0.25">
      <c r="A557" s="38" t="str">
        <f t="shared" si="1"/>
        <v/>
      </c>
      <c r="B557" s="2"/>
      <c r="C557" s="2"/>
      <c r="D557" s="2"/>
      <c r="E557" s="2"/>
      <c r="F557" s="2"/>
      <c r="G557" s="39"/>
      <c r="H557" s="39"/>
      <c r="I557" s="11"/>
      <c r="J557" s="11"/>
      <c r="K557" s="11"/>
      <c r="L557" s="11"/>
      <c r="M557" s="11"/>
      <c r="N557" s="11"/>
      <c r="O557" s="35"/>
    </row>
    <row r="558" spans="1:15" ht="37.5" customHeight="1" x14ac:dyDescent="0.25">
      <c r="A558" s="38" t="str">
        <f t="shared" si="1"/>
        <v/>
      </c>
      <c r="B558" s="2"/>
      <c r="C558" s="2"/>
      <c r="D558" s="2"/>
      <c r="E558" s="2"/>
      <c r="F558" s="2"/>
      <c r="G558" s="39"/>
      <c r="H558" s="39"/>
      <c r="I558" s="11"/>
      <c r="J558" s="11"/>
      <c r="K558" s="11"/>
      <c r="L558" s="11"/>
      <c r="M558" s="11"/>
      <c r="N558" s="11"/>
      <c r="O558" s="35"/>
    </row>
    <row r="559" spans="1:15" ht="37.5" customHeight="1" x14ac:dyDescent="0.25">
      <c r="A559" s="38" t="str">
        <f t="shared" si="1"/>
        <v/>
      </c>
      <c r="B559" s="2"/>
      <c r="C559" s="2"/>
      <c r="D559" s="2"/>
      <c r="E559" s="2"/>
      <c r="F559" s="2"/>
      <c r="G559" s="39"/>
      <c r="H559" s="39"/>
      <c r="I559" s="11"/>
      <c r="J559" s="11"/>
      <c r="K559" s="11"/>
      <c r="L559" s="11"/>
      <c r="M559" s="11"/>
      <c r="N559" s="11"/>
      <c r="O559" s="35"/>
    </row>
    <row r="560" spans="1:15" ht="37.5" customHeight="1" x14ac:dyDescent="0.25">
      <c r="A560" s="38" t="str">
        <f t="shared" si="1"/>
        <v/>
      </c>
      <c r="B560" s="2"/>
      <c r="C560" s="2"/>
      <c r="D560" s="2"/>
      <c r="E560" s="2"/>
      <c r="F560" s="2"/>
      <c r="G560" s="39"/>
      <c r="H560" s="39"/>
      <c r="I560" s="11"/>
      <c r="J560" s="11"/>
      <c r="K560" s="11"/>
      <c r="L560" s="11"/>
      <c r="M560" s="11"/>
      <c r="N560" s="11"/>
      <c r="O560" s="35"/>
    </row>
    <row r="561" spans="1:15" ht="37.5" customHeight="1" x14ac:dyDescent="0.25">
      <c r="A561" s="38" t="str">
        <f t="shared" si="1"/>
        <v/>
      </c>
      <c r="B561" s="2"/>
      <c r="C561" s="2"/>
      <c r="D561" s="2"/>
      <c r="E561" s="2"/>
      <c r="F561" s="2"/>
      <c r="G561" s="39"/>
      <c r="H561" s="39"/>
      <c r="I561" s="11"/>
      <c r="J561" s="11"/>
      <c r="K561" s="11"/>
      <c r="L561" s="11"/>
      <c r="M561" s="11"/>
      <c r="N561" s="11"/>
      <c r="O561" s="35"/>
    </row>
    <row r="562" spans="1:15" ht="37.5" customHeight="1" x14ac:dyDescent="0.25">
      <c r="A562" s="38" t="str">
        <f t="shared" si="1"/>
        <v/>
      </c>
      <c r="B562" s="2"/>
      <c r="C562" s="2"/>
      <c r="D562" s="2"/>
      <c r="E562" s="2"/>
      <c r="F562" s="2"/>
      <c r="G562" s="39"/>
      <c r="H562" s="39"/>
      <c r="I562" s="11"/>
      <c r="J562" s="11"/>
      <c r="K562" s="11"/>
      <c r="L562" s="11"/>
      <c r="M562" s="11"/>
      <c r="N562" s="11"/>
      <c r="O562" s="35"/>
    </row>
    <row r="563" spans="1:15" ht="37.5" customHeight="1" x14ac:dyDescent="0.25">
      <c r="A563" s="38" t="str">
        <f t="shared" si="1"/>
        <v/>
      </c>
      <c r="B563" s="2"/>
      <c r="C563" s="2"/>
      <c r="D563" s="2"/>
      <c r="E563" s="2"/>
      <c r="F563" s="2"/>
      <c r="G563" s="39"/>
      <c r="H563" s="39"/>
      <c r="I563" s="11"/>
      <c r="J563" s="11"/>
      <c r="K563" s="11"/>
      <c r="L563" s="11"/>
      <c r="M563" s="11"/>
      <c r="N563" s="11"/>
      <c r="O563" s="35"/>
    </row>
    <row r="564" spans="1:15" ht="37.5" customHeight="1" x14ac:dyDescent="0.25">
      <c r="A564" s="38" t="str">
        <f t="shared" si="1"/>
        <v/>
      </c>
      <c r="B564" s="2"/>
      <c r="C564" s="2"/>
      <c r="D564" s="2"/>
      <c r="E564" s="2"/>
      <c r="F564" s="2"/>
      <c r="G564" s="39"/>
      <c r="H564" s="39"/>
      <c r="I564" s="11"/>
      <c r="J564" s="11"/>
      <c r="K564" s="11"/>
      <c r="L564" s="11"/>
      <c r="M564" s="11"/>
      <c r="N564" s="11"/>
      <c r="O564" s="35"/>
    </row>
    <row r="565" spans="1:15" ht="37.5" customHeight="1" x14ac:dyDescent="0.25">
      <c r="A565" s="38" t="str">
        <f t="shared" si="1"/>
        <v/>
      </c>
      <c r="B565" s="2"/>
      <c r="C565" s="2"/>
      <c r="D565" s="2"/>
      <c r="E565" s="2"/>
      <c r="F565" s="2"/>
      <c r="G565" s="39"/>
      <c r="H565" s="39"/>
      <c r="I565" s="11"/>
      <c r="J565" s="11"/>
      <c r="K565" s="11"/>
      <c r="L565" s="11"/>
      <c r="M565" s="11"/>
      <c r="N565" s="11"/>
      <c r="O565" s="35"/>
    </row>
    <row r="566" spans="1:15" ht="37.5" customHeight="1" x14ac:dyDescent="0.25">
      <c r="A566" s="38" t="str">
        <f t="shared" si="1"/>
        <v/>
      </c>
      <c r="B566" s="2"/>
      <c r="C566" s="2"/>
      <c r="D566" s="2"/>
      <c r="E566" s="2"/>
      <c r="F566" s="2"/>
      <c r="G566" s="39"/>
      <c r="H566" s="39"/>
      <c r="I566" s="11"/>
      <c r="J566" s="11"/>
      <c r="K566" s="11"/>
      <c r="L566" s="11"/>
      <c r="M566" s="11"/>
      <c r="N566" s="11"/>
      <c r="O566" s="35"/>
    </row>
    <row r="567" spans="1:15" ht="37.5" customHeight="1" x14ac:dyDescent="0.25">
      <c r="A567" s="38" t="str">
        <f t="shared" si="1"/>
        <v/>
      </c>
      <c r="B567" s="2"/>
      <c r="C567" s="2"/>
      <c r="D567" s="2"/>
      <c r="E567" s="2"/>
      <c r="F567" s="2"/>
      <c r="G567" s="39"/>
      <c r="H567" s="39"/>
      <c r="I567" s="11"/>
      <c r="J567" s="11"/>
      <c r="K567" s="11"/>
      <c r="L567" s="11"/>
      <c r="M567" s="11"/>
      <c r="N567" s="11"/>
      <c r="O567" s="35"/>
    </row>
    <row r="568" spans="1:15" ht="37.5" customHeight="1" x14ac:dyDescent="0.25">
      <c r="A568" s="38" t="str">
        <f t="shared" si="1"/>
        <v/>
      </c>
      <c r="B568" s="2"/>
      <c r="C568" s="2"/>
      <c r="D568" s="2"/>
      <c r="E568" s="2"/>
      <c r="F568" s="2"/>
      <c r="G568" s="39"/>
      <c r="H568" s="39"/>
      <c r="I568" s="11"/>
      <c r="J568" s="11"/>
      <c r="K568" s="11"/>
      <c r="L568" s="11"/>
      <c r="M568" s="11"/>
      <c r="N568" s="11"/>
      <c r="O568" s="35"/>
    </row>
    <row r="569" spans="1:15" ht="37.5" customHeight="1" x14ac:dyDescent="0.25">
      <c r="A569" s="38" t="str">
        <f t="shared" si="1"/>
        <v/>
      </c>
      <c r="B569" s="2"/>
      <c r="C569" s="2"/>
      <c r="D569" s="2"/>
      <c r="E569" s="2"/>
      <c r="F569" s="2"/>
      <c r="G569" s="39"/>
      <c r="H569" s="39"/>
      <c r="I569" s="11"/>
      <c r="J569" s="11"/>
      <c r="K569" s="11"/>
      <c r="L569" s="11"/>
      <c r="M569" s="11"/>
      <c r="N569" s="11"/>
      <c r="O569" s="35"/>
    </row>
    <row r="570" spans="1:15" ht="37.5" customHeight="1" x14ac:dyDescent="0.25">
      <c r="A570" s="38" t="str">
        <f t="shared" si="1"/>
        <v/>
      </c>
      <c r="B570" s="2"/>
      <c r="C570" s="2"/>
      <c r="D570" s="2"/>
      <c r="E570" s="2"/>
      <c r="F570" s="2"/>
      <c r="G570" s="39"/>
      <c r="H570" s="39"/>
      <c r="I570" s="11"/>
      <c r="J570" s="11"/>
      <c r="K570" s="11"/>
      <c r="L570" s="11"/>
      <c r="M570" s="11"/>
      <c r="N570" s="11"/>
      <c r="O570" s="35"/>
    </row>
    <row r="571" spans="1:15" ht="37.5" customHeight="1" x14ac:dyDescent="0.25">
      <c r="A571" s="38" t="str">
        <f t="shared" si="1"/>
        <v/>
      </c>
      <c r="B571" s="2"/>
      <c r="C571" s="2"/>
      <c r="D571" s="2"/>
      <c r="E571" s="2"/>
      <c r="F571" s="2"/>
      <c r="G571" s="39"/>
      <c r="H571" s="39"/>
      <c r="I571" s="11"/>
      <c r="J571" s="11"/>
      <c r="K571" s="11"/>
      <c r="L571" s="11"/>
      <c r="M571" s="11"/>
      <c r="N571" s="11"/>
      <c r="O571" s="35"/>
    </row>
    <row r="572" spans="1:15" ht="37.5" customHeight="1" x14ac:dyDescent="0.25">
      <c r="A572" s="38" t="str">
        <f t="shared" si="1"/>
        <v/>
      </c>
      <c r="B572" s="2"/>
      <c r="C572" s="2"/>
      <c r="D572" s="2"/>
      <c r="E572" s="2"/>
      <c r="F572" s="2"/>
      <c r="G572" s="39"/>
      <c r="H572" s="39"/>
      <c r="I572" s="11"/>
      <c r="J572" s="11"/>
      <c r="K572" s="11"/>
      <c r="L572" s="11"/>
      <c r="M572" s="11"/>
      <c r="N572" s="11"/>
      <c r="O572" s="35"/>
    </row>
    <row r="573" spans="1:15" ht="37.5" customHeight="1" x14ac:dyDescent="0.25">
      <c r="A573" s="38" t="str">
        <f t="shared" si="1"/>
        <v/>
      </c>
      <c r="B573" s="2"/>
      <c r="C573" s="2"/>
      <c r="D573" s="2"/>
      <c r="E573" s="2"/>
      <c r="F573" s="2"/>
      <c r="G573" s="39"/>
      <c r="H573" s="39"/>
      <c r="I573" s="11"/>
      <c r="J573" s="11"/>
      <c r="K573" s="11"/>
      <c r="L573" s="11"/>
      <c r="M573" s="11"/>
      <c r="N573" s="11"/>
      <c r="O573" s="35"/>
    </row>
    <row r="574" spans="1:15" ht="37.5" customHeight="1" x14ac:dyDescent="0.25">
      <c r="A574" s="38" t="str">
        <f t="shared" si="1"/>
        <v/>
      </c>
      <c r="B574" s="2"/>
      <c r="C574" s="2"/>
      <c r="D574" s="2"/>
      <c r="E574" s="2"/>
      <c r="F574" s="2"/>
      <c r="G574" s="39"/>
      <c r="H574" s="39"/>
      <c r="I574" s="11"/>
      <c r="J574" s="11"/>
      <c r="K574" s="11"/>
      <c r="L574" s="11"/>
      <c r="M574" s="11"/>
      <c r="N574" s="11"/>
      <c r="O574" s="35"/>
    </row>
    <row r="575" spans="1:15" ht="37.5" customHeight="1" x14ac:dyDescent="0.25">
      <c r="A575" s="38" t="str">
        <f t="shared" si="1"/>
        <v/>
      </c>
      <c r="B575" s="2"/>
      <c r="C575" s="2"/>
      <c r="D575" s="2"/>
      <c r="E575" s="2"/>
      <c r="F575" s="2"/>
      <c r="G575" s="39"/>
      <c r="H575" s="39"/>
      <c r="I575" s="11"/>
      <c r="J575" s="11"/>
      <c r="K575" s="11"/>
      <c r="L575" s="11"/>
      <c r="M575" s="11"/>
      <c r="N575" s="11"/>
      <c r="O575" s="35"/>
    </row>
    <row r="576" spans="1:15" ht="37.5" customHeight="1" x14ac:dyDescent="0.25">
      <c r="A576" s="38" t="str">
        <f t="shared" si="1"/>
        <v/>
      </c>
      <c r="B576" s="2"/>
      <c r="C576" s="2"/>
      <c r="D576" s="2"/>
      <c r="E576" s="2"/>
      <c r="F576" s="2"/>
      <c r="G576" s="39"/>
      <c r="H576" s="39"/>
      <c r="I576" s="11"/>
      <c r="J576" s="11"/>
      <c r="K576" s="11"/>
      <c r="L576" s="11"/>
      <c r="M576" s="11"/>
      <c r="N576" s="11"/>
      <c r="O576" s="35"/>
    </row>
    <row r="577" spans="1:15" ht="37.5" customHeight="1" x14ac:dyDescent="0.25">
      <c r="A577" s="38" t="str">
        <f t="shared" si="1"/>
        <v/>
      </c>
      <c r="B577" s="2"/>
      <c r="C577" s="2"/>
      <c r="D577" s="2"/>
      <c r="E577" s="2"/>
      <c r="F577" s="2"/>
      <c r="G577" s="39"/>
      <c r="H577" s="39"/>
      <c r="I577" s="11"/>
      <c r="J577" s="11"/>
      <c r="K577" s="11"/>
      <c r="L577" s="11"/>
      <c r="M577" s="11"/>
      <c r="N577" s="11"/>
      <c r="O577" s="35"/>
    </row>
    <row r="578" spans="1:15" ht="37.5" customHeight="1" x14ac:dyDescent="0.25">
      <c r="A578" s="38" t="str">
        <f t="shared" si="1"/>
        <v/>
      </c>
      <c r="B578" s="2"/>
      <c r="C578" s="2"/>
      <c r="D578" s="2"/>
      <c r="E578" s="2"/>
      <c r="F578" s="2"/>
      <c r="G578" s="39"/>
      <c r="H578" s="39"/>
      <c r="I578" s="11"/>
      <c r="J578" s="11"/>
      <c r="K578" s="11"/>
      <c r="L578" s="11"/>
      <c r="M578" s="11"/>
      <c r="N578" s="11"/>
      <c r="O578" s="35"/>
    </row>
    <row r="579" spans="1:15" ht="37.5" customHeight="1" x14ac:dyDescent="0.25">
      <c r="A579" s="38" t="str">
        <f t="shared" si="1"/>
        <v/>
      </c>
      <c r="B579" s="2"/>
      <c r="C579" s="2"/>
      <c r="D579" s="2"/>
      <c r="E579" s="2"/>
      <c r="F579" s="2"/>
      <c r="G579" s="39"/>
      <c r="H579" s="39"/>
      <c r="I579" s="11"/>
      <c r="J579" s="11"/>
      <c r="K579" s="11"/>
      <c r="L579" s="11"/>
      <c r="M579" s="11"/>
      <c r="N579" s="11"/>
      <c r="O579" s="35"/>
    </row>
    <row r="580" spans="1:15" ht="37.5" customHeight="1" x14ac:dyDescent="0.25">
      <c r="A580" s="38" t="str">
        <f t="shared" si="1"/>
        <v/>
      </c>
      <c r="B580" s="2"/>
      <c r="C580" s="2"/>
      <c r="D580" s="2"/>
      <c r="E580" s="2"/>
      <c r="F580" s="2"/>
      <c r="G580" s="39"/>
      <c r="H580" s="39"/>
      <c r="I580" s="11"/>
      <c r="J580" s="11"/>
      <c r="K580" s="11"/>
      <c r="L580" s="11"/>
      <c r="M580" s="11"/>
      <c r="N580" s="11"/>
      <c r="O580" s="35"/>
    </row>
    <row r="581" spans="1:15" ht="37.5" customHeight="1" x14ac:dyDescent="0.25">
      <c r="A581" s="38" t="str">
        <f t="shared" si="1"/>
        <v/>
      </c>
      <c r="B581" s="2"/>
      <c r="C581" s="2"/>
      <c r="D581" s="2"/>
      <c r="E581" s="2"/>
      <c r="F581" s="2"/>
      <c r="G581" s="39"/>
      <c r="H581" s="39"/>
      <c r="I581" s="11"/>
      <c r="J581" s="11"/>
      <c r="K581" s="11"/>
      <c r="L581" s="11"/>
      <c r="M581" s="11"/>
      <c r="N581" s="11"/>
      <c r="O581" s="35"/>
    </row>
    <row r="582" spans="1:15" ht="37.5" customHeight="1" x14ac:dyDescent="0.25">
      <c r="A582" s="38" t="str">
        <f t="shared" si="1"/>
        <v/>
      </c>
      <c r="B582" s="2"/>
      <c r="C582" s="2"/>
      <c r="D582" s="2"/>
      <c r="E582" s="2"/>
      <c r="F582" s="2"/>
      <c r="G582" s="39"/>
      <c r="H582" s="39"/>
      <c r="I582" s="11"/>
      <c r="J582" s="11"/>
      <c r="K582" s="11"/>
      <c r="L582" s="11"/>
      <c r="M582" s="11"/>
      <c r="N582" s="11"/>
      <c r="O582" s="35"/>
    </row>
    <row r="583" spans="1:15" ht="37.5" customHeight="1" x14ac:dyDescent="0.25">
      <c r="A583" s="38" t="str">
        <f t="shared" si="1"/>
        <v/>
      </c>
      <c r="B583" s="2"/>
      <c r="C583" s="2"/>
      <c r="D583" s="2"/>
      <c r="E583" s="2"/>
      <c r="F583" s="2"/>
      <c r="G583" s="39"/>
      <c r="H583" s="39"/>
      <c r="I583" s="11"/>
      <c r="J583" s="11"/>
      <c r="K583" s="11"/>
      <c r="L583" s="11"/>
      <c r="M583" s="11"/>
      <c r="N583" s="11"/>
      <c r="O583" s="35"/>
    </row>
    <row r="584" spans="1:15" ht="37.5" customHeight="1" x14ac:dyDescent="0.25">
      <c r="A584" s="38" t="str">
        <f t="shared" si="1"/>
        <v/>
      </c>
      <c r="B584" s="2"/>
      <c r="C584" s="2"/>
      <c r="D584" s="2"/>
      <c r="E584" s="2"/>
      <c r="F584" s="2"/>
      <c r="G584" s="39"/>
      <c r="H584" s="39"/>
      <c r="I584" s="11"/>
      <c r="J584" s="11"/>
      <c r="K584" s="11"/>
      <c r="L584" s="11"/>
      <c r="M584" s="11"/>
      <c r="N584" s="11"/>
      <c r="O584" s="35"/>
    </row>
    <row r="585" spans="1:15" ht="37.5" customHeight="1" x14ac:dyDescent="0.25">
      <c r="A585" s="38" t="str">
        <f t="shared" si="1"/>
        <v/>
      </c>
      <c r="B585" s="2"/>
      <c r="C585" s="2"/>
      <c r="D585" s="2"/>
      <c r="E585" s="2"/>
      <c r="F585" s="2"/>
      <c r="G585" s="39"/>
      <c r="H585" s="39"/>
      <c r="I585" s="11"/>
      <c r="J585" s="11"/>
      <c r="K585" s="11"/>
      <c r="L585" s="11"/>
      <c r="M585" s="11"/>
      <c r="N585" s="11"/>
      <c r="O585" s="35"/>
    </row>
    <row r="586" spans="1:15" ht="37.5" customHeight="1" x14ac:dyDescent="0.25">
      <c r="A586" s="38" t="str">
        <f t="shared" si="1"/>
        <v/>
      </c>
      <c r="B586" s="2"/>
      <c r="C586" s="2"/>
      <c r="D586" s="2"/>
      <c r="E586" s="2"/>
      <c r="F586" s="2"/>
      <c r="G586" s="39"/>
      <c r="H586" s="39"/>
      <c r="I586" s="11"/>
      <c r="J586" s="11"/>
      <c r="K586" s="11"/>
      <c r="L586" s="11"/>
      <c r="M586" s="11"/>
      <c r="N586" s="11"/>
      <c r="O586" s="35"/>
    </row>
    <row r="587" spans="1:15" ht="37.5" customHeight="1" x14ac:dyDescent="0.25">
      <c r="A587" s="38" t="str">
        <f t="shared" si="1"/>
        <v/>
      </c>
      <c r="B587" s="2"/>
      <c r="C587" s="2"/>
      <c r="D587" s="2"/>
      <c r="E587" s="2"/>
      <c r="F587" s="2"/>
      <c r="G587" s="39"/>
      <c r="H587" s="39"/>
      <c r="I587" s="11"/>
      <c r="J587" s="11"/>
      <c r="K587" s="11"/>
      <c r="L587" s="11"/>
      <c r="M587" s="11"/>
      <c r="N587" s="11"/>
      <c r="O587" s="35"/>
    </row>
    <row r="588" spans="1:15" ht="37.5" customHeight="1" x14ac:dyDescent="0.25">
      <c r="A588" s="38" t="str">
        <f t="shared" si="1"/>
        <v/>
      </c>
      <c r="B588" s="2"/>
      <c r="C588" s="2"/>
      <c r="D588" s="2"/>
      <c r="E588" s="2"/>
      <c r="F588" s="2"/>
      <c r="G588" s="39"/>
      <c r="H588" s="39"/>
      <c r="I588" s="11"/>
      <c r="J588" s="11"/>
      <c r="K588" s="11"/>
      <c r="L588" s="11"/>
      <c r="M588" s="11"/>
      <c r="N588" s="11"/>
      <c r="O588" s="35"/>
    </row>
    <row r="589" spans="1:15" ht="37.5" customHeight="1" x14ac:dyDescent="0.25">
      <c r="A589" s="38" t="str">
        <f t="shared" si="1"/>
        <v/>
      </c>
      <c r="B589" s="2"/>
      <c r="C589" s="2"/>
      <c r="D589" s="2"/>
      <c r="E589" s="2"/>
      <c r="F589" s="2"/>
      <c r="G589" s="39"/>
      <c r="H589" s="39"/>
      <c r="I589" s="11"/>
      <c r="J589" s="11"/>
      <c r="K589" s="11"/>
      <c r="L589" s="11"/>
      <c r="M589" s="11"/>
      <c r="N589" s="11"/>
      <c r="O589" s="35"/>
    </row>
    <row r="590" spans="1:15" ht="37.5" customHeight="1" x14ac:dyDescent="0.25">
      <c r="A590" s="38" t="str">
        <f t="shared" si="1"/>
        <v/>
      </c>
      <c r="B590" s="2"/>
      <c r="C590" s="2"/>
      <c r="D590" s="2"/>
      <c r="E590" s="2"/>
      <c r="F590" s="2"/>
      <c r="G590" s="39"/>
      <c r="H590" s="39"/>
      <c r="I590" s="11"/>
      <c r="J590" s="11"/>
      <c r="K590" s="11"/>
      <c r="L590" s="11"/>
      <c r="M590" s="11"/>
      <c r="N590" s="11"/>
      <c r="O590" s="35"/>
    </row>
    <row r="591" spans="1:15" ht="37.5" customHeight="1" x14ac:dyDescent="0.25">
      <c r="A591" s="38" t="str">
        <f t="shared" si="1"/>
        <v/>
      </c>
      <c r="B591" s="2"/>
      <c r="C591" s="2"/>
      <c r="D591" s="2"/>
      <c r="E591" s="2"/>
      <c r="F591" s="2"/>
      <c r="G591" s="39"/>
      <c r="H591" s="39"/>
      <c r="I591" s="11"/>
      <c r="J591" s="11"/>
      <c r="K591" s="11"/>
      <c r="L591" s="11"/>
      <c r="M591" s="11"/>
      <c r="N591" s="11"/>
      <c r="O591" s="35"/>
    </row>
    <row r="592" spans="1:15" ht="37.5" customHeight="1" x14ac:dyDescent="0.25">
      <c r="A592" s="38" t="str">
        <f t="shared" si="1"/>
        <v/>
      </c>
      <c r="B592" s="2"/>
      <c r="C592" s="2"/>
      <c r="D592" s="2"/>
      <c r="E592" s="2"/>
      <c r="F592" s="2"/>
      <c r="G592" s="39"/>
      <c r="H592" s="39"/>
      <c r="I592" s="11"/>
      <c r="J592" s="11"/>
      <c r="K592" s="11"/>
      <c r="L592" s="11"/>
      <c r="M592" s="11"/>
      <c r="N592" s="11"/>
      <c r="O592" s="35"/>
    </row>
    <row r="593" spans="1:15" ht="37.5" customHeight="1" x14ac:dyDescent="0.25">
      <c r="A593" s="38" t="str">
        <f t="shared" si="1"/>
        <v/>
      </c>
      <c r="B593" s="2"/>
      <c r="C593" s="2"/>
      <c r="D593" s="2"/>
      <c r="E593" s="2"/>
      <c r="F593" s="2"/>
      <c r="G593" s="39"/>
      <c r="H593" s="39"/>
      <c r="I593" s="11"/>
      <c r="J593" s="11"/>
      <c r="K593" s="11"/>
      <c r="L593" s="11"/>
      <c r="M593" s="11"/>
      <c r="N593" s="11"/>
      <c r="O593" s="35"/>
    </row>
    <row r="594" spans="1:15" ht="37.5" customHeight="1" x14ac:dyDescent="0.25">
      <c r="A594" s="38" t="str">
        <f t="shared" si="1"/>
        <v/>
      </c>
      <c r="B594" s="2"/>
      <c r="C594" s="2"/>
      <c r="D594" s="2"/>
      <c r="E594" s="2"/>
      <c r="F594" s="2"/>
      <c r="G594" s="39"/>
      <c r="H594" s="39"/>
      <c r="I594" s="11"/>
      <c r="J594" s="11"/>
      <c r="K594" s="11"/>
      <c r="L594" s="11"/>
      <c r="M594" s="11"/>
      <c r="N594" s="11"/>
      <c r="O594" s="35"/>
    </row>
    <row r="595" spans="1:15" ht="37.5" customHeight="1" x14ac:dyDescent="0.25">
      <c r="A595" s="38" t="str">
        <f t="shared" si="1"/>
        <v/>
      </c>
      <c r="B595" s="2"/>
      <c r="C595" s="2"/>
      <c r="D595" s="2"/>
      <c r="E595" s="2"/>
      <c r="F595" s="2"/>
      <c r="G595" s="39"/>
      <c r="H595" s="39"/>
      <c r="I595" s="11"/>
      <c r="J595" s="11"/>
      <c r="K595" s="11"/>
      <c r="L595" s="11"/>
      <c r="M595" s="11"/>
      <c r="N595" s="11"/>
      <c r="O595" s="35"/>
    </row>
    <row r="596" spans="1:15" ht="37.5" customHeight="1" x14ac:dyDescent="0.25">
      <c r="A596" s="38" t="str">
        <f t="shared" si="1"/>
        <v/>
      </c>
      <c r="B596" s="2"/>
      <c r="C596" s="2"/>
      <c r="D596" s="2"/>
      <c r="E596" s="2"/>
      <c r="F596" s="2"/>
      <c r="G596" s="39"/>
      <c r="H596" s="39"/>
      <c r="I596" s="11"/>
      <c r="J596" s="11"/>
      <c r="K596" s="11"/>
      <c r="L596" s="11"/>
      <c r="M596" s="11"/>
      <c r="N596" s="11"/>
      <c r="O596" s="35"/>
    </row>
    <row r="597" spans="1:15" ht="37.5" customHeight="1" x14ac:dyDescent="0.25">
      <c r="A597" s="38" t="str">
        <f t="shared" si="1"/>
        <v/>
      </c>
      <c r="B597" s="2"/>
      <c r="C597" s="2"/>
      <c r="D597" s="2"/>
      <c r="E597" s="2"/>
      <c r="F597" s="2"/>
      <c r="G597" s="39"/>
      <c r="H597" s="39"/>
      <c r="I597" s="11"/>
      <c r="J597" s="11"/>
      <c r="K597" s="11"/>
      <c r="L597" s="11"/>
      <c r="M597" s="11"/>
      <c r="N597" s="11"/>
      <c r="O597" s="35"/>
    </row>
    <row r="598" spans="1:15" ht="37.5" customHeight="1" x14ac:dyDescent="0.25">
      <c r="A598" s="38" t="str">
        <f t="shared" si="1"/>
        <v/>
      </c>
      <c r="B598" s="2"/>
      <c r="C598" s="2"/>
      <c r="D598" s="2"/>
      <c r="E598" s="2"/>
      <c r="F598" s="2"/>
      <c r="G598" s="39"/>
      <c r="H598" s="39"/>
      <c r="I598" s="11"/>
      <c r="J598" s="11"/>
      <c r="K598" s="11"/>
      <c r="L598" s="11"/>
      <c r="M598" s="11"/>
      <c r="N598" s="11"/>
      <c r="O598" s="35"/>
    </row>
    <row r="599" spans="1:15" ht="37.5" customHeight="1" x14ac:dyDescent="0.25">
      <c r="A599" s="38" t="str">
        <f t="shared" si="1"/>
        <v/>
      </c>
      <c r="B599" s="2"/>
      <c r="C599" s="2"/>
      <c r="D599" s="2"/>
      <c r="E599" s="2"/>
      <c r="F599" s="2"/>
      <c r="G599" s="39"/>
      <c r="H599" s="39"/>
      <c r="I599" s="11"/>
      <c r="J599" s="11"/>
      <c r="K599" s="11"/>
      <c r="L599" s="11"/>
      <c r="M599" s="11"/>
      <c r="N599" s="11"/>
      <c r="O599" s="35"/>
    </row>
    <row r="600" spans="1:15" ht="37.5" customHeight="1" x14ac:dyDescent="0.25">
      <c r="A600" s="38" t="str">
        <f t="shared" si="1"/>
        <v/>
      </c>
      <c r="B600" s="2"/>
      <c r="C600" s="2"/>
      <c r="D600" s="2"/>
      <c r="E600" s="2"/>
      <c r="F600" s="2"/>
      <c r="G600" s="39"/>
      <c r="H600" s="39"/>
      <c r="I600" s="11"/>
      <c r="J600" s="11"/>
      <c r="K600" s="11"/>
      <c r="L600" s="11"/>
      <c r="M600" s="11"/>
      <c r="N600" s="11"/>
      <c r="O600" s="35"/>
    </row>
    <row r="601" spans="1:15" ht="37.5" customHeight="1" x14ac:dyDescent="0.25">
      <c r="A601" s="38" t="str">
        <f t="shared" si="1"/>
        <v/>
      </c>
      <c r="B601" s="2"/>
      <c r="C601" s="2"/>
      <c r="D601" s="2"/>
      <c r="E601" s="2"/>
      <c r="F601" s="2"/>
      <c r="G601" s="39"/>
      <c r="H601" s="39"/>
      <c r="I601" s="11"/>
      <c r="J601" s="11"/>
      <c r="K601" s="11"/>
      <c r="L601" s="11"/>
      <c r="M601" s="11"/>
      <c r="N601" s="11"/>
      <c r="O601" s="35"/>
    </row>
    <row r="602" spans="1:15" ht="37.5" customHeight="1" x14ac:dyDescent="0.25">
      <c r="A602" s="38" t="str">
        <f t="shared" si="1"/>
        <v/>
      </c>
      <c r="B602" s="2"/>
      <c r="C602" s="2"/>
      <c r="D602" s="2"/>
      <c r="E602" s="2"/>
      <c r="F602" s="2"/>
      <c r="G602" s="39"/>
      <c r="H602" s="39"/>
      <c r="I602" s="11"/>
      <c r="J602" s="11"/>
      <c r="K602" s="11"/>
      <c r="L602" s="11"/>
      <c r="M602" s="11"/>
      <c r="N602" s="11"/>
      <c r="O602" s="35"/>
    </row>
    <row r="603" spans="1:15" ht="37.5" customHeight="1" x14ac:dyDescent="0.25">
      <c r="A603" s="38" t="str">
        <f t="shared" si="1"/>
        <v/>
      </c>
      <c r="B603" s="2"/>
      <c r="C603" s="2"/>
      <c r="D603" s="2"/>
      <c r="E603" s="2"/>
      <c r="F603" s="2"/>
      <c r="G603" s="39"/>
      <c r="H603" s="39"/>
      <c r="I603" s="11"/>
      <c r="J603" s="11"/>
      <c r="K603" s="11"/>
      <c r="L603" s="11"/>
      <c r="M603" s="11"/>
      <c r="N603" s="11"/>
      <c r="O603" s="35"/>
    </row>
    <row r="604" spans="1:15" ht="37.5" customHeight="1" x14ac:dyDescent="0.25">
      <c r="A604" s="38" t="str">
        <f t="shared" si="1"/>
        <v/>
      </c>
      <c r="B604" s="2"/>
      <c r="C604" s="2"/>
      <c r="D604" s="2"/>
      <c r="E604" s="2"/>
      <c r="F604" s="2"/>
      <c r="G604" s="39"/>
      <c r="H604" s="39"/>
      <c r="I604" s="11"/>
      <c r="J604" s="11"/>
      <c r="K604" s="11"/>
      <c r="L604" s="11"/>
      <c r="M604" s="11"/>
      <c r="N604" s="11"/>
      <c r="O604" s="35"/>
    </row>
    <row r="605" spans="1:15" ht="37.5" customHeight="1" x14ac:dyDescent="0.25">
      <c r="A605" s="38" t="str">
        <f t="shared" si="1"/>
        <v/>
      </c>
      <c r="B605" s="2"/>
      <c r="C605" s="2"/>
      <c r="D605" s="2"/>
      <c r="E605" s="2"/>
      <c r="F605" s="2"/>
      <c r="G605" s="39"/>
      <c r="H605" s="39"/>
      <c r="I605" s="11"/>
      <c r="J605" s="11"/>
      <c r="K605" s="11"/>
      <c r="L605" s="11"/>
      <c r="M605" s="11"/>
      <c r="N605" s="11"/>
      <c r="O605" s="35"/>
    </row>
    <row r="606" spans="1:15" ht="37.5" customHeight="1" x14ac:dyDescent="0.25">
      <c r="A606" s="38" t="str">
        <f t="shared" si="1"/>
        <v/>
      </c>
      <c r="B606" s="2"/>
      <c r="C606" s="2"/>
      <c r="D606" s="2"/>
      <c r="E606" s="2"/>
      <c r="F606" s="2"/>
      <c r="G606" s="39"/>
      <c r="H606" s="39"/>
      <c r="I606" s="11"/>
      <c r="J606" s="11"/>
      <c r="K606" s="11"/>
      <c r="L606" s="11"/>
      <c r="M606" s="11"/>
      <c r="N606" s="11"/>
      <c r="O606" s="35"/>
    </row>
    <row r="607" spans="1:15" ht="37.5" customHeight="1" x14ac:dyDescent="0.25">
      <c r="A607" s="38" t="str">
        <f t="shared" si="1"/>
        <v/>
      </c>
      <c r="B607" s="2"/>
      <c r="C607" s="2"/>
      <c r="D607" s="2"/>
      <c r="E607" s="2"/>
      <c r="F607" s="2"/>
      <c r="G607" s="39"/>
      <c r="H607" s="39"/>
      <c r="I607" s="11"/>
      <c r="J607" s="11"/>
      <c r="K607" s="11"/>
      <c r="L607" s="11"/>
      <c r="M607" s="11"/>
      <c r="N607" s="11"/>
      <c r="O607" s="35"/>
    </row>
    <row r="608" spans="1:15" ht="37.5" customHeight="1" x14ac:dyDescent="0.25">
      <c r="A608" s="38" t="str">
        <f t="shared" si="1"/>
        <v/>
      </c>
      <c r="B608" s="2"/>
      <c r="C608" s="2"/>
      <c r="D608" s="2"/>
      <c r="E608" s="2"/>
      <c r="F608" s="2"/>
      <c r="G608" s="39"/>
      <c r="H608" s="39"/>
      <c r="I608" s="11"/>
      <c r="J608" s="11"/>
      <c r="K608" s="11"/>
      <c r="L608" s="11"/>
      <c r="M608" s="11"/>
      <c r="N608" s="11"/>
      <c r="O608" s="35"/>
    </row>
    <row r="609" spans="1:15" ht="37.5" customHeight="1" x14ac:dyDescent="0.25">
      <c r="A609" s="38" t="str">
        <f t="shared" si="1"/>
        <v/>
      </c>
      <c r="B609" s="2"/>
      <c r="C609" s="2"/>
      <c r="D609" s="2"/>
      <c r="E609" s="2"/>
      <c r="F609" s="2"/>
      <c r="G609" s="39"/>
      <c r="H609" s="39"/>
      <c r="I609" s="11"/>
      <c r="J609" s="11"/>
      <c r="K609" s="11"/>
      <c r="L609" s="11"/>
      <c r="M609" s="11"/>
      <c r="N609" s="11"/>
      <c r="O609" s="35"/>
    </row>
    <row r="610" spans="1:15" ht="37.5" customHeight="1" x14ac:dyDescent="0.25">
      <c r="A610" s="38" t="str">
        <f t="shared" si="1"/>
        <v/>
      </c>
      <c r="B610" s="2"/>
      <c r="C610" s="2"/>
      <c r="D610" s="2"/>
      <c r="E610" s="2"/>
      <c r="F610" s="2"/>
      <c r="G610" s="39"/>
      <c r="H610" s="39"/>
      <c r="I610" s="11"/>
      <c r="J610" s="11"/>
      <c r="K610" s="11"/>
      <c r="L610" s="11"/>
      <c r="M610" s="11"/>
      <c r="N610" s="11"/>
      <c r="O610" s="35"/>
    </row>
    <row r="611" spans="1:15" ht="37.5" customHeight="1" x14ac:dyDescent="0.25">
      <c r="A611" s="38" t="str">
        <f t="shared" si="1"/>
        <v/>
      </c>
      <c r="B611" s="2"/>
      <c r="C611" s="2"/>
      <c r="D611" s="2"/>
      <c r="E611" s="2"/>
      <c r="F611" s="2"/>
      <c r="G611" s="39"/>
      <c r="H611" s="39"/>
      <c r="I611" s="11"/>
      <c r="J611" s="11"/>
      <c r="K611" s="11"/>
      <c r="L611" s="11"/>
      <c r="M611" s="11"/>
      <c r="N611" s="11"/>
      <c r="O611" s="35"/>
    </row>
    <row r="612" spans="1:15" ht="37.5" customHeight="1" x14ac:dyDescent="0.25">
      <c r="A612" s="38" t="str">
        <f t="shared" si="1"/>
        <v/>
      </c>
      <c r="B612" s="2"/>
      <c r="C612" s="2"/>
      <c r="D612" s="2"/>
      <c r="E612" s="2"/>
      <c r="F612" s="2"/>
      <c r="G612" s="39"/>
      <c r="H612" s="39"/>
      <c r="I612" s="11"/>
      <c r="J612" s="11"/>
      <c r="K612" s="11"/>
      <c r="L612" s="11"/>
      <c r="M612" s="11"/>
      <c r="N612" s="11"/>
      <c r="O612" s="35"/>
    </row>
    <row r="613" spans="1:15" ht="37.5" customHeight="1" x14ac:dyDescent="0.25">
      <c r="A613" s="38" t="str">
        <f t="shared" si="1"/>
        <v/>
      </c>
      <c r="B613" s="2"/>
      <c r="C613" s="2"/>
      <c r="D613" s="2"/>
      <c r="E613" s="2"/>
      <c r="F613" s="2"/>
      <c r="G613" s="39"/>
      <c r="H613" s="39"/>
      <c r="I613" s="11"/>
      <c r="J613" s="11"/>
      <c r="K613" s="11"/>
      <c r="L613" s="11"/>
      <c r="M613" s="11"/>
      <c r="N613" s="11"/>
      <c r="O613" s="35"/>
    </row>
    <row r="614" spans="1:15" ht="37.5" customHeight="1" x14ac:dyDescent="0.25">
      <c r="A614" s="38" t="str">
        <f t="shared" si="1"/>
        <v/>
      </c>
      <c r="B614" s="2"/>
      <c r="C614" s="2"/>
      <c r="D614" s="2"/>
      <c r="E614" s="2"/>
      <c r="F614" s="2"/>
      <c r="G614" s="39"/>
      <c r="H614" s="39"/>
      <c r="I614" s="11"/>
      <c r="J614" s="11"/>
      <c r="K614" s="11"/>
      <c r="L614" s="11"/>
      <c r="M614" s="11"/>
      <c r="N614" s="11"/>
      <c r="O614" s="35"/>
    </row>
    <row r="615" spans="1:15" ht="37.5" customHeight="1" x14ac:dyDescent="0.25">
      <c r="A615" s="38" t="str">
        <f t="shared" si="1"/>
        <v/>
      </c>
      <c r="B615" s="2"/>
      <c r="C615" s="2"/>
      <c r="D615" s="2"/>
      <c r="E615" s="2"/>
      <c r="F615" s="2"/>
      <c r="G615" s="39"/>
      <c r="H615" s="39"/>
      <c r="I615" s="11"/>
      <c r="J615" s="11"/>
      <c r="K615" s="11"/>
      <c r="L615" s="11"/>
      <c r="M615" s="11"/>
      <c r="N615" s="11"/>
      <c r="O615" s="35"/>
    </row>
    <row r="616" spans="1:15" ht="37.5" customHeight="1" x14ac:dyDescent="0.25">
      <c r="A616" s="38" t="str">
        <f t="shared" si="1"/>
        <v/>
      </c>
      <c r="B616" s="2"/>
      <c r="C616" s="2"/>
      <c r="D616" s="2"/>
      <c r="E616" s="2"/>
      <c r="F616" s="2"/>
      <c r="G616" s="39"/>
      <c r="H616" s="39"/>
      <c r="I616" s="11"/>
      <c r="J616" s="11"/>
      <c r="K616" s="11"/>
      <c r="L616" s="11"/>
      <c r="M616" s="11"/>
      <c r="N616" s="11"/>
      <c r="O616" s="35"/>
    </row>
    <row r="617" spans="1:15" ht="37.5" customHeight="1" x14ac:dyDescent="0.25">
      <c r="A617" s="38" t="str">
        <f t="shared" si="1"/>
        <v/>
      </c>
      <c r="B617" s="2"/>
      <c r="C617" s="2"/>
      <c r="D617" s="2"/>
      <c r="E617" s="2"/>
      <c r="F617" s="2"/>
      <c r="G617" s="39"/>
      <c r="H617" s="39"/>
      <c r="I617" s="11"/>
      <c r="J617" s="11"/>
      <c r="K617" s="11"/>
      <c r="L617" s="11"/>
      <c r="M617" s="11"/>
      <c r="N617" s="11"/>
      <c r="O617" s="35"/>
    </row>
    <row r="618" spans="1:15" ht="37.5" customHeight="1" x14ac:dyDescent="0.25">
      <c r="A618" s="38" t="str">
        <f t="shared" si="1"/>
        <v/>
      </c>
      <c r="B618" s="2"/>
      <c r="C618" s="2"/>
      <c r="D618" s="2"/>
      <c r="E618" s="2"/>
      <c r="F618" s="2"/>
      <c r="G618" s="39"/>
      <c r="H618" s="39"/>
      <c r="I618" s="11"/>
      <c r="J618" s="11"/>
      <c r="K618" s="11"/>
      <c r="L618" s="11"/>
      <c r="M618" s="11"/>
      <c r="N618" s="11"/>
      <c r="O618" s="35"/>
    </row>
    <row r="619" spans="1:15" ht="37.5" customHeight="1" x14ac:dyDescent="0.25">
      <c r="A619" s="38" t="str">
        <f t="shared" si="1"/>
        <v/>
      </c>
      <c r="B619" s="2"/>
      <c r="C619" s="2"/>
      <c r="D619" s="2"/>
      <c r="E619" s="2"/>
      <c r="F619" s="2"/>
      <c r="G619" s="39"/>
      <c r="H619" s="39"/>
      <c r="I619" s="11"/>
      <c r="J619" s="11"/>
      <c r="K619" s="11"/>
      <c r="L619" s="11"/>
      <c r="M619" s="11"/>
      <c r="N619" s="11"/>
      <c r="O619" s="35"/>
    </row>
    <row r="620" spans="1:15" ht="37.5" customHeight="1" x14ac:dyDescent="0.25">
      <c r="A620" s="38" t="str">
        <f t="shared" si="1"/>
        <v/>
      </c>
      <c r="B620" s="2"/>
      <c r="C620" s="2"/>
      <c r="D620" s="2"/>
      <c r="E620" s="2"/>
      <c r="F620" s="2"/>
      <c r="G620" s="39"/>
      <c r="H620" s="39"/>
      <c r="I620" s="11"/>
      <c r="J620" s="11"/>
      <c r="K620" s="11"/>
      <c r="L620" s="11"/>
      <c r="M620" s="11"/>
      <c r="N620" s="11"/>
      <c r="O620" s="35"/>
    </row>
    <row r="621" spans="1:15" ht="37.5" customHeight="1" x14ac:dyDescent="0.25">
      <c r="A621" s="38" t="str">
        <f t="shared" si="1"/>
        <v/>
      </c>
      <c r="B621" s="2"/>
      <c r="C621" s="2"/>
      <c r="D621" s="2"/>
      <c r="E621" s="2"/>
      <c r="F621" s="2"/>
      <c r="G621" s="39"/>
      <c r="H621" s="39"/>
      <c r="I621" s="11"/>
      <c r="J621" s="11"/>
      <c r="K621" s="11"/>
      <c r="L621" s="11"/>
      <c r="M621" s="11"/>
      <c r="N621" s="11"/>
      <c r="O621" s="35"/>
    </row>
    <row r="622" spans="1:15" ht="37.5" customHeight="1" x14ac:dyDescent="0.25">
      <c r="A622" s="38" t="str">
        <f t="shared" si="1"/>
        <v/>
      </c>
      <c r="B622" s="2"/>
      <c r="C622" s="2"/>
      <c r="D622" s="2"/>
      <c r="E622" s="2"/>
      <c r="F622" s="2"/>
      <c r="G622" s="39"/>
      <c r="H622" s="39"/>
      <c r="I622" s="11"/>
      <c r="J622" s="11"/>
      <c r="K622" s="11"/>
      <c r="L622" s="11"/>
      <c r="M622" s="11"/>
      <c r="N622" s="11"/>
      <c r="O622" s="35"/>
    </row>
    <row r="623" spans="1:15" ht="37.5" customHeight="1" x14ac:dyDescent="0.25">
      <c r="A623" s="38" t="str">
        <f t="shared" si="1"/>
        <v/>
      </c>
      <c r="B623" s="2"/>
      <c r="C623" s="2"/>
      <c r="D623" s="2"/>
      <c r="E623" s="2"/>
      <c r="F623" s="2"/>
      <c r="G623" s="39"/>
      <c r="H623" s="39"/>
      <c r="I623" s="11"/>
      <c r="J623" s="11"/>
      <c r="K623" s="11"/>
      <c r="L623" s="11"/>
      <c r="M623" s="11"/>
      <c r="N623" s="11"/>
      <c r="O623" s="35"/>
    </row>
    <row r="624" spans="1:15" ht="37.5" customHeight="1" x14ac:dyDescent="0.25">
      <c r="A624" s="38" t="str">
        <f t="shared" si="1"/>
        <v/>
      </c>
      <c r="B624" s="2"/>
      <c r="C624" s="2"/>
      <c r="D624" s="2"/>
      <c r="E624" s="2"/>
      <c r="F624" s="2"/>
      <c r="G624" s="39"/>
      <c r="H624" s="39"/>
      <c r="I624" s="11"/>
      <c r="J624" s="11"/>
      <c r="K624" s="11"/>
      <c r="L624" s="11"/>
      <c r="M624" s="11"/>
      <c r="N624" s="11"/>
      <c r="O624" s="35"/>
    </row>
    <row r="625" spans="1:15" ht="37.5" customHeight="1" x14ac:dyDescent="0.25">
      <c r="A625" s="38" t="str">
        <f t="shared" si="1"/>
        <v/>
      </c>
      <c r="B625" s="2"/>
      <c r="C625" s="2"/>
      <c r="D625" s="2"/>
      <c r="E625" s="2"/>
      <c r="F625" s="2"/>
      <c r="G625" s="39"/>
      <c r="H625" s="39"/>
      <c r="I625" s="11"/>
      <c r="J625" s="11"/>
      <c r="K625" s="11"/>
      <c r="L625" s="11"/>
      <c r="M625" s="11"/>
      <c r="N625" s="11"/>
      <c r="O625" s="35"/>
    </row>
    <row r="626" spans="1:15" ht="37.5" customHeight="1" x14ac:dyDescent="0.25">
      <c r="A626" s="38" t="str">
        <f t="shared" si="1"/>
        <v/>
      </c>
      <c r="B626" s="2"/>
      <c r="C626" s="2"/>
      <c r="D626" s="2"/>
      <c r="E626" s="2"/>
      <c r="F626" s="2"/>
      <c r="G626" s="39"/>
      <c r="H626" s="39"/>
      <c r="I626" s="11"/>
      <c r="J626" s="11"/>
      <c r="K626" s="11"/>
      <c r="L626" s="11"/>
      <c r="M626" s="11"/>
      <c r="N626" s="11"/>
      <c r="O626" s="35"/>
    </row>
    <row r="627" spans="1:15" ht="37.5" customHeight="1" x14ac:dyDescent="0.25">
      <c r="A627" s="38" t="str">
        <f t="shared" si="1"/>
        <v/>
      </c>
      <c r="B627" s="2"/>
      <c r="C627" s="2"/>
      <c r="D627" s="2"/>
      <c r="E627" s="2"/>
      <c r="F627" s="2"/>
      <c r="G627" s="39"/>
      <c r="H627" s="39"/>
      <c r="I627" s="11"/>
      <c r="J627" s="11"/>
      <c r="K627" s="11"/>
      <c r="L627" s="11"/>
      <c r="M627" s="11"/>
      <c r="N627" s="11"/>
      <c r="O627" s="35"/>
    </row>
    <row r="628" spans="1:15" ht="37.5" customHeight="1" x14ac:dyDescent="0.25">
      <c r="A628" s="38" t="str">
        <f t="shared" si="1"/>
        <v/>
      </c>
      <c r="B628" s="2"/>
      <c r="C628" s="2"/>
      <c r="D628" s="2"/>
      <c r="E628" s="2"/>
      <c r="F628" s="2"/>
      <c r="G628" s="39"/>
      <c r="H628" s="39"/>
      <c r="I628" s="11"/>
      <c r="J628" s="11"/>
      <c r="K628" s="11"/>
      <c r="L628" s="11"/>
      <c r="M628" s="11"/>
      <c r="N628" s="11"/>
      <c r="O628" s="35"/>
    </row>
    <row r="629" spans="1:15" ht="37.5" customHeight="1" x14ac:dyDescent="0.25">
      <c r="A629" s="38" t="str">
        <f t="shared" si="1"/>
        <v/>
      </c>
      <c r="B629" s="2"/>
      <c r="C629" s="2"/>
      <c r="D629" s="2"/>
      <c r="E629" s="2"/>
      <c r="F629" s="2"/>
      <c r="G629" s="39"/>
      <c r="H629" s="39"/>
      <c r="I629" s="11"/>
      <c r="J629" s="11"/>
      <c r="K629" s="11"/>
      <c r="L629" s="11"/>
      <c r="M629" s="11"/>
      <c r="N629" s="11"/>
      <c r="O629" s="35"/>
    </row>
    <row r="630" spans="1:15" ht="37.5" customHeight="1" x14ac:dyDescent="0.25">
      <c r="A630" s="38" t="str">
        <f t="shared" si="1"/>
        <v/>
      </c>
      <c r="B630" s="2"/>
      <c r="C630" s="2"/>
      <c r="D630" s="2"/>
      <c r="E630" s="2"/>
      <c r="F630" s="2"/>
      <c r="G630" s="39"/>
      <c r="H630" s="39"/>
      <c r="I630" s="11"/>
      <c r="J630" s="11"/>
      <c r="K630" s="11"/>
      <c r="L630" s="11"/>
      <c r="M630" s="11"/>
      <c r="N630" s="11"/>
      <c r="O630" s="35"/>
    </row>
    <row r="631" spans="1:15" ht="37.5" customHeight="1" x14ac:dyDescent="0.25">
      <c r="A631" s="38" t="str">
        <f t="shared" si="1"/>
        <v/>
      </c>
      <c r="B631" s="2"/>
      <c r="C631" s="2"/>
      <c r="D631" s="2"/>
      <c r="E631" s="2"/>
      <c r="F631" s="2"/>
      <c r="G631" s="39"/>
      <c r="H631" s="39"/>
      <c r="I631" s="11"/>
      <c r="J631" s="11"/>
      <c r="K631" s="11"/>
      <c r="L631" s="11"/>
      <c r="M631" s="11"/>
      <c r="N631" s="11"/>
      <c r="O631" s="35"/>
    </row>
    <row r="632" spans="1:15" ht="37.5" customHeight="1" x14ac:dyDescent="0.25">
      <c r="A632" s="38" t="str">
        <f t="shared" si="1"/>
        <v/>
      </c>
      <c r="B632" s="2"/>
      <c r="C632" s="2"/>
      <c r="D632" s="2"/>
      <c r="E632" s="2"/>
      <c r="F632" s="2"/>
      <c r="G632" s="39"/>
      <c r="H632" s="39"/>
      <c r="I632" s="11"/>
      <c r="J632" s="11"/>
      <c r="K632" s="11"/>
      <c r="L632" s="11"/>
      <c r="M632" s="11"/>
      <c r="N632" s="11"/>
      <c r="O632" s="35"/>
    </row>
    <row r="633" spans="1:15" ht="37.5" customHeight="1" x14ac:dyDescent="0.25">
      <c r="A633" s="38" t="str">
        <f t="shared" si="1"/>
        <v/>
      </c>
      <c r="B633" s="2"/>
      <c r="C633" s="2"/>
      <c r="D633" s="2"/>
      <c r="E633" s="2"/>
      <c r="F633" s="2"/>
      <c r="G633" s="39"/>
      <c r="H633" s="39"/>
      <c r="I633" s="11"/>
      <c r="J633" s="11"/>
      <c r="K633" s="11"/>
      <c r="L633" s="11"/>
      <c r="M633" s="11"/>
      <c r="N633" s="11"/>
      <c r="O633" s="35"/>
    </row>
    <row r="634" spans="1:15" ht="37.5" customHeight="1" x14ac:dyDescent="0.25">
      <c r="A634" s="38" t="str">
        <f t="shared" si="1"/>
        <v/>
      </c>
      <c r="B634" s="2"/>
      <c r="C634" s="2"/>
      <c r="D634" s="2"/>
      <c r="E634" s="2"/>
      <c r="F634" s="2"/>
      <c r="G634" s="39"/>
      <c r="H634" s="39"/>
      <c r="I634" s="11"/>
      <c r="J634" s="11"/>
      <c r="K634" s="11"/>
      <c r="L634" s="11"/>
      <c r="M634" s="11"/>
      <c r="N634" s="11"/>
      <c r="O634" s="35"/>
    </row>
    <row r="635" spans="1:15" ht="37.5" customHeight="1" x14ac:dyDescent="0.25">
      <c r="A635" s="38" t="str">
        <f t="shared" si="1"/>
        <v/>
      </c>
      <c r="B635" s="2"/>
      <c r="C635" s="2"/>
      <c r="D635" s="2"/>
      <c r="E635" s="2"/>
      <c r="F635" s="2"/>
      <c r="G635" s="39"/>
      <c r="H635" s="39"/>
      <c r="I635" s="11"/>
      <c r="J635" s="11"/>
      <c r="K635" s="11"/>
      <c r="L635" s="11"/>
      <c r="M635" s="11"/>
      <c r="N635" s="11"/>
      <c r="O635" s="35"/>
    </row>
    <row r="636" spans="1:15" ht="37.5" customHeight="1" x14ac:dyDescent="0.25">
      <c r="A636" s="38" t="str">
        <f t="shared" si="1"/>
        <v/>
      </c>
      <c r="B636" s="2"/>
      <c r="C636" s="2"/>
      <c r="D636" s="2"/>
      <c r="E636" s="2"/>
      <c r="F636" s="2"/>
      <c r="G636" s="39"/>
      <c r="H636" s="39"/>
      <c r="I636" s="11"/>
      <c r="J636" s="11"/>
      <c r="K636" s="11"/>
      <c r="L636" s="11"/>
      <c r="M636" s="11"/>
      <c r="N636" s="11"/>
      <c r="O636" s="35"/>
    </row>
    <row r="637" spans="1:15" ht="37.5" customHeight="1" x14ac:dyDescent="0.25">
      <c r="A637" s="38" t="str">
        <f t="shared" si="1"/>
        <v/>
      </c>
      <c r="B637" s="2"/>
      <c r="C637" s="2"/>
      <c r="D637" s="2"/>
      <c r="E637" s="2"/>
      <c r="F637" s="2"/>
      <c r="G637" s="39"/>
      <c r="H637" s="39"/>
      <c r="I637" s="11"/>
      <c r="J637" s="11"/>
      <c r="K637" s="11"/>
      <c r="L637" s="11"/>
      <c r="M637" s="11"/>
      <c r="N637" s="11"/>
      <c r="O637" s="35"/>
    </row>
    <row r="638" spans="1:15" ht="37.5" customHeight="1" x14ac:dyDescent="0.25">
      <c r="A638" s="38" t="str">
        <f t="shared" si="1"/>
        <v/>
      </c>
      <c r="B638" s="2"/>
      <c r="C638" s="2"/>
      <c r="D638" s="2"/>
      <c r="E638" s="2"/>
      <c r="F638" s="2"/>
      <c r="G638" s="39"/>
      <c r="H638" s="39"/>
      <c r="I638" s="11"/>
      <c r="J638" s="11"/>
      <c r="K638" s="11"/>
      <c r="L638" s="11"/>
      <c r="M638" s="11"/>
      <c r="N638" s="11"/>
      <c r="O638" s="35"/>
    </row>
    <row r="639" spans="1:15" ht="37.5" customHeight="1" x14ac:dyDescent="0.25">
      <c r="A639" s="38" t="str">
        <f t="shared" si="1"/>
        <v/>
      </c>
      <c r="B639" s="2"/>
      <c r="C639" s="2"/>
      <c r="D639" s="2"/>
      <c r="E639" s="2"/>
      <c r="F639" s="2"/>
      <c r="G639" s="39"/>
      <c r="H639" s="39"/>
      <c r="I639" s="11"/>
      <c r="J639" s="11"/>
      <c r="K639" s="11"/>
      <c r="L639" s="11"/>
      <c r="M639" s="11"/>
      <c r="N639" s="11"/>
      <c r="O639" s="35"/>
    </row>
    <row r="640" spans="1:15" ht="37.5" customHeight="1" x14ac:dyDescent="0.25">
      <c r="A640" s="38" t="str">
        <f t="shared" si="1"/>
        <v/>
      </c>
      <c r="B640" s="2"/>
      <c r="C640" s="2"/>
      <c r="D640" s="2"/>
      <c r="E640" s="2"/>
      <c r="F640" s="2"/>
      <c r="G640" s="39"/>
      <c r="H640" s="39"/>
      <c r="I640" s="11"/>
      <c r="J640" s="11"/>
      <c r="K640" s="11"/>
      <c r="L640" s="11"/>
      <c r="M640" s="11"/>
      <c r="N640" s="11"/>
      <c r="O640" s="35"/>
    </row>
    <row r="641" spans="1:15" ht="37.5" customHeight="1" x14ac:dyDescent="0.25">
      <c r="A641" s="38" t="str">
        <f t="shared" si="1"/>
        <v/>
      </c>
      <c r="B641" s="2"/>
      <c r="C641" s="2"/>
      <c r="D641" s="2"/>
      <c r="E641" s="2"/>
      <c r="F641" s="2"/>
      <c r="G641" s="39"/>
      <c r="H641" s="39"/>
      <c r="I641" s="11"/>
      <c r="J641" s="11"/>
      <c r="K641" s="11"/>
      <c r="L641" s="11"/>
      <c r="M641" s="11"/>
      <c r="N641" s="11"/>
      <c r="O641" s="35"/>
    </row>
    <row r="642" spans="1:15" ht="37.5" customHeight="1" x14ac:dyDescent="0.25">
      <c r="A642" s="38" t="str">
        <f t="shared" si="1"/>
        <v/>
      </c>
      <c r="B642" s="2"/>
      <c r="C642" s="2"/>
      <c r="D642" s="2"/>
      <c r="E642" s="2"/>
      <c r="F642" s="2"/>
      <c r="G642" s="39"/>
      <c r="H642" s="39"/>
      <c r="I642" s="11"/>
      <c r="J642" s="11"/>
      <c r="K642" s="11"/>
      <c r="L642" s="11"/>
      <c r="M642" s="11"/>
      <c r="N642" s="11"/>
      <c r="O642" s="35"/>
    </row>
    <row r="643" spans="1:15" ht="37.5" customHeight="1" x14ac:dyDescent="0.25">
      <c r="A643" s="38" t="str">
        <f t="shared" si="1"/>
        <v/>
      </c>
      <c r="B643" s="2"/>
      <c r="C643" s="2"/>
      <c r="D643" s="2"/>
      <c r="E643" s="2"/>
      <c r="F643" s="2"/>
      <c r="G643" s="39"/>
      <c r="H643" s="39"/>
      <c r="I643" s="11"/>
      <c r="J643" s="11"/>
      <c r="K643" s="11"/>
      <c r="L643" s="11"/>
      <c r="M643" s="11"/>
      <c r="N643" s="11"/>
      <c r="O643" s="35"/>
    </row>
    <row r="644" spans="1:15" ht="37.5" customHeight="1" x14ac:dyDescent="0.25">
      <c r="A644" s="38" t="str">
        <f t="shared" si="1"/>
        <v/>
      </c>
      <c r="B644" s="2"/>
      <c r="C644" s="2"/>
      <c r="D644" s="2"/>
      <c r="E644" s="2"/>
      <c r="F644" s="2"/>
      <c r="G644" s="39"/>
      <c r="H644" s="39"/>
      <c r="I644" s="11"/>
      <c r="J644" s="11"/>
      <c r="K644" s="11"/>
      <c r="L644" s="11"/>
      <c r="M644" s="11"/>
      <c r="N644" s="11"/>
      <c r="O644" s="35"/>
    </row>
    <row r="645" spans="1:15" ht="37.5" customHeight="1" x14ac:dyDescent="0.25">
      <c r="A645" s="38" t="str">
        <f t="shared" si="1"/>
        <v/>
      </c>
      <c r="B645" s="2"/>
      <c r="C645" s="2"/>
      <c r="D645" s="2"/>
      <c r="E645" s="2"/>
      <c r="F645" s="2"/>
      <c r="G645" s="39"/>
      <c r="H645" s="39"/>
      <c r="I645" s="11"/>
      <c r="J645" s="11"/>
      <c r="K645" s="11"/>
      <c r="L645" s="11"/>
      <c r="M645" s="11"/>
      <c r="N645" s="11"/>
      <c r="O645" s="35"/>
    </row>
    <row r="646" spans="1:15" ht="37.5" customHeight="1" x14ac:dyDescent="0.25">
      <c r="A646" s="38" t="str">
        <f t="shared" si="1"/>
        <v/>
      </c>
      <c r="B646" s="2"/>
      <c r="C646" s="2"/>
      <c r="D646" s="2"/>
      <c r="E646" s="2"/>
      <c r="F646" s="2"/>
      <c r="G646" s="39"/>
      <c r="H646" s="39"/>
      <c r="I646" s="11"/>
      <c r="J646" s="11"/>
      <c r="K646" s="11"/>
      <c r="L646" s="11"/>
      <c r="M646" s="11"/>
      <c r="N646" s="11"/>
      <c r="O646" s="35"/>
    </row>
    <row r="647" spans="1:15" ht="37.5" customHeight="1" x14ac:dyDescent="0.25">
      <c r="A647" s="38" t="str">
        <f t="shared" si="1"/>
        <v/>
      </c>
      <c r="B647" s="2"/>
      <c r="C647" s="2"/>
      <c r="D647" s="2"/>
      <c r="E647" s="2"/>
      <c r="F647" s="2"/>
      <c r="G647" s="39"/>
      <c r="H647" s="39"/>
      <c r="I647" s="11"/>
      <c r="J647" s="11"/>
      <c r="K647" s="11"/>
      <c r="L647" s="11"/>
      <c r="M647" s="11"/>
      <c r="N647" s="11"/>
      <c r="O647" s="35"/>
    </row>
    <row r="648" spans="1:15" ht="37.5" customHeight="1" x14ac:dyDescent="0.25">
      <c r="A648" s="38" t="str">
        <f t="shared" si="1"/>
        <v/>
      </c>
      <c r="B648" s="2"/>
      <c r="C648" s="2"/>
      <c r="D648" s="2"/>
      <c r="E648" s="2"/>
      <c r="F648" s="2"/>
      <c r="G648" s="39"/>
      <c r="H648" s="39"/>
      <c r="I648" s="11"/>
      <c r="J648" s="11"/>
      <c r="K648" s="11"/>
      <c r="L648" s="11"/>
      <c r="M648" s="11"/>
      <c r="N648" s="11"/>
      <c r="O648" s="35"/>
    </row>
    <row r="649" spans="1:15" ht="37.5" customHeight="1" x14ac:dyDescent="0.25">
      <c r="A649" s="38" t="str">
        <f t="shared" si="1"/>
        <v/>
      </c>
      <c r="B649" s="2"/>
      <c r="C649" s="2"/>
      <c r="D649" s="2"/>
      <c r="E649" s="2"/>
      <c r="F649" s="2"/>
      <c r="G649" s="39"/>
      <c r="H649" s="39"/>
      <c r="I649" s="11"/>
      <c r="J649" s="11"/>
      <c r="K649" s="11"/>
      <c r="L649" s="11"/>
      <c r="M649" s="11"/>
      <c r="N649" s="11"/>
      <c r="O649" s="35"/>
    </row>
    <row r="650" spans="1:15" ht="37.5" customHeight="1" x14ac:dyDescent="0.25">
      <c r="A650" s="38" t="str">
        <f t="shared" si="1"/>
        <v/>
      </c>
      <c r="B650" s="2"/>
      <c r="C650" s="2"/>
      <c r="D650" s="2"/>
      <c r="E650" s="2"/>
      <c r="F650" s="2"/>
      <c r="G650" s="39"/>
      <c r="H650" s="39"/>
      <c r="I650" s="11"/>
      <c r="J650" s="11"/>
      <c r="K650" s="11"/>
      <c r="L650" s="11"/>
      <c r="M650" s="11"/>
      <c r="N650" s="11"/>
      <c r="O650" s="35"/>
    </row>
    <row r="651" spans="1:15" ht="37.5" customHeight="1" x14ac:dyDescent="0.25">
      <c r="A651" s="38" t="str">
        <f t="shared" si="1"/>
        <v/>
      </c>
      <c r="B651" s="2"/>
      <c r="C651" s="2"/>
      <c r="D651" s="2"/>
      <c r="E651" s="2"/>
      <c r="F651" s="2"/>
      <c r="G651" s="39"/>
      <c r="H651" s="39"/>
      <c r="I651" s="11"/>
      <c r="J651" s="11"/>
      <c r="K651" s="11"/>
      <c r="L651" s="11"/>
      <c r="M651" s="11"/>
      <c r="N651" s="11"/>
      <c r="O651" s="35"/>
    </row>
    <row r="652" spans="1:15" ht="37.5" customHeight="1" x14ac:dyDescent="0.25">
      <c r="A652" s="38" t="str">
        <f t="shared" si="1"/>
        <v/>
      </c>
      <c r="B652" s="2"/>
      <c r="C652" s="2"/>
      <c r="D652" s="2"/>
      <c r="E652" s="2"/>
      <c r="F652" s="2"/>
      <c r="G652" s="39"/>
      <c r="H652" s="39"/>
      <c r="I652" s="11"/>
      <c r="J652" s="11"/>
      <c r="K652" s="11"/>
      <c r="L652" s="11"/>
      <c r="M652" s="11"/>
      <c r="N652" s="11"/>
      <c r="O652" s="35"/>
    </row>
    <row r="653" spans="1:15" ht="37.5" customHeight="1" x14ac:dyDescent="0.25">
      <c r="A653" s="38" t="str">
        <f t="shared" si="1"/>
        <v/>
      </c>
      <c r="B653" s="2"/>
      <c r="C653" s="2"/>
      <c r="D653" s="2"/>
      <c r="E653" s="2"/>
      <c r="F653" s="2"/>
      <c r="G653" s="39"/>
      <c r="H653" s="39"/>
      <c r="I653" s="11"/>
      <c r="J653" s="11"/>
      <c r="K653" s="11"/>
      <c r="L653" s="11"/>
      <c r="M653" s="11"/>
      <c r="N653" s="11"/>
      <c r="O653" s="35"/>
    </row>
    <row r="654" spans="1:15" ht="37.5" customHeight="1" x14ac:dyDescent="0.25">
      <c r="A654" s="38" t="str">
        <f t="shared" si="1"/>
        <v/>
      </c>
      <c r="B654" s="2"/>
      <c r="C654" s="2"/>
      <c r="D654" s="2"/>
      <c r="E654" s="2"/>
      <c r="F654" s="2"/>
      <c r="G654" s="39"/>
      <c r="H654" s="39"/>
      <c r="I654" s="11"/>
      <c r="J654" s="11"/>
      <c r="K654" s="11"/>
      <c r="L654" s="11"/>
      <c r="M654" s="11"/>
      <c r="N654" s="11"/>
      <c r="O654" s="35"/>
    </row>
    <row r="655" spans="1:15" ht="37.5" customHeight="1" x14ac:dyDescent="0.25">
      <c r="A655" s="38" t="str">
        <f t="shared" si="1"/>
        <v/>
      </c>
      <c r="B655" s="2"/>
      <c r="C655" s="2"/>
      <c r="D655" s="2"/>
      <c r="E655" s="2"/>
      <c r="F655" s="2"/>
      <c r="G655" s="39"/>
      <c r="H655" s="39"/>
      <c r="I655" s="11"/>
      <c r="J655" s="11"/>
      <c r="K655" s="11"/>
      <c r="L655" s="11"/>
      <c r="M655" s="11"/>
      <c r="N655" s="11"/>
      <c r="O655" s="35"/>
    </row>
    <row r="656" spans="1:15" ht="37.5" customHeight="1" x14ac:dyDescent="0.25">
      <c r="A656" s="38" t="str">
        <f t="shared" si="1"/>
        <v/>
      </c>
      <c r="B656" s="2"/>
      <c r="C656" s="2"/>
      <c r="D656" s="2"/>
      <c r="E656" s="2"/>
      <c r="F656" s="2"/>
      <c r="G656" s="39"/>
      <c r="H656" s="39"/>
      <c r="I656" s="11"/>
      <c r="J656" s="11"/>
      <c r="K656" s="11"/>
      <c r="L656" s="11"/>
      <c r="M656" s="11"/>
      <c r="N656" s="11"/>
      <c r="O656" s="35"/>
    </row>
    <row r="657" spans="1:15" ht="37.5" customHeight="1" x14ac:dyDescent="0.25">
      <c r="A657" s="38" t="str">
        <f t="shared" si="1"/>
        <v/>
      </c>
      <c r="B657" s="2"/>
      <c r="C657" s="2"/>
      <c r="D657" s="2"/>
      <c r="E657" s="2"/>
      <c r="F657" s="2"/>
      <c r="G657" s="39"/>
      <c r="H657" s="39"/>
      <c r="I657" s="11"/>
      <c r="J657" s="11"/>
      <c r="K657" s="11"/>
      <c r="L657" s="11"/>
      <c r="M657" s="11"/>
      <c r="N657" s="11"/>
      <c r="O657" s="35"/>
    </row>
    <row r="658" spans="1:15" ht="37.5" customHeight="1" x14ac:dyDescent="0.25">
      <c r="A658" s="38" t="str">
        <f t="shared" si="1"/>
        <v/>
      </c>
      <c r="B658" s="2"/>
      <c r="C658" s="2"/>
      <c r="D658" s="2"/>
      <c r="E658" s="2"/>
      <c r="F658" s="2"/>
      <c r="G658" s="39"/>
      <c r="H658" s="39"/>
      <c r="I658" s="11"/>
      <c r="J658" s="11"/>
      <c r="K658" s="11"/>
      <c r="L658" s="11"/>
      <c r="M658" s="11"/>
      <c r="N658" s="11"/>
      <c r="O658" s="35"/>
    </row>
    <row r="659" spans="1:15" ht="37.5" customHeight="1" x14ac:dyDescent="0.25">
      <c r="A659" s="38" t="str">
        <f t="shared" si="1"/>
        <v/>
      </c>
      <c r="B659" s="2"/>
      <c r="C659" s="2"/>
      <c r="D659" s="2"/>
      <c r="E659" s="2"/>
      <c r="F659" s="2"/>
      <c r="G659" s="39"/>
      <c r="H659" s="39"/>
      <c r="I659" s="11"/>
      <c r="J659" s="11"/>
      <c r="K659" s="11"/>
      <c r="L659" s="11"/>
      <c r="M659" s="11"/>
      <c r="N659" s="11"/>
      <c r="O659" s="35"/>
    </row>
    <row r="660" spans="1:15" ht="37.5" customHeight="1" x14ac:dyDescent="0.25">
      <c r="A660" s="38" t="str">
        <f t="shared" si="1"/>
        <v/>
      </c>
      <c r="B660" s="2"/>
      <c r="C660" s="2"/>
      <c r="D660" s="2"/>
      <c r="E660" s="2"/>
      <c r="F660" s="2"/>
      <c r="G660" s="39"/>
      <c r="H660" s="39"/>
      <c r="I660" s="11"/>
      <c r="J660" s="11"/>
      <c r="K660" s="11"/>
      <c r="L660" s="11"/>
      <c r="M660" s="11"/>
      <c r="N660" s="11"/>
      <c r="O660" s="35"/>
    </row>
    <row r="661" spans="1:15" ht="37.5" customHeight="1" x14ac:dyDescent="0.25">
      <c r="A661" s="38" t="str">
        <f t="shared" si="1"/>
        <v/>
      </c>
      <c r="B661" s="2"/>
      <c r="C661" s="2"/>
      <c r="D661" s="2"/>
      <c r="E661" s="2"/>
      <c r="F661" s="2"/>
      <c r="G661" s="39"/>
      <c r="H661" s="39"/>
      <c r="I661" s="11"/>
      <c r="J661" s="11"/>
      <c r="K661" s="11"/>
      <c r="L661" s="11"/>
      <c r="M661" s="11"/>
      <c r="N661" s="11"/>
      <c r="O661" s="35"/>
    </row>
    <row r="662" spans="1:15" ht="37.5" customHeight="1" x14ac:dyDescent="0.25">
      <c r="A662" s="38" t="str">
        <f t="shared" si="1"/>
        <v/>
      </c>
      <c r="B662" s="2"/>
      <c r="C662" s="2"/>
      <c r="D662" s="2"/>
      <c r="E662" s="2"/>
      <c r="F662" s="2"/>
      <c r="G662" s="39"/>
      <c r="H662" s="39"/>
      <c r="I662" s="11"/>
      <c r="J662" s="11"/>
      <c r="K662" s="11"/>
      <c r="L662" s="11"/>
      <c r="M662" s="11"/>
      <c r="N662" s="11"/>
      <c r="O662" s="35"/>
    </row>
    <row r="663" spans="1:15" ht="37.5" customHeight="1" x14ac:dyDescent="0.25">
      <c r="A663" s="38" t="str">
        <f t="shared" si="1"/>
        <v/>
      </c>
      <c r="B663" s="2"/>
      <c r="C663" s="2"/>
      <c r="D663" s="2"/>
      <c r="E663" s="2"/>
      <c r="F663" s="2"/>
      <c r="G663" s="39"/>
      <c r="H663" s="39"/>
      <c r="I663" s="11"/>
      <c r="J663" s="11"/>
      <c r="K663" s="11"/>
      <c r="L663" s="11"/>
      <c r="M663" s="11"/>
      <c r="N663" s="11"/>
      <c r="O663" s="35"/>
    </row>
    <row r="664" spans="1:15" ht="37.5" customHeight="1" x14ac:dyDescent="0.25">
      <c r="A664" s="38" t="str">
        <f t="shared" si="1"/>
        <v/>
      </c>
      <c r="B664" s="2"/>
      <c r="C664" s="2"/>
      <c r="D664" s="2"/>
      <c r="E664" s="2"/>
      <c r="F664" s="2"/>
      <c r="G664" s="39"/>
      <c r="H664" s="39"/>
      <c r="I664" s="11"/>
      <c r="J664" s="11"/>
      <c r="K664" s="11"/>
      <c r="L664" s="11"/>
      <c r="M664" s="11"/>
      <c r="N664" s="11"/>
      <c r="O664" s="35"/>
    </row>
    <row r="665" spans="1:15" ht="37.5" customHeight="1" x14ac:dyDescent="0.25">
      <c r="A665" s="38" t="str">
        <f t="shared" si="1"/>
        <v/>
      </c>
      <c r="B665" s="2"/>
      <c r="C665" s="2"/>
      <c r="D665" s="2"/>
      <c r="E665" s="2"/>
      <c r="F665" s="2"/>
      <c r="G665" s="39"/>
      <c r="H665" s="39"/>
      <c r="I665" s="11"/>
      <c r="J665" s="11"/>
      <c r="K665" s="11"/>
      <c r="L665" s="11"/>
      <c r="M665" s="11"/>
      <c r="N665" s="11"/>
      <c r="O665" s="35"/>
    </row>
    <row r="666" spans="1:15" ht="37.5" customHeight="1" x14ac:dyDescent="0.25">
      <c r="A666" s="38" t="str">
        <f t="shared" si="1"/>
        <v/>
      </c>
      <c r="B666" s="2"/>
      <c r="C666" s="2"/>
      <c r="D666" s="2"/>
      <c r="E666" s="2"/>
      <c r="F666" s="2"/>
      <c r="G666" s="39"/>
      <c r="H666" s="39"/>
      <c r="I666" s="11"/>
      <c r="J666" s="11"/>
      <c r="K666" s="11"/>
      <c r="L666" s="11"/>
      <c r="M666" s="11"/>
      <c r="N666" s="11"/>
      <c r="O666" s="35"/>
    </row>
    <row r="667" spans="1:15" ht="37.5" customHeight="1" x14ac:dyDescent="0.25">
      <c r="A667" s="38" t="str">
        <f t="shared" si="1"/>
        <v/>
      </c>
      <c r="B667" s="2"/>
      <c r="C667" s="2"/>
      <c r="D667" s="2"/>
      <c r="E667" s="2"/>
      <c r="F667" s="2"/>
      <c r="G667" s="39"/>
      <c r="H667" s="39"/>
      <c r="I667" s="11"/>
      <c r="J667" s="11"/>
      <c r="K667" s="11"/>
      <c r="L667" s="11"/>
      <c r="M667" s="11"/>
      <c r="N667" s="11"/>
      <c r="O667" s="35"/>
    </row>
    <row r="668" spans="1:15" ht="37.5" customHeight="1" x14ac:dyDescent="0.25">
      <c r="A668" s="38" t="str">
        <f t="shared" si="1"/>
        <v/>
      </c>
      <c r="B668" s="2"/>
      <c r="C668" s="2"/>
      <c r="D668" s="2"/>
      <c r="E668" s="2"/>
      <c r="F668" s="2"/>
      <c r="G668" s="39"/>
      <c r="H668" s="39"/>
      <c r="I668" s="11"/>
      <c r="J668" s="11"/>
      <c r="K668" s="11"/>
      <c r="L668" s="11"/>
      <c r="M668" s="11"/>
      <c r="N668" s="11"/>
      <c r="O668" s="35"/>
    </row>
    <row r="669" spans="1:15" ht="37.5" customHeight="1" x14ac:dyDescent="0.25">
      <c r="A669" s="38" t="str">
        <f t="shared" si="1"/>
        <v/>
      </c>
      <c r="B669" s="2"/>
      <c r="C669" s="2"/>
      <c r="D669" s="2"/>
      <c r="E669" s="2"/>
      <c r="F669" s="2"/>
      <c r="G669" s="39"/>
      <c r="H669" s="39"/>
      <c r="I669" s="11"/>
      <c r="J669" s="11"/>
      <c r="K669" s="11"/>
      <c r="L669" s="11"/>
      <c r="M669" s="11"/>
      <c r="N669" s="11"/>
      <c r="O669" s="35"/>
    </row>
    <row r="670" spans="1:15" ht="37.5" customHeight="1" x14ac:dyDescent="0.25">
      <c r="A670" s="38" t="str">
        <f t="shared" si="1"/>
        <v/>
      </c>
      <c r="B670" s="2"/>
      <c r="C670" s="2"/>
      <c r="D670" s="2"/>
      <c r="E670" s="2"/>
      <c r="F670" s="2"/>
      <c r="G670" s="39"/>
      <c r="H670" s="39"/>
      <c r="I670" s="11"/>
      <c r="J670" s="11"/>
      <c r="K670" s="11"/>
      <c r="L670" s="11"/>
      <c r="M670" s="11"/>
      <c r="N670" s="11"/>
      <c r="O670" s="35"/>
    </row>
    <row r="671" spans="1:15" ht="37.5" customHeight="1" x14ac:dyDescent="0.25">
      <c r="A671" s="38" t="str">
        <f t="shared" si="1"/>
        <v/>
      </c>
      <c r="B671" s="2"/>
      <c r="C671" s="2"/>
      <c r="D671" s="2"/>
      <c r="E671" s="2"/>
      <c r="F671" s="2"/>
      <c r="G671" s="39"/>
      <c r="H671" s="39"/>
      <c r="I671" s="11"/>
      <c r="J671" s="11"/>
      <c r="K671" s="11"/>
      <c r="L671" s="11"/>
      <c r="M671" s="11"/>
      <c r="N671" s="11"/>
      <c r="O671" s="35"/>
    </row>
    <row r="672" spans="1:15" ht="37.5" customHeight="1" x14ac:dyDescent="0.25">
      <c r="A672" s="38" t="str">
        <f t="shared" si="1"/>
        <v/>
      </c>
      <c r="B672" s="2"/>
      <c r="C672" s="2"/>
      <c r="D672" s="2"/>
      <c r="E672" s="2"/>
      <c r="F672" s="2"/>
      <c r="G672" s="39"/>
      <c r="H672" s="39"/>
      <c r="I672" s="11"/>
      <c r="J672" s="11"/>
      <c r="K672" s="11"/>
      <c r="L672" s="11"/>
      <c r="M672" s="11"/>
      <c r="N672" s="11"/>
      <c r="O672" s="35"/>
    </row>
    <row r="673" spans="1:15" ht="37.5" customHeight="1" x14ac:dyDescent="0.25">
      <c r="A673" s="38" t="str">
        <f t="shared" si="1"/>
        <v/>
      </c>
      <c r="B673" s="2"/>
      <c r="C673" s="2"/>
      <c r="D673" s="2"/>
      <c r="E673" s="2"/>
      <c r="F673" s="2"/>
      <c r="G673" s="39"/>
      <c r="H673" s="39"/>
      <c r="I673" s="11"/>
      <c r="J673" s="11"/>
      <c r="K673" s="11"/>
      <c r="L673" s="11"/>
      <c r="M673" s="11"/>
      <c r="N673" s="11"/>
      <c r="O673" s="35"/>
    </row>
    <row r="674" spans="1:15" ht="37.5" customHeight="1" x14ac:dyDescent="0.25">
      <c r="A674" s="38" t="str">
        <f t="shared" si="1"/>
        <v/>
      </c>
      <c r="B674" s="2"/>
      <c r="C674" s="2"/>
      <c r="D674" s="2"/>
      <c r="E674" s="2"/>
      <c r="F674" s="2"/>
      <c r="G674" s="39"/>
      <c r="H674" s="39"/>
      <c r="I674" s="11"/>
      <c r="J674" s="11"/>
      <c r="K674" s="11"/>
      <c r="L674" s="11"/>
      <c r="M674" s="11"/>
      <c r="N674" s="11"/>
      <c r="O674" s="35"/>
    </row>
    <row r="675" spans="1:15" ht="37.5" customHeight="1" x14ac:dyDescent="0.25">
      <c r="A675" s="38" t="str">
        <f t="shared" si="1"/>
        <v/>
      </c>
      <c r="B675" s="2"/>
      <c r="C675" s="2"/>
      <c r="D675" s="2"/>
      <c r="E675" s="2"/>
      <c r="F675" s="2"/>
      <c r="G675" s="39"/>
      <c r="H675" s="39"/>
      <c r="I675" s="11"/>
      <c r="J675" s="11"/>
      <c r="K675" s="11"/>
      <c r="L675" s="11"/>
      <c r="M675" s="11"/>
      <c r="N675" s="11"/>
      <c r="O675" s="35"/>
    </row>
    <row r="676" spans="1:15" ht="37.5" customHeight="1" x14ac:dyDescent="0.25">
      <c r="A676" s="38" t="str">
        <f t="shared" si="1"/>
        <v/>
      </c>
      <c r="B676" s="2"/>
      <c r="C676" s="2"/>
      <c r="D676" s="2"/>
      <c r="E676" s="2"/>
      <c r="F676" s="2"/>
      <c r="G676" s="39"/>
      <c r="H676" s="39"/>
      <c r="I676" s="11"/>
      <c r="J676" s="11"/>
      <c r="K676" s="11"/>
      <c r="L676" s="11"/>
      <c r="M676" s="11"/>
      <c r="N676" s="11"/>
      <c r="O676" s="35"/>
    </row>
    <row r="677" spans="1:15" ht="37.5" customHeight="1" x14ac:dyDescent="0.25">
      <c r="A677" s="38" t="str">
        <f t="shared" si="1"/>
        <v/>
      </c>
      <c r="B677" s="2"/>
      <c r="C677" s="2"/>
      <c r="D677" s="2"/>
      <c r="E677" s="2"/>
      <c r="F677" s="2"/>
      <c r="G677" s="39"/>
      <c r="H677" s="39"/>
      <c r="I677" s="11"/>
      <c r="J677" s="11"/>
      <c r="K677" s="11"/>
      <c r="L677" s="11"/>
      <c r="M677" s="11"/>
      <c r="N677" s="11"/>
      <c r="O677" s="35"/>
    </row>
    <row r="678" spans="1:15" ht="37.5" customHeight="1" x14ac:dyDescent="0.25">
      <c r="A678" s="38" t="str">
        <f t="shared" si="1"/>
        <v/>
      </c>
      <c r="B678" s="2"/>
      <c r="C678" s="2"/>
      <c r="D678" s="2"/>
      <c r="E678" s="2"/>
      <c r="F678" s="2"/>
      <c r="G678" s="39"/>
      <c r="H678" s="39"/>
      <c r="I678" s="11"/>
      <c r="J678" s="11"/>
      <c r="K678" s="11"/>
      <c r="L678" s="11"/>
      <c r="M678" s="11"/>
      <c r="N678" s="11"/>
      <c r="O678" s="35"/>
    </row>
    <row r="679" spans="1:15" ht="37.5" customHeight="1" x14ac:dyDescent="0.25">
      <c r="A679" s="38" t="str">
        <f t="shared" si="1"/>
        <v/>
      </c>
      <c r="B679" s="2"/>
      <c r="C679" s="2"/>
      <c r="D679" s="2"/>
      <c r="E679" s="2"/>
      <c r="F679" s="2"/>
      <c r="G679" s="39"/>
      <c r="H679" s="39"/>
      <c r="I679" s="11"/>
      <c r="J679" s="11"/>
      <c r="K679" s="11"/>
      <c r="L679" s="11"/>
      <c r="M679" s="11"/>
      <c r="N679" s="11"/>
      <c r="O679" s="35"/>
    </row>
    <row r="680" spans="1:15" ht="37.5" customHeight="1" x14ac:dyDescent="0.25">
      <c r="A680" s="38" t="str">
        <f t="shared" si="1"/>
        <v/>
      </c>
      <c r="B680" s="2"/>
      <c r="C680" s="2"/>
      <c r="D680" s="2"/>
      <c r="E680" s="2"/>
      <c r="F680" s="2"/>
      <c r="G680" s="39"/>
      <c r="H680" s="39"/>
      <c r="I680" s="11"/>
      <c r="J680" s="11"/>
      <c r="K680" s="11"/>
      <c r="L680" s="11"/>
      <c r="M680" s="11"/>
      <c r="N680" s="11"/>
      <c r="O680" s="35"/>
    </row>
    <row r="681" spans="1:15" ht="37.5" customHeight="1" x14ac:dyDescent="0.25">
      <c r="A681" s="38" t="str">
        <f t="shared" si="1"/>
        <v/>
      </c>
      <c r="B681" s="2"/>
      <c r="C681" s="2"/>
      <c r="D681" s="2"/>
      <c r="E681" s="2"/>
      <c r="F681" s="2"/>
      <c r="G681" s="39"/>
      <c r="H681" s="39"/>
      <c r="I681" s="11"/>
      <c r="J681" s="11"/>
      <c r="K681" s="11"/>
      <c r="L681" s="11"/>
      <c r="M681" s="11"/>
      <c r="N681" s="11"/>
      <c r="O681" s="35"/>
    </row>
    <row r="682" spans="1:15" ht="37.5" customHeight="1" x14ac:dyDescent="0.25">
      <c r="A682" s="38" t="str">
        <f t="shared" si="1"/>
        <v/>
      </c>
      <c r="B682" s="2"/>
      <c r="C682" s="2"/>
      <c r="D682" s="2"/>
      <c r="E682" s="2"/>
      <c r="F682" s="2"/>
      <c r="G682" s="39"/>
      <c r="H682" s="39"/>
      <c r="I682" s="11"/>
      <c r="J682" s="11"/>
      <c r="K682" s="11"/>
      <c r="L682" s="11"/>
      <c r="M682" s="11"/>
      <c r="N682" s="11"/>
      <c r="O682" s="35"/>
    </row>
    <row r="683" spans="1:15" ht="37.5" customHeight="1" x14ac:dyDescent="0.25">
      <c r="A683" s="38" t="str">
        <f t="shared" si="1"/>
        <v/>
      </c>
      <c r="B683" s="2"/>
      <c r="C683" s="2"/>
      <c r="D683" s="2"/>
      <c r="E683" s="2"/>
      <c r="F683" s="2"/>
      <c r="G683" s="39"/>
      <c r="H683" s="39"/>
      <c r="I683" s="11"/>
      <c r="J683" s="11"/>
      <c r="K683" s="11"/>
      <c r="L683" s="11"/>
      <c r="M683" s="11"/>
      <c r="N683" s="11"/>
      <c r="O683" s="35"/>
    </row>
    <row r="684" spans="1:15" ht="37.5" customHeight="1" x14ac:dyDescent="0.25">
      <c r="A684" s="38" t="str">
        <f t="shared" si="1"/>
        <v/>
      </c>
      <c r="B684" s="2"/>
      <c r="C684" s="2"/>
      <c r="D684" s="2"/>
      <c r="E684" s="2"/>
      <c r="F684" s="2"/>
      <c r="G684" s="39"/>
      <c r="H684" s="39"/>
      <c r="I684" s="11"/>
      <c r="J684" s="11"/>
      <c r="K684" s="11"/>
      <c r="L684" s="11"/>
      <c r="M684" s="11"/>
      <c r="N684" s="11"/>
      <c r="O684" s="35"/>
    </row>
  </sheetData>
  <pageMargins left="0.511811024" right="0.511811024" top="0.78740157499999996" bottom="0.78740157499999996" header="0.31496062000000002" footer="0.31496062000000002"/>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FC5E8"/>
    <outlinePr summaryBelow="0" summaryRight="0"/>
  </sheetPr>
  <dimension ref="A1:E145"/>
  <sheetViews>
    <sheetView showGridLines="0" workbookViewId="0">
      <pane ySplit="1" topLeftCell="A2" activePane="bottomLeft" state="frozen"/>
      <selection pane="bottomLeft" activeCell="B3" sqref="B3"/>
    </sheetView>
  </sheetViews>
  <sheetFormatPr defaultColWidth="12.54296875" defaultRowHeight="15.75" customHeight="1" x14ac:dyDescent="0.25"/>
  <cols>
    <col min="2" max="2" width="62.54296875" customWidth="1"/>
  </cols>
  <sheetData>
    <row r="1" spans="1:5" ht="14" x14ac:dyDescent="0.25">
      <c r="A1" s="4" t="s">
        <v>67</v>
      </c>
      <c r="B1" s="4" t="s">
        <v>7</v>
      </c>
      <c r="C1" s="4" t="s">
        <v>68</v>
      </c>
      <c r="D1" s="4" t="s">
        <v>67</v>
      </c>
      <c r="E1" s="35"/>
    </row>
    <row r="2" spans="1:5" ht="25.5" customHeight="1" x14ac:dyDescent="0.25">
      <c r="A2" s="1">
        <v>221185</v>
      </c>
      <c r="B2" s="40" t="s">
        <v>69</v>
      </c>
      <c r="C2" s="1">
        <v>160</v>
      </c>
      <c r="D2" s="1">
        <v>221185</v>
      </c>
      <c r="E2" s="35"/>
    </row>
    <row r="3" spans="1:5" ht="25.5" customHeight="1" x14ac:dyDescent="0.25">
      <c r="A3" s="1">
        <v>264079</v>
      </c>
      <c r="B3" s="40" t="s">
        <v>70</v>
      </c>
      <c r="C3" s="1">
        <v>200</v>
      </c>
      <c r="D3" s="1">
        <v>264079</v>
      </c>
      <c r="E3" s="35"/>
    </row>
    <row r="4" spans="1:5" ht="25.5" customHeight="1" x14ac:dyDescent="0.25">
      <c r="A4" s="1">
        <v>221535</v>
      </c>
      <c r="B4" s="40" t="s">
        <v>71</v>
      </c>
      <c r="C4" s="1">
        <v>160</v>
      </c>
      <c r="D4" s="1">
        <v>221535</v>
      </c>
      <c r="E4" s="35"/>
    </row>
    <row r="5" spans="1:5" ht="25.5" customHeight="1" x14ac:dyDescent="0.25">
      <c r="A5" s="1">
        <v>221004</v>
      </c>
      <c r="B5" s="40" t="s">
        <v>29</v>
      </c>
      <c r="C5" s="1">
        <v>160</v>
      </c>
      <c r="D5" s="1">
        <v>221004</v>
      </c>
      <c r="E5" s="35"/>
    </row>
    <row r="6" spans="1:5" ht="25.5" customHeight="1" x14ac:dyDescent="0.25">
      <c r="A6" s="1">
        <v>221492</v>
      </c>
      <c r="B6" s="41" t="s">
        <v>72</v>
      </c>
      <c r="C6" s="1">
        <v>160</v>
      </c>
      <c r="D6" s="1">
        <v>221492</v>
      </c>
      <c r="E6" s="35"/>
    </row>
    <row r="7" spans="1:5" ht="25.5" customHeight="1" x14ac:dyDescent="0.25">
      <c r="A7" s="1">
        <v>221352</v>
      </c>
      <c r="B7" s="41" t="s">
        <v>73</v>
      </c>
      <c r="C7" s="1">
        <v>240</v>
      </c>
      <c r="D7" s="1">
        <v>221352</v>
      </c>
      <c r="E7" s="35"/>
    </row>
    <row r="8" spans="1:5" ht="25.5" customHeight="1" x14ac:dyDescent="0.25">
      <c r="A8" s="1">
        <v>221465</v>
      </c>
      <c r="B8" s="41" t="s">
        <v>74</v>
      </c>
      <c r="C8" s="1">
        <v>200</v>
      </c>
      <c r="D8" s="1">
        <v>221465</v>
      </c>
      <c r="E8" s="35"/>
    </row>
    <row r="9" spans="1:5" ht="25.5" customHeight="1" x14ac:dyDescent="0.25">
      <c r="A9" s="1">
        <v>221512</v>
      </c>
      <c r="B9" s="41" t="s">
        <v>75</v>
      </c>
      <c r="C9" s="1">
        <v>160</v>
      </c>
      <c r="D9" s="1">
        <v>221512</v>
      </c>
      <c r="E9" s="35"/>
    </row>
    <row r="10" spans="1:5" ht="25.5" customHeight="1" x14ac:dyDescent="0.25">
      <c r="A10" s="1">
        <v>221191</v>
      </c>
      <c r="B10" s="41" t="s">
        <v>76</v>
      </c>
      <c r="C10" s="1">
        <v>240</v>
      </c>
      <c r="D10" s="1">
        <v>221191</v>
      </c>
      <c r="E10" s="35"/>
    </row>
    <row r="11" spans="1:5" ht="25.5" customHeight="1" x14ac:dyDescent="0.25">
      <c r="A11" s="1">
        <v>278086</v>
      </c>
      <c r="B11" s="41" t="s">
        <v>77</v>
      </c>
      <c r="C11" s="1">
        <v>160</v>
      </c>
      <c r="D11" s="1">
        <v>278086</v>
      </c>
      <c r="E11" s="35"/>
    </row>
    <row r="12" spans="1:5" ht="25.5" customHeight="1" x14ac:dyDescent="0.25">
      <c r="A12" s="1">
        <v>221289</v>
      </c>
      <c r="B12" s="40" t="s">
        <v>78</v>
      </c>
      <c r="C12" s="1">
        <v>200</v>
      </c>
      <c r="D12" s="1">
        <v>221289</v>
      </c>
      <c r="E12" s="35"/>
    </row>
    <row r="13" spans="1:5" ht="25.5" customHeight="1" x14ac:dyDescent="0.25">
      <c r="A13" s="1">
        <v>221106</v>
      </c>
      <c r="B13" s="40" t="s">
        <v>35</v>
      </c>
      <c r="C13" s="1">
        <v>160</v>
      </c>
      <c r="D13" s="1">
        <v>221106</v>
      </c>
      <c r="E13" s="35"/>
    </row>
    <row r="14" spans="1:5" ht="25.5" customHeight="1" x14ac:dyDescent="0.25">
      <c r="A14" s="1">
        <v>221400</v>
      </c>
      <c r="B14" s="40" t="s">
        <v>79</v>
      </c>
      <c r="C14" s="1">
        <v>160</v>
      </c>
      <c r="D14" s="1">
        <v>221400</v>
      </c>
      <c r="E14" s="35"/>
    </row>
    <row r="15" spans="1:5" ht="25.5" customHeight="1" x14ac:dyDescent="0.25">
      <c r="A15" s="1">
        <v>221371</v>
      </c>
      <c r="B15" s="40" t="s">
        <v>80</v>
      </c>
      <c r="C15" s="1">
        <v>160</v>
      </c>
      <c r="D15" s="1">
        <v>221371</v>
      </c>
      <c r="E15" s="35"/>
    </row>
    <row r="16" spans="1:5" ht="25.5" customHeight="1" x14ac:dyDescent="0.25">
      <c r="A16" s="1">
        <v>221044</v>
      </c>
      <c r="B16" s="40" t="s">
        <v>81</v>
      </c>
      <c r="C16" s="1">
        <v>240</v>
      </c>
      <c r="D16" s="1">
        <v>221044</v>
      </c>
      <c r="E16" s="35"/>
    </row>
    <row r="17" spans="1:5" ht="25.5" customHeight="1" x14ac:dyDescent="0.25">
      <c r="A17" s="1">
        <v>221008</v>
      </c>
      <c r="B17" s="40" t="s">
        <v>82</v>
      </c>
      <c r="C17" s="1">
        <v>160</v>
      </c>
      <c r="D17" s="1">
        <v>221008</v>
      </c>
      <c r="E17" s="35"/>
    </row>
    <row r="18" spans="1:5" ht="25.5" customHeight="1" x14ac:dyDescent="0.25">
      <c r="A18" s="1">
        <v>221283</v>
      </c>
      <c r="B18" s="40" t="s">
        <v>83</v>
      </c>
      <c r="C18" s="1">
        <v>160</v>
      </c>
      <c r="D18" s="1">
        <v>221283</v>
      </c>
      <c r="E18" s="35"/>
    </row>
    <row r="19" spans="1:5" ht="25.5" customHeight="1" x14ac:dyDescent="0.25">
      <c r="A19" s="1">
        <v>221504</v>
      </c>
      <c r="B19" s="40" t="s">
        <v>84</v>
      </c>
      <c r="C19" s="1">
        <v>160</v>
      </c>
      <c r="D19" s="1">
        <v>221504</v>
      </c>
      <c r="E19" s="35"/>
    </row>
    <row r="20" spans="1:5" ht="25.5" customHeight="1" x14ac:dyDescent="0.25">
      <c r="A20" s="1">
        <v>221177</v>
      </c>
      <c r="B20" s="40" t="s">
        <v>85</v>
      </c>
      <c r="C20" s="1">
        <v>160</v>
      </c>
      <c r="D20" s="1">
        <v>221177</v>
      </c>
      <c r="E20" s="35"/>
    </row>
    <row r="21" spans="1:5" ht="25.5" customHeight="1" x14ac:dyDescent="0.25">
      <c r="A21" s="1">
        <v>221163</v>
      </c>
      <c r="B21" s="40" t="s">
        <v>86</v>
      </c>
      <c r="C21" s="1">
        <v>160</v>
      </c>
      <c r="D21" s="1">
        <v>221163</v>
      </c>
      <c r="E21" s="35"/>
    </row>
    <row r="22" spans="1:5" ht="25.5" customHeight="1" x14ac:dyDescent="0.25">
      <c r="A22" s="1">
        <v>221096</v>
      </c>
      <c r="B22" s="41" t="s">
        <v>87</v>
      </c>
      <c r="C22" s="1">
        <v>160</v>
      </c>
      <c r="D22" s="1">
        <v>221096</v>
      </c>
      <c r="E22" s="35"/>
    </row>
    <row r="23" spans="1:5" ht="25.5" customHeight="1" x14ac:dyDescent="0.25">
      <c r="A23" s="1">
        <v>221012</v>
      </c>
      <c r="B23" s="40" t="s">
        <v>88</v>
      </c>
      <c r="C23" s="1">
        <v>160</v>
      </c>
      <c r="D23" s="1">
        <v>221012</v>
      </c>
      <c r="E23" s="35"/>
    </row>
    <row r="24" spans="1:5" ht="25.5" customHeight="1" x14ac:dyDescent="0.25">
      <c r="A24" s="1">
        <v>413110</v>
      </c>
      <c r="B24" s="40" t="s">
        <v>89</v>
      </c>
      <c r="C24" s="1">
        <v>160</v>
      </c>
      <c r="D24" s="1">
        <v>413110</v>
      </c>
      <c r="E24" s="35"/>
    </row>
    <row r="25" spans="1:5" ht="25.5" customHeight="1" x14ac:dyDescent="0.25">
      <c r="A25" s="1">
        <v>278078</v>
      </c>
      <c r="B25" s="40" t="s">
        <v>90</v>
      </c>
      <c r="C25" s="1">
        <v>160</v>
      </c>
      <c r="D25" s="1">
        <v>278078</v>
      </c>
      <c r="E25" s="35"/>
    </row>
    <row r="26" spans="1:5" ht="25.5" customHeight="1" x14ac:dyDescent="0.25">
      <c r="A26" s="1">
        <v>221011</v>
      </c>
      <c r="B26" s="40" t="s">
        <v>91</v>
      </c>
      <c r="C26" s="1">
        <v>160</v>
      </c>
      <c r="D26" s="1">
        <v>221011</v>
      </c>
      <c r="E26" s="35"/>
    </row>
    <row r="27" spans="1:5" ht="25.5" customHeight="1" x14ac:dyDescent="0.25">
      <c r="A27" s="1">
        <v>278079</v>
      </c>
      <c r="B27" s="40" t="s">
        <v>92</v>
      </c>
      <c r="C27" s="1">
        <v>160</v>
      </c>
      <c r="D27" s="1">
        <v>278079</v>
      </c>
      <c r="E27" s="35"/>
    </row>
    <row r="28" spans="1:5" ht="25.5" customHeight="1" x14ac:dyDescent="0.25">
      <c r="A28" s="1">
        <v>221006</v>
      </c>
      <c r="B28" s="40" t="s">
        <v>93</v>
      </c>
      <c r="C28" s="1">
        <v>160</v>
      </c>
      <c r="D28" s="1">
        <v>221006</v>
      </c>
      <c r="E28" s="35"/>
    </row>
    <row r="29" spans="1:5" ht="25.5" customHeight="1" x14ac:dyDescent="0.25">
      <c r="A29" s="1">
        <v>221338</v>
      </c>
      <c r="B29" s="40" t="s">
        <v>94</v>
      </c>
      <c r="C29" s="1">
        <v>180</v>
      </c>
      <c r="D29" s="1">
        <v>221338</v>
      </c>
      <c r="E29" s="35"/>
    </row>
    <row r="30" spans="1:5" ht="25.5" customHeight="1" x14ac:dyDescent="0.25">
      <c r="A30" s="1">
        <v>221334</v>
      </c>
      <c r="B30" s="40" t="s">
        <v>32</v>
      </c>
      <c r="C30" s="1">
        <v>160</v>
      </c>
      <c r="D30" s="1">
        <v>221334</v>
      </c>
      <c r="E30" s="35"/>
    </row>
    <row r="31" spans="1:5" ht="25.5" customHeight="1" x14ac:dyDescent="0.25">
      <c r="A31" s="1">
        <v>221005</v>
      </c>
      <c r="B31" s="40" t="s">
        <v>95</v>
      </c>
      <c r="C31" s="1">
        <v>160</v>
      </c>
      <c r="D31" s="1">
        <v>221005</v>
      </c>
      <c r="E31" s="35"/>
    </row>
    <row r="32" spans="1:5" ht="25.5" customHeight="1" x14ac:dyDescent="0.25">
      <c r="A32" s="1">
        <v>221528</v>
      </c>
      <c r="B32" s="40" t="s">
        <v>96</v>
      </c>
      <c r="C32" s="1">
        <v>160</v>
      </c>
      <c r="D32" s="1">
        <v>221528</v>
      </c>
      <c r="E32" s="35"/>
    </row>
    <row r="33" spans="1:5" ht="25.5" customHeight="1" x14ac:dyDescent="0.25">
      <c r="A33" s="1">
        <v>264121</v>
      </c>
      <c r="B33" s="40" t="s">
        <v>97</v>
      </c>
      <c r="C33" s="1">
        <v>240</v>
      </c>
      <c r="D33" s="1">
        <v>264121</v>
      </c>
      <c r="E33" s="35"/>
    </row>
    <row r="34" spans="1:5" ht="25.5" customHeight="1" x14ac:dyDescent="0.25">
      <c r="A34" s="1">
        <v>221290</v>
      </c>
      <c r="B34" s="40" t="s">
        <v>98</v>
      </c>
      <c r="C34" s="1">
        <v>200</v>
      </c>
      <c r="D34" s="1">
        <v>221290</v>
      </c>
      <c r="E34" s="35"/>
    </row>
    <row r="35" spans="1:5" ht="25.5" customHeight="1" x14ac:dyDescent="0.25">
      <c r="A35" s="1">
        <v>221417</v>
      </c>
      <c r="B35" s="40" t="s">
        <v>99</v>
      </c>
      <c r="C35" s="1">
        <v>160</v>
      </c>
      <c r="D35" s="1">
        <v>221417</v>
      </c>
      <c r="E35" s="35"/>
    </row>
    <row r="36" spans="1:5" ht="25.5" customHeight="1" x14ac:dyDescent="0.25">
      <c r="A36" s="1">
        <v>278081</v>
      </c>
      <c r="B36" s="40" t="s">
        <v>100</v>
      </c>
      <c r="C36" s="1">
        <v>180</v>
      </c>
      <c r="D36" s="1">
        <v>278081</v>
      </c>
      <c r="E36" s="35"/>
    </row>
    <row r="37" spans="1:5" ht="25.5" customHeight="1" x14ac:dyDescent="0.25">
      <c r="A37" s="1">
        <v>278082</v>
      </c>
      <c r="B37" s="40" t="s">
        <v>101</v>
      </c>
      <c r="C37" s="1">
        <v>160</v>
      </c>
      <c r="D37" s="1">
        <v>278082</v>
      </c>
      <c r="E37" s="35"/>
    </row>
    <row r="38" spans="1:5" ht="25.5" customHeight="1" x14ac:dyDescent="0.25">
      <c r="A38" s="1">
        <v>221052</v>
      </c>
      <c r="B38" s="40" t="s">
        <v>102</v>
      </c>
      <c r="C38" s="1">
        <v>160</v>
      </c>
      <c r="D38" s="1">
        <v>221052</v>
      </c>
      <c r="E38" s="35"/>
    </row>
    <row r="39" spans="1:5" ht="25.5" customHeight="1" x14ac:dyDescent="0.25">
      <c r="A39" s="1">
        <v>263988</v>
      </c>
      <c r="B39" s="40" t="s">
        <v>103</v>
      </c>
      <c r="C39" s="1">
        <v>200</v>
      </c>
      <c r="D39" s="1">
        <v>263988</v>
      </c>
      <c r="E39" s="35"/>
    </row>
    <row r="40" spans="1:5" ht="25.5" customHeight="1" x14ac:dyDescent="0.25">
      <c r="A40" s="1">
        <v>221542</v>
      </c>
      <c r="B40" s="40" t="s">
        <v>104</v>
      </c>
      <c r="C40" s="1">
        <v>240</v>
      </c>
      <c r="D40" s="1">
        <v>221542</v>
      </c>
      <c r="E40" s="35"/>
    </row>
    <row r="41" spans="1:5" ht="25.5" customHeight="1" x14ac:dyDescent="0.25">
      <c r="A41" s="1">
        <v>221473</v>
      </c>
      <c r="B41" s="41" t="s">
        <v>105</v>
      </c>
      <c r="C41" s="1">
        <v>160</v>
      </c>
      <c r="D41" s="1">
        <v>221473</v>
      </c>
      <c r="E41" s="35"/>
    </row>
    <row r="42" spans="1:5" ht="25.5" customHeight="1" x14ac:dyDescent="0.25">
      <c r="A42" s="1">
        <v>273098</v>
      </c>
      <c r="B42" s="40" t="s">
        <v>106</v>
      </c>
      <c r="C42" s="1">
        <v>200</v>
      </c>
      <c r="D42" s="1">
        <v>273098</v>
      </c>
      <c r="E42" s="35"/>
    </row>
    <row r="43" spans="1:5" ht="25.5" customHeight="1" x14ac:dyDescent="0.25">
      <c r="A43" s="1">
        <v>221126</v>
      </c>
      <c r="B43" s="40" t="s">
        <v>107</v>
      </c>
      <c r="C43" s="1">
        <v>200</v>
      </c>
      <c r="D43" s="1">
        <v>221126</v>
      </c>
      <c r="E43" s="35"/>
    </row>
    <row r="44" spans="1:5" ht="25.5" customHeight="1" x14ac:dyDescent="0.25">
      <c r="A44" s="1">
        <v>221541</v>
      </c>
      <c r="B44" s="40" t="s">
        <v>108</v>
      </c>
      <c r="C44" s="1">
        <v>240</v>
      </c>
      <c r="D44" s="1">
        <v>221541</v>
      </c>
      <c r="E44" s="35"/>
    </row>
    <row r="45" spans="1:5" ht="25.5" customHeight="1" x14ac:dyDescent="0.25">
      <c r="A45" s="1">
        <v>221482</v>
      </c>
      <c r="B45" s="40" t="s">
        <v>109</v>
      </c>
      <c r="C45" s="1">
        <v>160</v>
      </c>
      <c r="D45" s="1">
        <v>221482</v>
      </c>
      <c r="E45" s="35"/>
    </row>
    <row r="46" spans="1:5" ht="25.5" customHeight="1" x14ac:dyDescent="0.25">
      <c r="A46" s="1">
        <v>221186</v>
      </c>
      <c r="B46" s="40" t="s">
        <v>110</v>
      </c>
      <c r="C46" s="1">
        <v>160</v>
      </c>
      <c r="D46" s="1">
        <v>221186</v>
      </c>
      <c r="E46" s="35"/>
    </row>
    <row r="47" spans="1:5" ht="25.5" customHeight="1" x14ac:dyDescent="0.25">
      <c r="A47" s="1">
        <v>221292</v>
      </c>
      <c r="B47" s="40" t="s">
        <v>111</v>
      </c>
      <c r="C47" s="1">
        <v>210</v>
      </c>
      <c r="D47" s="1">
        <v>221292</v>
      </c>
      <c r="E47" s="35"/>
    </row>
    <row r="48" spans="1:5" ht="25.5" customHeight="1" x14ac:dyDescent="0.25">
      <c r="A48" s="1">
        <v>221437</v>
      </c>
      <c r="B48" s="40" t="s">
        <v>112</v>
      </c>
      <c r="C48" s="1">
        <v>160</v>
      </c>
      <c r="D48" s="1">
        <v>221437</v>
      </c>
      <c r="E48" s="35"/>
    </row>
    <row r="49" spans="1:5" ht="25.5" customHeight="1" x14ac:dyDescent="0.25">
      <c r="A49" s="1">
        <v>221112</v>
      </c>
      <c r="B49" s="40" t="s">
        <v>113</v>
      </c>
      <c r="C49" s="1">
        <v>200</v>
      </c>
      <c r="D49" s="1">
        <v>221112</v>
      </c>
      <c r="E49" s="35"/>
    </row>
    <row r="50" spans="1:5" ht="25.5" customHeight="1" x14ac:dyDescent="0.25">
      <c r="A50" s="1">
        <v>221111</v>
      </c>
      <c r="B50" s="40" t="s">
        <v>114</v>
      </c>
      <c r="C50" s="1">
        <v>200</v>
      </c>
      <c r="D50" s="1">
        <v>221111</v>
      </c>
      <c r="E50" s="35"/>
    </row>
    <row r="51" spans="1:5" ht="25.5" customHeight="1" x14ac:dyDescent="0.25">
      <c r="A51" s="1">
        <v>264122</v>
      </c>
      <c r="B51" s="41" t="s">
        <v>115</v>
      </c>
      <c r="C51" s="1">
        <v>200</v>
      </c>
      <c r="D51" s="1">
        <v>264122</v>
      </c>
      <c r="E51" s="35"/>
    </row>
    <row r="52" spans="1:5" ht="25.5" customHeight="1" x14ac:dyDescent="0.25">
      <c r="A52" s="1">
        <v>221189</v>
      </c>
      <c r="B52" s="41" t="s">
        <v>116</v>
      </c>
      <c r="C52" s="1">
        <v>200</v>
      </c>
      <c r="D52" s="1">
        <v>221189</v>
      </c>
      <c r="E52" s="35"/>
    </row>
    <row r="53" spans="1:5" ht="25.5" customHeight="1" x14ac:dyDescent="0.25">
      <c r="A53" s="1">
        <v>221217</v>
      </c>
      <c r="B53" s="40" t="s">
        <v>117</v>
      </c>
      <c r="C53" s="1">
        <v>160</v>
      </c>
      <c r="D53" s="1">
        <v>221217</v>
      </c>
      <c r="E53" s="35"/>
    </row>
    <row r="54" spans="1:5" ht="25.5" customHeight="1" x14ac:dyDescent="0.25">
      <c r="A54" s="1">
        <v>221533</v>
      </c>
      <c r="B54" s="40" t="s">
        <v>118</v>
      </c>
      <c r="C54" s="1">
        <v>160</v>
      </c>
      <c r="D54" s="1">
        <v>221533</v>
      </c>
      <c r="E54" s="35"/>
    </row>
    <row r="55" spans="1:5" ht="25.5" customHeight="1" x14ac:dyDescent="0.25">
      <c r="A55" s="1">
        <v>221479</v>
      </c>
      <c r="B55" s="40" t="s">
        <v>119</v>
      </c>
      <c r="C55" s="1">
        <v>240</v>
      </c>
      <c r="D55" s="1">
        <v>221479</v>
      </c>
      <c r="E55" s="35"/>
    </row>
    <row r="56" spans="1:5" ht="25.5" customHeight="1" x14ac:dyDescent="0.25">
      <c r="A56" s="1">
        <v>221412</v>
      </c>
      <c r="B56" s="41" t="s">
        <v>120</v>
      </c>
      <c r="C56" s="1">
        <v>200</v>
      </c>
      <c r="D56" s="1">
        <v>221412</v>
      </c>
      <c r="E56" s="35"/>
    </row>
    <row r="57" spans="1:5" ht="25.5" customHeight="1" x14ac:dyDescent="0.25">
      <c r="A57" s="1">
        <v>221179</v>
      </c>
      <c r="B57" s="40" t="s">
        <v>121</v>
      </c>
      <c r="C57" s="1">
        <v>160</v>
      </c>
      <c r="D57" s="1">
        <v>221179</v>
      </c>
      <c r="E57" s="35"/>
    </row>
    <row r="58" spans="1:5" ht="25.5" customHeight="1" x14ac:dyDescent="0.25">
      <c r="A58" s="1">
        <v>221243</v>
      </c>
      <c r="B58" s="40" t="s">
        <v>122</v>
      </c>
      <c r="C58" s="1">
        <v>160</v>
      </c>
      <c r="D58" s="1">
        <v>221243</v>
      </c>
      <c r="E58" s="35"/>
    </row>
    <row r="59" spans="1:5" ht="25.5" customHeight="1" x14ac:dyDescent="0.25">
      <c r="A59" s="1">
        <v>221241</v>
      </c>
      <c r="B59" s="40" t="s">
        <v>123</v>
      </c>
      <c r="C59" s="1">
        <v>160</v>
      </c>
      <c r="D59" s="1">
        <v>221241</v>
      </c>
      <c r="E59" s="35"/>
    </row>
    <row r="60" spans="1:5" ht="25.5" customHeight="1" x14ac:dyDescent="0.25">
      <c r="A60" s="1">
        <v>221239</v>
      </c>
      <c r="B60" s="40" t="s">
        <v>124</v>
      </c>
      <c r="C60" s="1">
        <v>160</v>
      </c>
      <c r="D60" s="1">
        <v>221239</v>
      </c>
      <c r="E60" s="35"/>
    </row>
    <row r="61" spans="1:5" ht="25.5" customHeight="1" x14ac:dyDescent="0.25">
      <c r="A61" s="1">
        <v>221072</v>
      </c>
      <c r="B61" s="40" t="s">
        <v>54</v>
      </c>
      <c r="C61" s="1">
        <v>200</v>
      </c>
      <c r="D61" s="1">
        <v>221072</v>
      </c>
      <c r="E61" s="35"/>
    </row>
    <row r="62" spans="1:5" ht="25.5" customHeight="1" x14ac:dyDescent="0.25">
      <c r="A62" s="1">
        <v>221216</v>
      </c>
      <c r="B62" s="40" t="s">
        <v>39</v>
      </c>
      <c r="C62" s="1">
        <v>160</v>
      </c>
      <c r="D62" s="1">
        <v>221216</v>
      </c>
      <c r="E62" s="35"/>
    </row>
    <row r="63" spans="1:5" ht="25.5" customHeight="1" x14ac:dyDescent="0.25">
      <c r="A63" s="1">
        <v>221270</v>
      </c>
      <c r="B63" s="40" t="s">
        <v>125</v>
      </c>
      <c r="C63" s="1">
        <v>200</v>
      </c>
      <c r="D63" s="1">
        <v>221270</v>
      </c>
      <c r="E63" s="35"/>
    </row>
    <row r="64" spans="1:5" ht="25.5" customHeight="1" x14ac:dyDescent="0.25">
      <c r="A64" s="1">
        <v>278092</v>
      </c>
      <c r="B64" s="40" t="s">
        <v>126</v>
      </c>
      <c r="C64" s="1">
        <v>160</v>
      </c>
      <c r="D64" s="1">
        <v>278092</v>
      </c>
      <c r="E64" s="35"/>
    </row>
    <row r="65" spans="1:5" ht="25.5" customHeight="1" x14ac:dyDescent="0.25">
      <c r="A65" s="1">
        <v>221090</v>
      </c>
      <c r="B65" s="40" t="s">
        <v>127</v>
      </c>
      <c r="C65" s="1">
        <v>200</v>
      </c>
      <c r="D65" s="1">
        <v>221090</v>
      </c>
      <c r="E65" s="35"/>
    </row>
    <row r="66" spans="1:5" ht="25.5" customHeight="1" x14ac:dyDescent="0.25">
      <c r="A66" s="1">
        <v>221097</v>
      </c>
      <c r="B66" s="40" t="s">
        <v>128</v>
      </c>
      <c r="C66" s="1">
        <v>200</v>
      </c>
      <c r="D66" s="1">
        <v>221097</v>
      </c>
      <c r="E66" s="35"/>
    </row>
    <row r="67" spans="1:5" ht="25.5" customHeight="1" x14ac:dyDescent="0.25">
      <c r="A67" s="1">
        <v>221539</v>
      </c>
      <c r="B67" s="40" t="s">
        <v>50</v>
      </c>
      <c r="C67" s="1">
        <v>160</v>
      </c>
      <c r="D67" s="1">
        <v>221539</v>
      </c>
      <c r="E67" s="35"/>
    </row>
    <row r="68" spans="1:5" ht="25.5" customHeight="1" x14ac:dyDescent="0.25">
      <c r="A68" s="1">
        <v>221538</v>
      </c>
      <c r="B68" s="40" t="s">
        <v>52</v>
      </c>
      <c r="C68" s="1">
        <v>160</v>
      </c>
      <c r="D68" s="1">
        <v>221538</v>
      </c>
      <c r="E68" s="35"/>
    </row>
    <row r="69" spans="1:5" ht="25.5" customHeight="1" x14ac:dyDescent="0.25">
      <c r="A69" s="1">
        <v>221480</v>
      </c>
      <c r="B69" s="40" t="s">
        <v>129</v>
      </c>
      <c r="C69" s="1">
        <v>160</v>
      </c>
      <c r="D69" s="1">
        <v>221480</v>
      </c>
      <c r="E69" s="35"/>
    </row>
    <row r="70" spans="1:5" ht="25.5" customHeight="1" x14ac:dyDescent="0.25">
      <c r="A70" s="1">
        <v>273088</v>
      </c>
      <c r="B70" s="40" t="s">
        <v>130</v>
      </c>
      <c r="C70" s="1">
        <v>200</v>
      </c>
      <c r="D70" s="1">
        <v>273088</v>
      </c>
      <c r="E70" s="35"/>
    </row>
    <row r="71" spans="1:5" ht="25.5" customHeight="1" x14ac:dyDescent="0.25">
      <c r="A71" s="1">
        <v>264030</v>
      </c>
      <c r="B71" s="40" t="s">
        <v>131</v>
      </c>
      <c r="C71" s="1">
        <v>240</v>
      </c>
      <c r="D71" s="1">
        <v>264030</v>
      </c>
      <c r="E71" s="35"/>
    </row>
    <row r="72" spans="1:5" ht="25.5" customHeight="1" x14ac:dyDescent="0.25">
      <c r="A72" s="1">
        <v>221365</v>
      </c>
      <c r="B72" s="40" t="s">
        <v>132</v>
      </c>
      <c r="C72" s="1">
        <v>160</v>
      </c>
      <c r="D72" s="1">
        <v>221365</v>
      </c>
      <c r="E72" s="35"/>
    </row>
    <row r="73" spans="1:5" ht="25.5" customHeight="1" x14ac:dyDescent="0.25">
      <c r="A73" s="1">
        <v>221495</v>
      </c>
      <c r="B73" s="40" t="s">
        <v>133</v>
      </c>
      <c r="C73" s="1">
        <v>200</v>
      </c>
      <c r="D73" s="1">
        <v>221495</v>
      </c>
      <c r="E73" s="35"/>
    </row>
    <row r="74" spans="1:5" ht="25.5" customHeight="1" x14ac:dyDescent="0.25">
      <c r="A74" s="1">
        <v>278094</v>
      </c>
      <c r="B74" s="40" t="s">
        <v>134</v>
      </c>
      <c r="C74" s="1">
        <v>200</v>
      </c>
      <c r="D74" s="1">
        <v>278094</v>
      </c>
      <c r="E74" s="35"/>
    </row>
    <row r="75" spans="1:5" ht="25.5" customHeight="1" x14ac:dyDescent="0.25">
      <c r="A75" s="1">
        <v>221502</v>
      </c>
      <c r="B75" s="40" t="s">
        <v>135</v>
      </c>
      <c r="C75" s="1">
        <v>160</v>
      </c>
      <c r="D75" s="1">
        <v>221502</v>
      </c>
      <c r="E75" s="35"/>
    </row>
    <row r="76" spans="1:5" ht="25.5" customHeight="1" x14ac:dyDescent="0.25">
      <c r="A76" s="1">
        <v>221120</v>
      </c>
      <c r="B76" s="40" t="s">
        <v>136</v>
      </c>
      <c r="C76" s="1">
        <v>160</v>
      </c>
      <c r="D76" s="1">
        <v>221120</v>
      </c>
      <c r="E76" s="35"/>
    </row>
    <row r="77" spans="1:5" ht="25.5" customHeight="1" x14ac:dyDescent="0.25">
      <c r="A77" s="1">
        <v>264009</v>
      </c>
      <c r="B77" s="40" t="s">
        <v>137</v>
      </c>
      <c r="C77" s="1">
        <v>160</v>
      </c>
      <c r="D77" s="1">
        <v>264009</v>
      </c>
      <c r="E77" s="35"/>
    </row>
    <row r="78" spans="1:5" ht="25.5" customHeight="1" x14ac:dyDescent="0.25">
      <c r="A78" s="1">
        <v>221398</v>
      </c>
      <c r="B78" s="40" t="s">
        <v>138</v>
      </c>
      <c r="C78" s="1">
        <v>160</v>
      </c>
      <c r="D78" s="1">
        <v>221398</v>
      </c>
      <c r="E78" s="35"/>
    </row>
    <row r="79" spans="1:5" ht="25.5" customHeight="1" x14ac:dyDescent="0.25">
      <c r="A79" s="1">
        <v>221394</v>
      </c>
      <c r="B79" s="41" t="s">
        <v>139</v>
      </c>
      <c r="C79" s="1">
        <v>160</v>
      </c>
      <c r="D79" s="1">
        <v>221394</v>
      </c>
      <c r="E79" s="35"/>
    </row>
    <row r="80" spans="1:5" ht="25.5" customHeight="1" x14ac:dyDescent="0.25">
      <c r="A80" s="1">
        <v>221176</v>
      </c>
      <c r="B80" s="40" t="s">
        <v>140</v>
      </c>
      <c r="C80" s="1">
        <v>160</v>
      </c>
      <c r="D80" s="1">
        <v>221176</v>
      </c>
      <c r="E80" s="35"/>
    </row>
    <row r="81" spans="1:5" ht="25.5" customHeight="1" x14ac:dyDescent="0.25">
      <c r="A81" s="1">
        <v>221138</v>
      </c>
      <c r="B81" s="40" t="s">
        <v>141</v>
      </c>
      <c r="C81" s="1">
        <v>160</v>
      </c>
      <c r="D81" s="1">
        <v>221138</v>
      </c>
      <c r="E81" s="35"/>
    </row>
    <row r="82" spans="1:5" ht="25.5" customHeight="1" x14ac:dyDescent="0.25">
      <c r="A82" s="1">
        <v>221109</v>
      </c>
      <c r="B82" s="41" t="s">
        <v>142</v>
      </c>
      <c r="C82" s="1">
        <v>200</v>
      </c>
      <c r="D82" s="1">
        <v>221109</v>
      </c>
      <c r="E82" s="35"/>
    </row>
    <row r="83" spans="1:5" ht="25.5" customHeight="1" x14ac:dyDescent="0.25">
      <c r="A83" s="1">
        <v>221530</v>
      </c>
      <c r="B83" s="40" t="s">
        <v>143</v>
      </c>
      <c r="C83" s="1">
        <v>200</v>
      </c>
      <c r="D83" s="1">
        <v>221530</v>
      </c>
      <c r="E83" s="35"/>
    </row>
    <row r="84" spans="1:5" ht="25.5" customHeight="1" x14ac:dyDescent="0.25">
      <c r="A84" s="1">
        <v>221378</v>
      </c>
      <c r="B84" s="40" t="s">
        <v>144</v>
      </c>
      <c r="C84" s="1">
        <v>160</v>
      </c>
      <c r="D84" s="1">
        <v>221378</v>
      </c>
      <c r="E84" s="35"/>
    </row>
    <row r="85" spans="1:5" ht="25.5" customHeight="1" x14ac:dyDescent="0.25">
      <c r="A85" s="1">
        <v>500014</v>
      </c>
      <c r="B85" s="40" t="s">
        <v>145</v>
      </c>
      <c r="C85" s="1">
        <v>160</v>
      </c>
      <c r="D85" s="1">
        <v>500014</v>
      </c>
      <c r="E85" s="35"/>
    </row>
    <row r="86" spans="1:5" ht="25.5" customHeight="1" x14ac:dyDescent="0.25">
      <c r="A86" s="1">
        <v>264022</v>
      </c>
      <c r="B86" s="40" t="s">
        <v>146</v>
      </c>
      <c r="C86" s="1">
        <v>160</v>
      </c>
      <c r="D86" s="1">
        <v>264022</v>
      </c>
      <c r="E86" s="35"/>
    </row>
    <row r="87" spans="1:5" ht="25.5" customHeight="1" x14ac:dyDescent="0.25">
      <c r="A87" s="1">
        <v>221105</v>
      </c>
      <c r="B87" s="41" t="s">
        <v>147</v>
      </c>
      <c r="C87" s="1">
        <v>160</v>
      </c>
      <c r="D87" s="1">
        <v>221105</v>
      </c>
      <c r="E87" s="35"/>
    </row>
    <row r="88" spans="1:5" ht="25.5" customHeight="1" x14ac:dyDescent="0.25">
      <c r="A88" s="1">
        <v>221453</v>
      </c>
      <c r="B88" s="41" t="s">
        <v>148</v>
      </c>
      <c r="C88" s="1">
        <v>160</v>
      </c>
      <c r="D88" s="1">
        <v>221453</v>
      </c>
      <c r="E88" s="35"/>
    </row>
    <row r="89" spans="1:5" ht="25.5" customHeight="1" x14ac:dyDescent="0.25">
      <c r="A89" s="1">
        <v>221452</v>
      </c>
      <c r="B89" s="40" t="s">
        <v>149</v>
      </c>
      <c r="C89" s="1">
        <v>160</v>
      </c>
      <c r="D89" s="1">
        <v>221452</v>
      </c>
      <c r="E89" s="35"/>
    </row>
    <row r="90" spans="1:5" ht="25.5" customHeight="1" x14ac:dyDescent="0.25">
      <c r="A90" s="1">
        <v>221108</v>
      </c>
      <c r="B90" s="40" t="s">
        <v>150</v>
      </c>
      <c r="C90" s="1">
        <v>160</v>
      </c>
      <c r="D90" s="1">
        <v>221108</v>
      </c>
      <c r="E90" s="35"/>
    </row>
    <row r="91" spans="1:5" ht="25.5" customHeight="1" x14ac:dyDescent="0.25">
      <c r="A91" s="1">
        <v>278101</v>
      </c>
      <c r="B91" s="40" t="s">
        <v>151</v>
      </c>
      <c r="C91" s="1">
        <v>160</v>
      </c>
      <c r="D91" s="1">
        <v>278101</v>
      </c>
      <c r="E91" s="35"/>
    </row>
    <row r="92" spans="1:5" ht="25.5" customHeight="1" x14ac:dyDescent="0.25">
      <c r="A92" s="1">
        <v>221054</v>
      </c>
      <c r="B92" s="40" t="s">
        <v>152</v>
      </c>
      <c r="C92" s="1">
        <v>200</v>
      </c>
      <c r="D92" s="1">
        <v>221054</v>
      </c>
      <c r="E92" s="35"/>
    </row>
    <row r="93" spans="1:5" ht="25.5" customHeight="1" x14ac:dyDescent="0.25">
      <c r="A93" s="1">
        <v>221448</v>
      </c>
      <c r="B93" s="41" t="s">
        <v>153</v>
      </c>
      <c r="C93" s="1">
        <v>160</v>
      </c>
      <c r="D93" s="1">
        <v>221448</v>
      </c>
      <c r="E93" s="35"/>
    </row>
    <row r="94" spans="1:5" ht="25.5" customHeight="1" x14ac:dyDescent="0.25">
      <c r="A94" s="1">
        <v>221475</v>
      </c>
      <c r="B94" s="40" t="s">
        <v>61</v>
      </c>
      <c r="C94" s="1">
        <v>160</v>
      </c>
      <c r="D94" s="1">
        <v>221475</v>
      </c>
      <c r="E94" s="35"/>
    </row>
    <row r="95" spans="1:5" ht="25.5" customHeight="1" x14ac:dyDescent="0.25">
      <c r="A95" s="1">
        <v>221335</v>
      </c>
      <c r="B95" s="40" t="s">
        <v>154</v>
      </c>
      <c r="C95" s="1">
        <v>160</v>
      </c>
      <c r="D95" s="1">
        <v>221335</v>
      </c>
      <c r="E95" s="35"/>
    </row>
    <row r="96" spans="1:5" ht="25.5" customHeight="1" x14ac:dyDescent="0.25">
      <c r="A96" s="1">
        <v>221537</v>
      </c>
      <c r="B96" s="40" t="s">
        <v>155</v>
      </c>
      <c r="C96" s="1">
        <v>240</v>
      </c>
      <c r="D96" s="1">
        <v>221537</v>
      </c>
      <c r="E96" s="35"/>
    </row>
    <row r="97" spans="1:5" ht="25.5" customHeight="1" x14ac:dyDescent="0.25">
      <c r="A97" s="1">
        <v>221355</v>
      </c>
      <c r="B97" s="40" t="s">
        <v>156</v>
      </c>
      <c r="C97" s="1">
        <v>160</v>
      </c>
      <c r="D97" s="1">
        <v>221355</v>
      </c>
      <c r="E97" s="35"/>
    </row>
    <row r="98" spans="1:5" ht="25.5" customHeight="1" x14ac:dyDescent="0.25">
      <c r="A98" s="1">
        <v>221354</v>
      </c>
      <c r="B98" s="40" t="s">
        <v>157</v>
      </c>
      <c r="C98" s="1">
        <v>160</v>
      </c>
      <c r="D98" s="1">
        <v>221354</v>
      </c>
      <c r="E98" s="35"/>
    </row>
    <row r="99" spans="1:5" ht="25.5" customHeight="1" x14ac:dyDescent="0.25">
      <c r="A99" s="1">
        <v>221349</v>
      </c>
      <c r="B99" s="40" t="s">
        <v>158</v>
      </c>
      <c r="C99" s="1">
        <v>280</v>
      </c>
      <c r="D99" s="1">
        <v>221349</v>
      </c>
      <c r="E99" s="35"/>
    </row>
    <row r="100" spans="1:5" ht="25.5" customHeight="1" x14ac:dyDescent="0.25">
      <c r="A100" s="1">
        <v>221346</v>
      </c>
      <c r="B100" s="40" t="s">
        <v>159</v>
      </c>
      <c r="C100" s="1">
        <v>160</v>
      </c>
      <c r="D100" s="1">
        <v>221346</v>
      </c>
      <c r="E100" s="35"/>
    </row>
    <row r="101" spans="1:5" ht="25.5" customHeight="1" x14ac:dyDescent="0.25">
      <c r="A101" s="1">
        <v>264118</v>
      </c>
      <c r="B101" s="40" t="s">
        <v>160</v>
      </c>
      <c r="C101" s="1">
        <v>160</v>
      </c>
      <c r="D101" s="1">
        <v>264118</v>
      </c>
      <c r="E101" s="35"/>
    </row>
    <row r="102" spans="1:5" ht="25.5" customHeight="1" x14ac:dyDescent="0.25">
      <c r="A102" s="1">
        <v>278099</v>
      </c>
      <c r="B102" s="40" t="s">
        <v>58</v>
      </c>
      <c r="C102" s="1">
        <v>160</v>
      </c>
      <c r="D102" s="1">
        <v>278099</v>
      </c>
      <c r="E102" s="35"/>
    </row>
    <row r="103" spans="1:5" ht="25.5" customHeight="1" x14ac:dyDescent="0.25">
      <c r="A103" s="1">
        <v>221521</v>
      </c>
      <c r="B103" s="40" t="s">
        <v>161</v>
      </c>
      <c r="C103" s="1">
        <v>160</v>
      </c>
      <c r="D103" s="1">
        <v>221521</v>
      </c>
      <c r="E103" s="35"/>
    </row>
    <row r="104" spans="1:5" ht="25.5" customHeight="1" x14ac:dyDescent="0.25">
      <c r="A104" s="1">
        <v>221154</v>
      </c>
      <c r="B104" s="41" t="s">
        <v>162</v>
      </c>
      <c r="C104" s="1">
        <v>160</v>
      </c>
      <c r="D104" s="1">
        <v>221154</v>
      </c>
      <c r="E104" s="35"/>
    </row>
    <row r="105" spans="1:5" ht="25.5" customHeight="1" x14ac:dyDescent="0.25">
      <c r="A105" s="1">
        <v>221172</v>
      </c>
      <c r="B105" s="40" t="s">
        <v>163</v>
      </c>
      <c r="C105" s="1">
        <v>160</v>
      </c>
      <c r="D105" s="1">
        <v>221172</v>
      </c>
      <c r="E105" s="35"/>
    </row>
    <row r="106" spans="1:5" ht="25.5" customHeight="1" x14ac:dyDescent="0.25">
      <c r="A106" s="1">
        <v>221153</v>
      </c>
      <c r="B106" s="40" t="s">
        <v>164</v>
      </c>
      <c r="C106" s="1">
        <v>160</v>
      </c>
      <c r="D106" s="1">
        <v>221153</v>
      </c>
      <c r="E106" s="35"/>
    </row>
    <row r="107" spans="1:5" ht="25.5" customHeight="1" x14ac:dyDescent="0.25">
      <c r="A107" s="1">
        <v>221279</v>
      </c>
      <c r="B107" s="40" t="s">
        <v>165</v>
      </c>
      <c r="C107" s="1">
        <v>160</v>
      </c>
      <c r="D107" s="1">
        <v>221279</v>
      </c>
      <c r="E107" s="35"/>
    </row>
    <row r="108" spans="1:5" ht="25.5" customHeight="1" x14ac:dyDescent="0.25">
      <c r="A108" s="1">
        <v>264061</v>
      </c>
      <c r="B108" s="40" t="s">
        <v>166</v>
      </c>
      <c r="C108" s="1">
        <v>160</v>
      </c>
      <c r="D108" s="1">
        <v>264061</v>
      </c>
      <c r="E108" s="35"/>
    </row>
    <row r="109" spans="1:5" ht="25.5" customHeight="1" x14ac:dyDescent="0.25">
      <c r="A109" s="1">
        <v>264085</v>
      </c>
      <c r="B109" s="40" t="s">
        <v>167</v>
      </c>
      <c r="C109" s="1">
        <v>270</v>
      </c>
      <c r="D109" s="1">
        <v>264085</v>
      </c>
      <c r="E109" s="35"/>
    </row>
    <row r="110" spans="1:5" ht="25.5" customHeight="1" x14ac:dyDescent="0.25">
      <c r="A110" s="1">
        <v>221305</v>
      </c>
      <c r="B110" s="40" t="s">
        <v>168</v>
      </c>
      <c r="C110" s="1">
        <v>160</v>
      </c>
      <c r="D110" s="1">
        <v>221305</v>
      </c>
      <c r="E110" s="35"/>
    </row>
    <row r="111" spans="1:5" ht="25.5" customHeight="1" x14ac:dyDescent="0.25">
      <c r="A111" s="1">
        <v>221142</v>
      </c>
      <c r="B111" s="41" t="s">
        <v>169</v>
      </c>
      <c r="C111" s="1">
        <v>160</v>
      </c>
      <c r="D111" s="1">
        <v>221142</v>
      </c>
      <c r="E111" s="35"/>
    </row>
    <row r="112" spans="1:5" ht="25.5" customHeight="1" x14ac:dyDescent="0.25">
      <c r="A112" s="1">
        <v>221053</v>
      </c>
      <c r="B112" s="40" t="s">
        <v>170</v>
      </c>
      <c r="C112" s="1">
        <v>160</v>
      </c>
      <c r="D112" s="1">
        <v>221053</v>
      </c>
      <c r="E112" s="35"/>
    </row>
    <row r="113" spans="1:5" ht="25.5" customHeight="1" x14ac:dyDescent="0.25">
      <c r="A113" s="1">
        <v>221171</v>
      </c>
      <c r="B113" s="40" t="s">
        <v>171</v>
      </c>
      <c r="C113" s="1">
        <v>160</v>
      </c>
      <c r="D113" s="1">
        <v>221171</v>
      </c>
      <c r="E113" s="35"/>
    </row>
    <row r="114" spans="1:5" ht="25.5" customHeight="1" x14ac:dyDescent="0.25">
      <c r="A114" s="1">
        <v>264041</v>
      </c>
      <c r="B114" s="40" t="s">
        <v>172</v>
      </c>
      <c r="C114" s="1">
        <v>160</v>
      </c>
      <c r="D114" s="1">
        <v>264041</v>
      </c>
      <c r="E114" s="35"/>
    </row>
    <row r="115" spans="1:5" ht="25.5" customHeight="1" x14ac:dyDescent="0.25">
      <c r="A115" s="1">
        <v>221315</v>
      </c>
      <c r="B115" s="40" t="s">
        <v>173</v>
      </c>
      <c r="C115" s="1">
        <v>180</v>
      </c>
      <c r="D115" s="1">
        <v>221315</v>
      </c>
      <c r="E115" s="35"/>
    </row>
    <row r="116" spans="1:5" ht="25.5" customHeight="1" x14ac:dyDescent="0.25">
      <c r="A116" s="1">
        <v>221127</v>
      </c>
      <c r="B116" s="40" t="s">
        <v>174</v>
      </c>
      <c r="C116" s="1">
        <v>200</v>
      </c>
      <c r="D116" s="1">
        <v>221127</v>
      </c>
      <c r="E116" s="35"/>
    </row>
    <row r="117" spans="1:5" ht="25.5" customHeight="1" x14ac:dyDescent="0.25">
      <c r="A117" s="1">
        <v>221515</v>
      </c>
      <c r="B117" s="40" t="s">
        <v>175</v>
      </c>
      <c r="C117" s="1">
        <v>200</v>
      </c>
      <c r="D117" s="1">
        <v>221515</v>
      </c>
      <c r="E117" s="35"/>
    </row>
    <row r="118" spans="1:5" ht="25.5" customHeight="1" x14ac:dyDescent="0.25">
      <c r="A118" s="1">
        <v>221497</v>
      </c>
      <c r="B118" s="40" t="s">
        <v>176</v>
      </c>
      <c r="C118" s="1">
        <v>200</v>
      </c>
      <c r="D118" s="1">
        <v>221497</v>
      </c>
      <c r="E118" s="35"/>
    </row>
    <row r="119" spans="1:5" ht="25.5" customHeight="1" x14ac:dyDescent="0.25">
      <c r="A119" s="1">
        <v>221514</v>
      </c>
      <c r="B119" s="40" t="s">
        <v>177</v>
      </c>
      <c r="C119" s="1">
        <v>180</v>
      </c>
      <c r="D119" s="1">
        <v>221514</v>
      </c>
      <c r="E119" s="35"/>
    </row>
    <row r="120" spans="1:5" ht="25.5" customHeight="1" x14ac:dyDescent="0.25">
      <c r="A120" s="1">
        <v>221141</v>
      </c>
      <c r="B120" s="40" t="s">
        <v>178</v>
      </c>
      <c r="C120" s="1">
        <v>160</v>
      </c>
      <c r="D120" s="1">
        <v>221141</v>
      </c>
      <c r="E120" s="35"/>
    </row>
    <row r="121" spans="1:5" ht="25.5" customHeight="1" x14ac:dyDescent="0.25">
      <c r="A121" s="1">
        <v>221456</v>
      </c>
      <c r="B121" s="40" t="s">
        <v>179</v>
      </c>
      <c r="C121" s="1">
        <v>160</v>
      </c>
      <c r="D121" s="1">
        <v>221456</v>
      </c>
      <c r="E121" s="35"/>
    </row>
    <row r="122" spans="1:5" ht="25.5" customHeight="1" x14ac:dyDescent="0.25">
      <c r="A122" s="1">
        <v>221136</v>
      </c>
      <c r="B122" s="41" t="s">
        <v>180</v>
      </c>
      <c r="C122" s="1">
        <v>200</v>
      </c>
      <c r="D122" s="1">
        <v>221136</v>
      </c>
      <c r="E122" s="35"/>
    </row>
    <row r="123" spans="1:5" ht="25.5" customHeight="1" x14ac:dyDescent="0.25">
      <c r="A123" s="1">
        <v>221124</v>
      </c>
      <c r="B123" s="40" t="s">
        <v>181</v>
      </c>
      <c r="C123" s="1">
        <v>250</v>
      </c>
      <c r="D123" s="1">
        <v>221124</v>
      </c>
      <c r="E123" s="35"/>
    </row>
    <row r="124" spans="1:5" ht="25.5" customHeight="1" x14ac:dyDescent="0.25">
      <c r="A124" s="1">
        <v>221069</v>
      </c>
      <c r="B124" s="40" t="s">
        <v>182</v>
      </c>
      <c r="C124" s="1">
        <v>200</v>
      </c>
      <c r="D124" s="1">
        <v>221069</v>
      </c>
      <c r="E124" s="35"/>
    </row>
    <row r="125" spans="1:5" ht="25.5" customHeight="1" x14ac:dyDescent="0.25">
      <c r="A125" s="1">
        <v>221155</v>
      </c>
      <c r="B125" s="40" t="s">
        <v>183</v>
      </c>
      <c r="C125" s="1">
        <v>160</v>
      </c>
      <c r="D125" s="1">
        <v>221155</v>
      </c>
      <c r="E125" s="35"/>
    </row>
    <row r="126" spans="1:5" ht="25.5" customHeight="1" x14ac:dyDescent="0.25">
      <c r="A126" s="1">
        <v>221035</v>
      </c>
      <c r="B126" s="40" t="s">
        <v>184</v>
      </c>
      <c r="C126" s="1">
        <v>200</v>
      </c>
      <c r="D126" s="1">
        <v>221035</v>
      </c>
      <c r="E126" s="35"/>
    </row>
    <row r="127" spans="1:5" ht="25.5" customHeight="1" x14ac:dyDescent="0.25">
      <c r="A127" s="1">
        <v>221281</v>
      </c>
      <c r="B127" s="40" t="s">
        <v>185</v>
      </c>
      <c r="C127" s="1">
        <v>160</v>
      </c>
      <c r="D127" s="1">
        <v>221281</v>
      </c>
      <c r="E127" s="35"/>
    </row>
    <row r="128" spans="1:5" ht="25.5" customHeight="1" x14ac:dyDescent="0.25">
      <c r="A128" s="1">
        <v>221128</v>
      </c>
      <c r="B128" s="40" t="s">
        <v>186</v>
      </c>
      <c r="C128" s="1">
        <v>200</v>
      </c>
      <c r="D128" s="1">
        <v>221128</v>
      </c>
      <c r="E128" s="35"/>
    </row>
    <row r="129" spans="1:5" ht="25.5" customHeight="1" x14ac:dyDescent="0.25">
      <c r="A129" s="1">
        <v>264123</v>
      </c>
      <c r="B129" s="40" t="s">
        <v>187</v>
      </c>
      <c r="C129" s="1">
        <v>200</v>
      </c>
      <c r="D129" s="1">
        <v>264123</v>
      </c>
      <c r="E129" s="35"/>
    </row>
    <row r="130" spans="1:5" ht="25.5" customHeight="1" x14ac:dyDescent="0.25">
      <c r="A130" s="1">
        <v>221067</v>
      </c>
      <c r="B130" s="40" t="s">
        <v>188</v>
      </c>
      <c r="C130" s="1">
        <v>160</v>
      </c>
      <c r="D130" s="1">
        <v>221067</v>
      </c>
      <c r="E130" s="35"/>
    </row>
    <row r="131" spans="1:5" ht="25.5" customHeight="1" x14ac:dyDescent="0.25">
      <c r="A131" s="1">
        <v>221014</v>
      </c>
      <c r="B131" s="40" t="s">
        <v>189</v>
      </c>
      <c r="C131" s="1">
        <v>200</v>
      </c>
      <c r="D131" s="1">
        <v>221014</v>
      </c>
      <c r="E131" s="35"/>
    </row>
    <row r="132" spans="1:5" ht="25.5" customHeight="1" x14ac:dyDescent="0.25">
      <c r="A132" s="1">
        <v>221019</v>
      </c>
      <c r="B132" s="40" t="s">
        <v>190</v>
      </c>
      <c r="C132" s="1">
        <v>200</v>
      </c>
      <c r="D132" s="1">
        <v>221019</v>
      </c>
      <c r="E132" s="35"/>
    </row>
    <row r="133" spans="1:5" ht="25.5" customHeight="1" x14ac:dyDescent="0.25">
      <c r="A133" s="1">
        <v>221018</v>
      </c>
      <c r="B133" s="40" t="s">
        <v>191</v>
      </c>
      <c r="C133" s="1">
        <v>200</v>
      </c>
      <c r="D133" s="1">
        <v>221018</v>
      </c>
      <c r="E133" s="35"/>
    </row>
    <row r="134" spans="1:5" ht="25.5" customHeight="1" x14ac:dyDescent="0.25">
      <c r="A134" s="1">
        <v>221170</v>
      </c>
      <c r="B134" s="40" t="s">
        <v>192</v>
      </c>
      <c r="C134" s="1">
        <v>160</v>
      </c>
      <c r="D134" s="1">
        <v>221170</v>
      </c>
      <c r="E134" s="35"/>
    </row>
    <row r="135" spans="1:5" ht="25.5" customHeight="1" x14ac:dyDescent="0.25">
      <c r="A135" s="1">
        <v>221169</v>
      </c>
      <c r="B135" s="40" t="s">
        <v>37</v>
      </c>
      <c r="C135" s="1">
        <v>160</v>
      </c>
      <c r="D135" s="1">
        <v>221169</v>
      </c>
      <c r="E135" s="35"/>
    </row>
    <row r="136" spans="1:5" ht="25.5" customHeight="1" x14ac:dyDescent="0.25">
      <c r="A136" s="1">
        <v>221536</v>
      </c>
      <c r="B136" s="41" t="s">
        <v>193</v>
      </c>
      <c r="C136" s="1">
        <v>240</v>
      </c>
      <c r="D136" s="1">
        <v>221536</v>
      </c>
      <c r="E136" s="35"/>
    </row>
    <row r="137" spans="1:5" ht="25.5" customHeight="1" x14ac:dyDescent="0.25">
      <c r="A137" s="1">
        <v>221312</v>
      </c>
      <c r="B137" s="40" t="s">
        <v>194</v>
      </c>
      <c r="C137" s="1">
        <v>160</v>
      </c>
      <c r="D137" s="1">
        <v>221312</v>
      </c>
      <c r="E137" s="35"/>
    </row>
    <row r="138" spans="1:5" ht="25.5" customHeight="1" x14ac:dyDescent="0.25">
      <c r="A138" s="1">
        <v>221525</v>
      </c>
      <c r="B138" s="40" t="s">
        <v>195</v>
      </c>
      <c r="C138" s="1">
        <v>160</v>
      </c>
      <c r="D138" s="1">
        <v>221525</v>
      </c>
      <c r="E138" s="35"/>
    </row>
    <row r="139" spans="1:5" ht="25.5" customHeight="1" x14ac:dyDescent="0.25">
      <c r="A139" s="1">
        <v>221091</v>
      </c>
      <c r="B139" s="40" t="s">
        <v>196</v>
      </c>
      <c r="C139" s="1">
        <v>200</v>
      </c>
      <c r="D139" s="1">
        <v>221091</v>
      </c>
      <c r="E139" s="35"/>
    </row>
    <row r="140" spans="1:5" ht="25.5" customHeight="1" x14ac:dyDescent="0.25">
      <c r="A140" s="1">
        <v>221436</v>
      </c>
      <c r="B140" s="40" t="s">
        <v>197</v>
      </c>
      <c r="C140" s="1">
        <v>200</v>
      </c>
      <c r="D140" s="1">
        <v>221436</v>
      </c>
      <c r="E140" s="35"/>
    </row>
    <row r="141" spans="1:5" ht="25.5" customHeight="1" x14ac:dyDescent="0.25">
      <c r="A141" s="1">
        <v>221051</v>
      </c>
      <c r="B141" s="40" t="s">
        <v>41</v>
      </c>
      <c r="C141" s="1">
        <v>160</v>
      </c>
      <c r="D141" s="1">
        <v>221051</v>
      </c>
      <c r="E141" s="35"/>
    </row>
    <row r="142" spans="1:5" ht="25.5" customHeight="1" x14ac:dyDescent="0.25">
      <c r="A142" s="1">
        <v>278116</v>
      </c>
      <c r="B142" s="40" t="s">
        <v>198</v>
      </c>
      <c r="C142" s="1">
        <v>160</v>
      </c>
      <c r="D142" s="1">
        <v>278116</v>
      </c>
      <c r="E142" s="35"/>
    </row>
    <row r="143" spans="1:5" ht="25.5" customHeight="1" x14ac:dyDescent="0.25">
      <c r="A143" s="1">
        <v>221466</v>
      </c>
      <c r="B143" s="40" t="s">
        <v>199</v>
      </c>
      <c r="C143" s="1">
        <v>160</v>
      </c>
      <c r="D143" s="1">
        <v>221466</v>
      </c>
      <c r="E143" s="35"/>
    </row>
    <row r="144" spans="1:5" ht="25.5" customHeight="1" x14ac:dyDescent="0.25">
      <c r="A144" s="1">
        <v>264124</v>
      </c>
      <c r="B144" s="40" t="s">
        <v>200</v>
      </c>
      <c r="C144" s="1">
        <v>200</v>
      </c>
      <c r="D144" s="1">
        <v>264124</v>
      </c>
      <c r="E144" s="35"/>
    </row>
    <row r="145" spans="1:5" ht="25.5" customHeight="1" x14ac:dyDescent="0.25">
      <c r="A145" s="1">
        <v>221291</v>
      </c>
      <c r="B145" s="40" t="s">
        <v>201</v>
      </c>
      <c r="C145" s="1">
        <v>160</v>
      </c>
      <c r="D145" s="1">
        <v>221291</v>
      </c>
      <c r="E145" s="35"/>
    </row>
  </sheetData>
  <pageMargins left="0.511811024" right="0.511811024" top="0.78740157499999996" bottom="0.78740157499999996" header="0.31496062000000002" footer="0.31496062000000002"/>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B5394"/>
    <outlinePr summaryBelow="0" summaryRight="0"/>
  </sheetPr>
  <dimension ref="A1:T2273"/>
  <sheetViews>
    <sheetView showGridLines="0" workbookViewId="0">
      <pane ySplit="2" topLeftCell="A3" activePane="bottomLeft" state="frozen"/>
      <selection pane="bottomLeft" activeCell="B4" sqref="B4"/>
    </sheetView>
  </sheetViews>
  <sheetFormatPr defaultColWidth="12.54296875" defaultRowHeight="15.75" customHeight="1" x14ac:dyDescent="0.25"/>
  <cols>
    <col min="1" max="1" width="20.54296875" hidden="1" customWidth="1"/>
    <col min="2" max="2" width="15.1796875" customWidth="1"/>
    <col min="3" max="3" width="43.81640625" customWidth="1"/>
    <col min="5" max="5" width="15.1796875" customWidth="1"/>
    <col min="6" max="6" width="31.453125" customWidth="1"/>
    <col min="7" max="7" width="50.1796875" customWidth="1"/>
    <col min="8" max="8" width="37.54296875" customWidth="1"/>
    <col min="9" max="10" width="15.1796875" customWidth="1"/>
    <col min="11" max="11" width="18.81640625" customWidth="1"/>
    <col min="12" max="12" width="62.54296875" customWidth="1"/>
    <col min="13" max="14" width="37.54296875" customWidth="1"/>
    <col min="15" max="18" width="18.81640625" customWidth="1"/>
  </cols>
  <sheetData>
    <row r="1" spans="1:20" ht="14" x14ac:dyDescent="0.25">
      <c r="A1" s="44">
        <v>1</v>
      </c>
      <c r="B1" s="44">
        <f t="shared" ref="B1:S1" si="0">A1+1</f>
        <v>2</v>
      </c>
      <c r="C1" s="44">
        <f t="shared" si="0"/>
        <v>3</v>
      </c>
      <c r="D1" s="44">
        <f t="shared" si="0"/>
        <v>4</v>
      </c>
      <c r="E1" s="44">
        <f t="shared" si="0"/>
        <v>5</v>
      </c>
      <c r="F1" s="44">
        <f t="shared" si="0"/>
        <v>6</v>
      </c>
      <c r="G1" s="31">
        <f t="shared" si="0"/>
        <v>7</v>
      </c>
      <c r="H1" s="31">
        <f t="shared" si="0"/>
        <v>8</v>
      </c>
      <c r="I1" s="44">
        <f t="shared" si="0"/>
        <v>9</v>
      </c>
      <c r="J1" s="44">
        <f t="shared" si="0"/>
        <v>10</v>
      </c>
      <c r="K1" s="44">
        <f t="shared" si="0"/>
        <v>11</v>
      </c>
      <c r="L1" s="31">
        <f t="shared" si="0"/>
        <v>12</v>
      </c>
      <c r="M1" s="44">
        <f t="shared" si="0"/>
        <v>13</v>
      </c>
      <c r="N1" s="44">
        <f t="shared" si="0"/>
        <v>14</v>
      </c>
      <c r="O1" s="44">
        <f t="shared" si="0"/>
        <v>15</v>
      </c>
      <c r="P1" s="44">
        <f t="shared" si="0"/>
        <v>16</v>
      </c>
      <c r="Q1" s="31">
        <f t="shared" si="0"/>
        <v>17</v>
      </c>
      <c r="R1" s="31">
        <f t="shared" si="0"/>
        <v>18</v>
      </c>
      <c r="S1" s="44">
        <f t="shared" si="0"/>
        <v>19</v>
      </c>
      <c r="T1" s="42"/>
    </row>
    <row r="2" spans="1:20" ht="30" customHeight="1" x14ac:dyDescent="0.25">
      <c r="A2" s="45" t="s">
        <v>1</v>
      </c>
      <c r="B2" s="45" t="s">
        <v>2</v>
      </c>
      <c r="C2" s="45" t="s">
        <v>3</v>
      </c>
      <c r="D2" s="45" t="s">
        <v>4</v>
      </c>
      <c r="E2" s="45" t="s">
        <v>203</v>
      </c>
      <c r="F2" s="45" t="s">
        <v>5</v>
      </c>
      <c r="G2" s="45" t="s">
        <v>7</v>
      </c>
      <c r="H2" s="45" t="s">
        <v>6</v>
      </c>
      <c r="I2" s="45" t="s">
        <v>8</v>
      </c>
      <c r="J2" s="45" t="s">
        <v>204</v>
      </c>
      <c r="K2" s="45" t="s">
        <v>9</v>
      </c>
      <c r="L2" s="46" t="s">
        <v>205</v>
      </c>
      <c r="M2" s="49" t="s">
        <v>10</v>
      </c>
      <c r="N2" s="49" t="s">
        <v>11</v>
      </c>
      <c r="O2" s="46" t="s">
        <v>12</v>
      </c>
      <c r="P2" s="46" t="s">
        <v>13</v>
      </c>
      <c r="Q2" s="48" t="s">
        <v>206</v>
      </c>
      <c r="R2" s="48" t="s">
        <v>207</v>
      </c>
      <c r="S2" s="46" t="s">
        <v>202</v>
      </c>
      <c r="T2" s="46"/>
    </row>
    <row r="3" spans="1:20" ht="45" customHeight="1" x14ac:dyDescent="0.25">
      <c r="A3" s="2" t="str">
        <f t="shared" ref="A3:A2273" ca="1" si="1">IF(B3="","",E3&amp;"/"&amp;B3)</f>
        <v>004/2025/085.385.624-95</v>
      </c>
      <c r="B3" s="2" t="str">
        <f ca="1">IFERROR(__xludf.DUMMYFUNCTION("QUERY(IMPORTRANGE(""https://docs.google.com/spreadsheets/d/1Z4dvSbeHoG1ZpFaCzw0BAkqNrx9VbsGuzNFg476_4ZI"",""BDRH!B:AE""),""SELECT Col1,Col2,Col13,Col7,Col19,Col16,Col17,Col18,Col21,Col27,Col28,Col3,Col4,Col5,Col6,Col29,Col30 WHERE Col7='004/2025'"")"),"085.385.624-95")</f>
        <v>085.385.624-95</v>
      </c>
      <c r="C3" s="43" t="str">
        <f ca="1">IFERROR(__xludf.DUMMYFUNCTION("""COMPUTED_VALUE"""),"NAYARA NUNES DE OLIVEIRA")</f>
        <v>NAYARA NUNES DE OLIVEIRA</v>
      </c>
      <c r="D3" s="2" t="str">
        <f ca="1">IFERROR(__xludf.DUMMYFUNCTION("""COMPUTED_VALUE"""),"SUPERVISOR")</f>
        <v>SUPERVISOR</v>
      </c>
      <c r="E3" s="2" t="str">
        <f ca="1">IFERROR(__xludf.DUMMYFUNCTION("""COMPUTED_VALUE"""),"004/2025")</f>
        <v>004/2025</v>
      </c>
      <c r="F3" s="2" t="str">
        <f ca="1">IFERROR(__xludf.DUMMYFUNCTION("""COMPUTED_VALUE"""),"AREIA")</f>
        <v>AREIA</v>
      </c>
      <c r="G3" s="11"/>
      <c r="H3" s="11" t="str">
        <f ca="1">IFERROR(__xludf.DUMMYFUNCTION("""COMPUTED_VALUE"""),"ASSENTAMENTO UNIAO")</f>
        <v>ASSENTAMENTO UNIAO</v>
      </c>
      <c r="I3" s="2" t="str">
        <f ca="1">IFERROR(__xludf.DUMMYFUNCTION("""COMPUTED_VALUE"""),"TARDE")</f>
        <v>TARDE</v>
      </c>
      <c r="J3" s="47">
        <f ca="1">IFERROR(__xludf.DUMMYFUNCTION("""COMPUTED_VALUE"""),1)</f>
        <v>1</v>
      </c>
      <c r="K3" s="2" t="str">
        <f ca="1">IFERROR(__xludf.DUMMYFUNCTION("""COMPUTED_VALUE"""),"POSSE VALIDADA")</f>
        <v>POSSE VALIDADA</v>
      </c>
      <c r="L3" s="10"/>
      <c r="M3" s="9" t="str">
        <f ca="1">IFERROR(__xludf.DUMMYFUNCTION("""COMPUTED_VALUE"""),"nayara.nunes.oliveira@gmail.com")</f>
        <v>nayara.nunes.oliveira@gmail.com</v>
      </c>
      <c r="N3" s="2" t="str">
        <f ca="1">IFERROR(__xludf.DUMMYFUNCTION("""COMPUTED_VALUE"""),"theonunes.bsr@gmail.com")</f>
        <v>theonunes.bsr@gmail.com</v>
      </c>
      <c r="O3" s="2" t="str">
        <f ca="1">IFERROR(__xludf.DUMMYFUNCTION("""COMPUTED_VALUE"""),"(83)99309-2339")</f>
        <v>(83)99309-2339</v>
      </c>
      <c r="P3" s="2" t="str">
        <f ca="1">IFERROR(__xludf.DUMMYFUNCTION("""COMPUTED_VALUE"""),"(83)99129-8550")</f>
        <v>(83)99129-8550</v>
      </c>
      <c r="Q3" s="50" t="str">
        <f ca="1">IFERROR(__xludf.DUMMYFUNCTION("""COMPUTED_VALUE"""),"23/04/2025")</f>
        <v>23/04/2025</v>
      </c>
      <c r="R3" s="50"/>
      <c r="S3" s="2" t="str">
        <f ca="1">IFERROR(VLOOKUP(A3,IMPORT_DESISTENCIA!$A$2:$Q2273,14,0),"NÃO")</f>
        <v>NÃO</v>
      </c>
      <c r="T3" s="35"/>
    </row>
    <row r="4" spans="1:20" ht="45" customHeight="1" x14ac:dyDescent="0.25">
      <c r="A4" s="2" t="str">
        <f t="shared" ca="1" si="1"/>
        <v>004/2025/128.853.154-07</v>
      </c>
      <c r="B4" s="2" t="str">
        <f ca="1">IFERROR(__xludf.DUMMYFUNCTION("""COMPUTED_VALUE"""),"128.853.154-07")</f>
        <v>128.853.154-07</v>
      </c>
      <c r="C4" s="43" t="str">
        <f ca="1">IFERROR(__xludf.DUMMYFUNCTION("""COMPUTED_VALUE"""),"FELIPE BARBOSA LUNA")</f>
        <v>FELIPE BARBOSA LUNA</v>
      </c>
      <c r="D4" s="2" t="str">
        <f ca="1">IFERROR(__xludf.DUMMYFUNCTION("""COMPUTED_VALUE"""),"SUPERVISOR")</f>
        <v>SUPERVISOR</v>
      </c>
      <c r="E4" s="2" t="str">
        <f ca="1">IFERROR(__xludf.DUMMYFUNCTION("""COMPUTED_VALUE"""),"004/2025")</f>
        <v>004/2025</v>
      </c>
      <c r="F4" s="2" t="str">
        <f ca="1">IFERROR(__xludf.DUMMYFUNCTION("""COMPUTED_VALUE"""),"AREIA")</f>
        <v>AREIA</v>
      </c>
      <c r="G4" s="11"/>
      <c r="H4" s="11" t="str">
        <f ca="1">IFERROR(__xludf.DUMMYFUNCTION("""COMPUTED_VALUE"""),"ASSENTAMENTO UNIAO")</f>
        <v>ASSENTAMENTO UNIAO</v>
      </c>
      <c r="I4" s="2" t="str">
        <f ca="1">IFERROR(__xludf.DUMMYFUNCTION("""COMPUTED_VALUE"""),"TARDE")</f>
        <v>TARDE</v>
      </c>
      <c r="J4" s="47">
        <f ca="1">IFERROR(__xludf.DUMMYFUNCTION("""COMPUTED_VALUE"""),2)</f>
        <v>2</v>
      </c>
      <c r="K4" s="2"/>
      <c r="L4" s="10"/>
      <c r="M4" s="9" t="str">
        <f ca="1">IFERROR(__xludf.DUMMYFUNCTION("""COMPUTED_VALUE"""),"epilefaf7@gmail.com")</f>
        <v>epilefaf7@gmail.com</v>
      </c>
      <c r="N4" s="2" t="str">
        <f ca="1">IFERROR(__xludf.DUMMYFUNCTION("""COMPUTED_VALUE"""),"felipe_fieladeus@hotmail.com")</f>
        <v>felipe_fieladeus@hotmail.com</v>
      </c>
      <c r="O4" s="2" t="str">
        <f ca="1">IFERROR(__xludf.DUMMYFUNCTION("""COMPUTED_VALUE"""),"(83)99395-2595")</f>
        <v>(83)99395-2595</v>
      </c>
      <c r="P4" s="2" t="str">
        <f ca="1">IFERROR(__xludf.DUMMYFUNCTION("""COMPUTED_VALUE"""),"(83)981683472")</f>
        <v>(83)981683472</v>
      </c>
      <c r="Q4" s="50"/>
      <c r="R4" s="50"/>
      <c r="S4" s="2" t="str">
        <f ca="1">IFERROR(VLOOKUP(A4,IMPORT_DESISTENCIA!$A$2:$Q2273,14,0),"NÃO")</f>
        <v>NÃO</v>
      </c>
      <c r="T4" s="35"/>
    </row>
    <row r="5" spans="1:20" ht="45" customHeight="1" x14ac:dyDescent="0.25">
      <c r="A5" s="2" t="str">
        <f t="shared" ca="1" si="1"/>
        <v>004/2025/022.485.433-01</v>
      </c>
      <c r="B5" s="2" t="str">
        <f ca="1">IFERROR(__xludf.DUMMYFUNCTION("""COMPUTED_VALUE"""),"022.485.433-01")</f>
        <v>022.485.433-01</v>
      </c>
      <c r="C5" s="43" t="str">
        <f ca="1">IFERROR(__xludf.DUMMYFUNCTION("""COMPUTED_VALUE"""),"FRANCISCO FREIRE CAETANO FILHO")</f>
        <v>FRANCISCO FREIRE CAETANO FILHO</v>
      </c>
      <c r="D5" s="2" t="str">
        <f ca="1">IFERROR(__xludf.DUMMYFUNCTION("""COMPUTED_VALUE"""),"SUPERVISOR")</f>
        <v>SUPERVISOR</v>
      </c>
      <c r="E5" s="2" t="str">
        <f ca="1">IFERROR(__xludf.DUMMYFUNCTION("""COMPUTED_VALUE"""),"004/2025")</f>
        <v>004/2025</v>
      </c>
      <c r="F5" s="2" t="str">
        <f ca="1">IFERROR(__xludf.DUMMYFUNCTION("""COMPUTED_VALUE"""),"AREIA")</f>
        <v>AREIA</v>
      </c>
      <c r="G5" s="11"/>
      <c r="H5" s="11" t="str">
        <f ca="1">IFERROR(__xludf.DUMMYFUNCTION("""COMPUTED_VALUE"""),"ASSENTAMENTO MULHERES EM ACAO")</f>
        <v>ASSENTAMENTO MULHERES EM ACAO</v>
      </c>
      <c r="I5" s="2" t="str">
        <f ca="1">IFERROR(__xludf.DUMMYFUNCTION("""COMPUTED_VALUE"""),"TARDE")</f>
        <v>TARDE</v>
      </c>
      <c r="J5" s="47">
        <f ca="1">IFERROR(__xludf.DUMMYFUNCTION("""COMPUTED_VALUE"""),1)</f>
        <v>1</v>
      </c>
      <c r="K5" s="2"/>
      <c r="L5" s="10"/>
      <c r="M5" s="9" t="str">
        <f ca="1">IFERROR(__xludf.DUMMYFUNCTION("""COMPUTED_VALUE"""),"caetano.filho24@gmail.com")</f>
        <v>caetano.filho24@gmail.com</v>
      </c>
      <c r="N5" s="2" t="str">
        <f ca="1">IFERROR(__xludf.DUMMYFUNCTION("""COMPUTED_VALUE"""),"nci_freire@hotmail.com")</f>
        <v>nci_freire@hotmail.com</v>
      </c>
      <c r="O5" s="2" t="str">
        <f ca="1">IFERROR(__xludf.DUMMYFUNCTION("""COMPUTED_VALUE"""),"(88)99494-8310")</f>
        <v>(88)99494-8310</v>
      </c>
      <c r="P5" s="2"/>
      <c r="Q5" s="50"/>
      <c r="R5" s="50"/>
      <c r="S5" s="2" t="str">
        <f ca="1">IFERROR(VLOOKUP(A5,IMPORT_DESISTENCIA!$A$2:$Q2273,14,0),"NÃO")</f>
        <v>NÃO</v>
      </c>
      <c r="T5" s="35"/>
    </row>
    <row r="6" spans="1:20" ht="45" customHeight="1" x14ac:dyDescent="0.25">
      <c r="A6" s="2" t="str">
        <f t="shared" ca="1" si="1"/>
        <v>004/2025/109.890.044-81</v>
      </c>
      <c r="B6" s="2" t="str">
        <f ca="1">IFERROR(__xludf.DUMMYFUNCTION("""COMPUTED_VALUE"""),"109.890.044-81")</f>
        <v>109.890.044-81</v>
      </c>
      <c r="C6" s="43" t="str">
        <f ca="1">IFERROR(__xludf.DUMMYFUNCTION("""COMPUTED_VALUE"""),"LIGIA RITA DE LIMA ANDRADE BARROS")</f>
        <v>LIGIA RITA DE LIMA ANDRADE BARROS</v>
      </c>
      <c r="D6" s="2" t="str">
        <f ca="1">IFERROR(__xludf.DUMMYFUNCTION("""COMPUTED_VALUE"""),"SUPERVISOR")</f>
        <v>SUPERVISOR</v>
      </c>
      <c r="E6" s="2" t="str">
        <f ca="1">IFERROR(__xludf.DUMMYFUNCTION("""COMPUTED_VALUE"""),"004/2025")</f>
        <v>004/2025</v>
      </c>
      <c r="F6" s="2" t="str">
        <f ca="1">IFERROR(__xludf.DUMMYFUNCTION("""COMPUTED_VALUE"""),"AREIA")</f>
        <v>AREIA</v>
      </c>
      <c r="G6" s="11"/>
      <c r="H6" s="11" t="str">
        <f ca="1">IFERROR(__xludf.DUMMYFUNCTION("""COMPUTED_VALUE"""),"ASSENTAMENTO MULHERES EM ACAO")</f>
        <v>ASSENTAMENTO MULHERES EM ACAO</v>
      </c>
      <c r="I6" s="2" t="str">
        <f ca="1">IFERROR(__xludf.DUMMYFUNCTION("""COMPUTED_VALUE"""),"TARDE")</f>
        <v>TARDE</v>
      </c>
      <c r="J6" s="47">
        <f ca="1">IFERROR(__xludf.DUMMYFUNCTION("""COMPUTED_VALUE"""),2)</f>
        <v>2</v>
      </c>
      <c r="K6" s="2" t="str">
        <f ca="1">IFERROR(__xludf.DUMMYFUNCTION("""COMPUTED_VALUE"""),"POSSE VALIDADA")</f>
        <v>POSSE VALIDADA</v>
      </c>
      <c r="L6" s="10"/>
      <c r="M6" s="9" t="str">
        <f ca="1">IFERROR(__xludf.DUMMYFUNCTION("""COMPUTED_VALUE"""),"ligiaandrade125@gmail.com")</f>
        <v>ligiaandrade125@gmail.com</v>
      </c>
      <c r="N6" s="2" t="str">
        <f ca="1">IFERROR(__xludf.DUMMYFUNCTION("""COMPUTED_VALUE"""),"weslleybarros02@gmail.com")</f>
        <v>weslleybarros02@gmail.com</v>
      </c>
      <c r="O6" s="2" t="str">
        <f ca="1">IFERROR(__xludf.DUMMYFUNCTION("""COMPUTED_VALUE"""),"(83)99959-2198")</f>
        <v>(83)99959-2198</v>
      </c>
      <c r="P6" s="2" t="str">
        <f ca="1">IFERROR(__xludf.DUMMYFUNCTION("""COMPUTED_VALUE"""),"(83)99941-6734")</f>
        <v>(83)99941-6734</v>
      </c>
      <c r="Q6" s="50" t="str">
        <f ca="1">IFERROR(__xludf.DUMMYFUNCTION("""COMPUTED_VALUE"""),"01/05/2025")</f>
        <v>01/05/2025</v>
      </c>
      <c r="R6" s="50" t="str">
        <f ca="1">IFERROR(__xludf.DUMMYFUNCTION("""COMPUTED_VALUE"""),"07/05/2025")</f>
        <v>07/05/2025</v>
      </c>
      <c r="S6" s="2" t="str">
        <f ca="1">IFERROR(VLOOKUP(A6,IMPORT_DESISTENCIA!$A$2:$Q2273,14,0),"NÃO")</f>
        <v>DESISTIU</v>
      </c>
      <c r="T6" s="35"/>
    </row>
    <row r="7" spans="1:20" ht="45" customHeight="1" x14ac:dyDescent="0.25">
      <c r="A7" s="2" t="str">
        <f t="shared" ca="1" si="1"/>
        <v>004/2025/115.148.204-80</v>
      </c>
      <c r="B7" s="2" t="str">
        <f ca="1">IFERROR(__xludf.DUMMYFUNCTION("""COMPUTED_VALUE"""),"115.148.204-80")</f>
        <v>115.148.204-80</v>
      </c>
      <c r="C7" s="43" t="str">
        <f ca="1">IFERROR(__xludf.DUMMYFUNCTION("""COMPUTED_VALUE"""),"MARIA SUELI FIDELIS DOS SANTOS")</f>
        <v>MARIA SUELI FIDELIS DOS SANTOS</v>
      </c>
      <c r="D7" s="2" t="str">
        <f ca="1">IFERROR(__xludf.DUMMYFUNCTION("""COMPUTED_VALUE"""),"SUPERVISOR")</f>
        <v>SUPERVISOR</v>
      </c>
      <c r="E7" s="2" t="str">
        <f ca="1">IFERROR(__xludf.DUMMYFUNCTION("""COMPUTED_VALUE"""),"004/2025")</f>
        <v>004/2025</v>
      </c>
      <c r="F7" s="2" t="str">
        <f ca="1">IFERROR(__xludf.DUMMYFUNCTION("""COMPUTED_VALUE"""),"AREIA")</f>
        <v>AREIA</v>
      </c>
      <c r="G7" s="11"/>
      <c r="H7" s="11" t="str">
        <f ca="1">IFERROR(__xludf.DUMMYFUNCTION("""COMPUTED_VALUE"""),"ASSENTAMENTO MULHERES EM ACAO")</f>
        <v>ASSENTAMENTO MULHERES EM ACAO</v>
      </c>
      <c r="I7" s="2" t="str">
        <f ca="1">IFERROR(__xludf.DUMMYFUNCTION("""COMPUTED_VALUE"""),"TARDE")</f>
        <v>TARDE</v>
      </c>
      <c r="J7" s="47">
        <f ca="1">IFERROR(__xludf.DUMMYFUNCTION("""COMPUTED_VALUE"""),3)</f>
        <v>3</v>
      </c>
      <c r="K7" s="2" t="str">
        <f ca="1">IFERROR(__xludf.DUMMYFUNCTION("""COMPUTED_VALUE"""),"POSSE VALIDADA")</f>
        <v>POSSE VALIDADA</v>
      </c>
      <c r="L7" s="10"/>
      <c r="M7" s="9" t="str">
        <f ca="1">IFERROR(__xludf.DUMMYFUNCTION("""COMPUTED_VALUE"""),"mariasueli300406@gmail.com")</f>
        <v>mariasueli300406@gmail.com</v>
      </c>
      <c r="N7" s="2"/>
      <c r="O7" s="2" t="str">
        <f ca="1">IFERROR(__xludf.DUMMYFUNCTION("""COMPUTED_VALUE"""),"(83)991645761")</f>
        <v>(83)991645761</v>
      </c>
      <c r="P7" s="2"/>
      <c r="Q7" s="50" t="str">
        <f ca="1">IFERROR(__xludf.DUMMYFUNCTION("""COMPUTED_VALUE"""),"13/05/2025")</f>
        <v>13/05/2025</v>
      </c>
      <c r="R7" s="50"/>
      <c r="S7" s="2" t="str">
        <f ca="1">IFERROR(VLOOKUP(A7,IMPORT_DESISTENCIA!$A$2:$Q2273,14,0),"NÃO")</f>
        <v>NÃO</v>
      </c>
      <c r="T7" s="35"/>
    </row>
    <row r="8" spans="1:20" ht="45" customHeight="1" x14ac:dyDescent="0.25">
      <c r="A8" s="2" t="str">
        <f t="shared" ca="1" si="1"/>
        <v>004/2025/065.575.004-57</v>
      </c>
      <c r="B8" s="2" t="str">
        <f ca="1">IFERROR(__xludf.DUMMYFUNCTION("""COMPUTED_VALUE"""),"065.575.004-57")</f>
        <v>065.575.004-57</v>
      </c>
      <c r="C8" s="43" t="str">
        <f ca="1">IFERROR(__xludf.DUMMYFUNCTION("""COMPUTED_VALUE"""),"HELOISA MELO DE ALMEIDA JARDIM")</f>
        <v>HELOISA MELO DE ALMEIDA JARDIM</v>
      </c>
      <c r="D8" s="2" t="str">
        <f ca="1">IFERROR(__xludf.DUMMYFUNCTION("""COMPUTED_VALUE"""),"SUPERVISOR")</f>
        <v>SUPERVISOR</v>
      </c>
      <c r="E8" s="2" t="str">
        <f ca="1">IFERROR(__xludf.DUMMYFUNCTION("""COMPUTED_VALUE"""),"004/2025")</f>
        <v>004/2025</v>
      </c>
      <c r="F8" s="2" t="str">
        <f ca="1">IFERROR(__xludf.DUMMYFUNCTION("""COMPUTED_VALUE"""),"BAYEUX")</f>
        <v>BAYEUX</v>
      </c>
      <c r="G8" s="11"/>
      <c r="H8" s="11" t="str">
        <f ca="1">IFERROR(__xludf.DUMMYFUNCTION("""COMPUTED_VALUE"""),"CENTRO DE CONVIVENCIA DOM HELDER")</f>
        <v>CENTRO DE CONVIVENCIA DOM HELDER</v>
      </c>
      <c r="I8" s="2" t="str">
        <f ca="1">IFERROR(__xludf.DUMMYFUNCTION("""COMPUTED_VALUE"""),"TARDE")</f>
        <v>TARDE</v>
      </c>
      <c r="J8" s="47">
        <f ca="1">IFERROR(__xludf.DUMMYFUNCTION("""COMPUTED_VALUE"""),1)</f>
        <v>1</v>
      </c>
      <c r="K8" s="2"/>
      <c r="L8" s="10"/>
      <c r="M8" s="9" t="str">
        <f ca="1">IFERROR(__xludf.DUMMYFUNCTION("""COMPUTED_VALUE"""),"heloisa.ped.1104@gmail.com")</f>
        <v>heloisa.ped.1104@gmail.com</v>
      </c>
      <c r="N8" s="2"/>
      <c r="O8" s="2" t="str">
        <f ca="1">IFERROR(__xludf.DUMMYFUNCTION("""COMPUTED_VALUE"""),"(83)99909-5949")</f>
        <v>(83)99909-5949</v>
      </c>
      <c r="P8" s="2"/>
      <c r="Q8" s="50"/>
      <c r="R8" s="50"/>
      <c r="S8" s="2" t="str">
        <f ca="1">IFERROR(VLOOKUP(A8,IMPORT_DESISTENCIA!$A$2:$Q2273,14,0),"NÃO")</f>
        <v>NÃO</v>
      </c>
      <c r="T8" s="35"/>
    </row>
    <row r="9" spans="1:20" ht="45" customHeight="1" x14ac:dyDescent="0.25">
      <c r="A9" s="2" t="str">
        <f t="shared" ca="1" si="1"/>
        <v>004/2025/046.897.674-40</v>
      </c>
      <c r="B9" s="2" t="str">
        <f ca="1">IFERROR(__xludf.DUMMYFUNCTION("""COMPUTED_VALUE"""),"046.897.674-40")</f>
        <v>046.897.674-40</v>
      </c>
      <c r="C9" s="43" t="str">
        <f ca="1">IFERROR(__xludf.DUMMYFUNCTION("""COMPUTED_VALUE"""),"GIRLENE SANTOS RIBEIRO FRANÇA")</f>
        <v>GIRLENE SANTOS RIBEIRO FRANÇA</v>
      </c>
      <c r="D9" s="2" t="str">
        <f ca="1">IFERROR(__xludf.DUMMYFUNCTION("""COMPUTED_VALUE"""),"SUPERVISOR")</f>
        <v>SUPERVISOR</v>
      </c>
      <c r="E9" s="2" t="str">
        <f ca="1">IFERROR(__xludf.DUMMYFUNCTION("""COMPUTED_VALUE"""),"004/2025")</f>
        <v>004/2025</v>
      </c>
      <c r="F9" s="2" t="str">
        <f ca="1">IFERROR(__xludf.DUMMYFUNCTION("""COMPUTED_VALUE"""),"BAYEUX")</f>
        <v>BAYEUX</v>
      </c>
      <c r="G9" s="11"/>
      <c r="H9" s="11" t="str">
        <f ca="1">IFERROR(__xludf.DUMMYFUNCTION("""COMPUTED_VALUE"""),"CENTRO DE CONVIVENCIA DOM HELDER")</f>
        <v>CENTRO DE CONVIVENCIA DOM HELDER</v>
      </c>
      <c r="I9" s="2" t="str">
        <f ca="1">IFERROR(__xludf.DUMMYFUNCTION("""COMPUTED_VALUE"""),"TARDE")</f>
        <v>TARDE</v>
      </c>
      <c r="J9" s="47">
        <f ca="1">IFERROR(__xludf.DUMMYFUNCTION("""COMPUTED_VALUE"""),2)</f>
        <v>2</v>
      </c>
      <c r="K9" s="2" t="str">
        <f ca="1">IFERROR(__xludf.DUMMYFUNCTION("""COMPUTED_VALUE"""),"POSSE VALIDADA")</f>
        <v>POSSE VALIDADA</v>
      </c>
      <c r="L9" s="10"/>
      <c r="M9" s="9" t="str">
        <f ca="1">IFERROR(__xludf.DUMMYFUNCTION("""COMPUTED_VALUE"""),"gifranca1530@gmail.com")</f>
        <v>gifranca1530@gmail.com</v>
      </c>
      <c r="N9" s="2" t="str">
        <f ca="1">IFERROR(__xludf.DUMMYFUNCTION("""COMPUTED_VALUE"""),"gifranca1530@gmail.com")</f>
        <v>gifranca1530@gmail.com</v>
      </c>
      <c r="O9" s="2" t="str">
        <f ca="1">IFERROR(__xludf.DUMMYFUNCTION("""COMPUTED_VALUE"""),"(83)98812-6870")</f>
        <v>(83)98812-6870</v>
      </c>
      <c r="P9" s="2" t="str">
        <f ca="1">IFERROR(__xludf.DUMMYFUNCTION("""COMPUTED_VALUE"""),"(83)98809-3058")</f>
        <v>(83)98809-3058</v>
      </c>
      <c r="Q9" s="50" t="str">
        <f ca="1">IFERROR(__xludf.DUMMYFUNCTION("""COMPUTED_VALUE"""),"01/05/2025")</f>
        <v>01/05/2025</v>
      </c>
      <c r="R9" s="50"/>
      <c r="S9" s="2" t="str">
        <f ca="1">IFERROR(VLOOKUP(A9,IMPORT_DESISTENCIA!$A$2:$Q2273,14,0),"NÃO")</f>
        <v>NÃO</v>
      </c>
      <c r="T9" s="35"/>
    </row>
    <row r="10" spans="1:20" ht="45" customHeight="1" x14ac:dyDescent="0.25">
      <c r="A10" s="2" t="str">
        <f t="shared" ca="1" si="1"/>
        <v>004/2025/050.171.584-30</v>
      </c>
      <c r="B10" s="2" t="str">
        <f ca="1">IFERROR(__xludf.DUMMYFUNCTION("""COMPUTED_VALUE"""),"050.171.584-30")</f>
        <v>050.171.584-30</v>
      </c>
      <c r="C10" s="43" t="str">
        <f ca="1">IFERROR(__xludf.DUMMYFUNCTION("""COMPUTED_VALUE"""),"ALEX LIMA DOS SANTOS")</f>
        <v>ALEX LIMA DOS SANTOS</v>
      </c>
      <c r="D10" s="2" t="str">
        <f ca="1">IFERROR(__xludf.DUMMYFUNCTION("""COMPUTED_VALUE"""),"SUPERVISOR")</f>
        <v>SUPERVISOR</v>
      </c>
      <c r="E10" s="2" t="str">
        <f ca="1">IFERROR(__xludf.DUMMYFUNCTION("""COMPUTED_VALUE"""),"004/2025")</f>
        <v>004/2025</v>
      </c>
      <c r="F10" s="2" t="str">
        <f ca="1">IFERROR(__xludf.DUMMYFUNCTION("""COMPUTED_VALUE"""),"BAYEUX")</f>
        <v>BAYEUX</v>
      </c>
      <c r="G10" s="11"/>
      <c r="H10" s="11" t="str">
        <f ca="1">IFERROR(__xludf.DUMMYFUNCTION("""COMPUTED_VALUE"""),"CENTRO DE CONVIVENCIA DOM HELDER")</f>
        <v>CENTRO DE CONVIVENCIA DOM HELDER</v>
      </c>
      <c r="I10" s="2" t="str">
        <f ca="1">IFERROR(__xludf.DUMMYFUNCTION("""COMPUTED_VALUE"""),"TARDE")</f>
        <v>TARDE</v>
      </c>
      <c r="J10" s="47">
        <f ca="1">IFERROR(__xludf.DUMMYFUNCTION("""COMPUTED_VALUE"""),3)</f>
        <v>3</v>
      </c>
      <c r="K10" s="2"/>
      <c r="L10" s="10"/>
      <c r="M10" s="9" t="str">
        <f ca="1">IFERROR(__xludf.DUMMYFUNCTION("""COMPUTED_VALUE"""),"alexpedagogia10@hotmail.com")</f>
        <v>alexpedagogia10@hotmail.com</v>
      </c>
      <c r="N10" s="2"/>
      <c r="O10" s="2" t="str">
        <f ca="1">IFERROR(__xludf.DUMMYFUNCTION("""COMPUTED_VALUE"""),"(83)99116-4481")</f>
        <v>(83)99116-4481</v>
      </c>
      <c r="P10" s="2" t="str">
        <f ca="1">IFERROR(__xludf.DUMMYFUNCTION("""COMPUTED_VALUE"""),"(00)00000-0000")</f>
        <v>(00)00000-0000</v>
      </c>
      <c r="Q10" s="50"/>
      <c r="R10" s="50"/>
      <c r="S10" s="2" t="str">
        <f ca="1">IFERROR(VLOOKUP(A10,IMPORT_DESISTENCIA!$A$2:$Q2273,14,0),"NÃO")</f>
        <v>NÃO</v>
      </c>
      <c r="T10" s="35"/>
    </row>
    <row r="11" spans="1:20" ht="45" customHeight="1" x14ac:dyDescent="0.25">
      <c r="A11" s="2" t="str">
        <f t="shared" ca="1" si="1"/>
        <v>004/2025/118.975.304-98</v>
      </c>
      <c r="B11" s="2" t="str">
        <f ca="1">IFERROR(__xludf.DUMMYFUNCTION("""COMPUTED_VALUE"""),"118.975.304-98")</f>
        <v>118.975.304-98</v>
      </c>
      <c r="C11" s="43" t="str">
        <f ca="1">IFERROR(__xludf.DUMMYFUNCTION("""COMPUTED_VALUE"""),"MARIA THAYS EMMANUELLE PEREIRA RODRIGUES")</f>
        <v>MARIA THAYS EMMANUELLE PEREIRA RODRIGUES</v>
      </c>
      <c r="D11" s="2" t="str">
        <f ca="1">IFERROR(__xludf.DUMMYFUNCTION("""COMPUTED_VALUE"""),"SUPERVISOR")</f>
        <v>SUPERVISOR</v>
      </c>
      <c r="E11" s="2" t="str">
        <f ca="1">IFERROR(__xludf.DUMMYFUNCTION("""COMPUTED_VALUE"""),"004/2025")</f>
        <v>004/2025</v>
      </c>
      <c r="F11" s="2" t="str">
        <f ca="1">IFERROR(__xludf.DUMMYFUNCTION("""COMPUTED_VALUE"""),"BAYEUX")</f>
        <v>BAYEUX</v>
      </c>
      <c r="G11" s="11"/>
      <c r="H11" s="11" t="str">
        <f ca="1">IFERROR(__xludf.DUMMYFUNCTION("""COMPUTED_VALUE"""),"CENTRO DE CONVIVENCIA DOM HELDER")</f>
        <v>CENTRO DE CONVIVENCIA DOM HELDER</v>
      </c>
      <c r="I11" s="2" t="str">
        <f ca="1">IFERROR(__xludf.DUMMYFUNCTION("""COMPUTED_VALUE"""),"TARDE")</f>
        <v>TARDE</v>
      </c>
      <c r="J11" s="47">
        <f ca="1">IFERROR(__xludf.DUMMYFUNCTION("""COMPUTED_VALUE"""),4)</f>
        <v>4</v>
      </c>
      <c r="K11" s="2"/>
      <c r="L11" s="10"/>
      <c r="M11" s="9" t="str">
        <f ca="1">IFERROR(__xludf.DUMMYFUNCTION("""COMPUTED_VALUE"""),"thaysemanuele96@gmail.com")</f>
        <v>thaysemanuele96@gmail.com</v>
      </c>
      <c r="N11" s="2" t="str">
        <f ca="1">IFERROR(__xludf.DUMMYFUNCTION("""COMPUTED_VALUE"""),"thayspsicop@gmail.com")</f>
        <v>thayspsicop@gmail.com</v>
      </c>
      <c r="O11" s="2" t="str">
        <f ca="1">IFERROR(__xludf.DUMMYFUNCTION("""COMPUTED_VALUE"""),"(83)99167-2510")</f>
        <v>(83)99167-2510</v>
      </c>
      <c r="P11" s="2"/>
      <c r="Q11" s="50"/>
      <c r="R11" s="50"/>
      <c r="S11" s="2" t="str">
        <f ca="1">IFERROR(VLOOKUP(A11,IMPORT_DESISTENCIA!$A$2:$Q2273,14,0),"NÃO")</f>
        <v>NÃO</v>
      </c>
      <c r="T11" s="35"/>
    </row>
    <row r="12" spans="1:20" ht="45" customHeight="1" x14ac:dyDescent="0.25">
      <c r="A12" s="2" t="str">
        <f t="shared" ca="1" si="1"/>
        <v>004/2025/065.618.494-93</v>
      </c>
      <c r="B12" s="2" t="str">
        <f ca="1">IFERROR(__xludf.DUMMYFUNCTION("""COMPUTED_VALUE"""),"065.618.494-93")</f>
        <v>065.618.494-93</v>
      </c>
      <c r="C12" s="43" t="str">
        <f ca="1">IFERROR(__xludf.DUMMYFUNCTION("""COMPUTED_VALUE"""),"ALVANIA THAIS DOS SANTOS")</f>
        <v>ALVANIA THAIS DOS SANTOS</v>
      </c>
      <c r="D12" s="2" t="str">
        <f ca="1">IFERROR(__xludf.DUMMYFUNCTION("""COMPUTED_VALUE"""),"SUPERVISOR")</f>
        <v>SUPERVISOR</v>
      </c>
      <c r="E12" s="2" t="str">
        <f ca="1">IFERROR(__xludf.DUMMYFUNCTION("""COMPUTED_VALUE"""),"004/2025")</f>
        <v>004/2025</v>
      </c>
      <c r="F12" s="2" t="str">
        <f ca="1">IFERROR(__xludf.DUMMYFUNCTION("""COMPUTED_VALUE"""),"BAIA DA TRAICAO")</f>
        <v>BAIA DA TRAICAO</v>
      </c>
      <c r="G12" s="11"/>
      <c r="H12" s="11" t="str">
        <f ca="1">IFERROR(__xludf.DUMMYFUNCTION("""COMPUTED_VALUE"""),"EMEF CENTRO SOCIAL SAO MIGUEL")</f>
        <v>EMEF CENTRO SOCIAL SAO MIGUEL</v>
      </c>
      <c r="I12" s="2" t="str">
        <f ca="1">IFERROR(__xludf.DUMMYFUNCTION("""COMPUTED_VALUE"""),"TARDE")</f>
        <v>TARDE</v>
      </c>
      <c r="J12" s="47">
        <f ca="1">IFERROR(__xludf.DUMMYFUNCTION("""COMPUTED_VALUE"""),1)</f>
        <v>1</v>
      </c>
      <c r="K12" s="2" t="str">
        <f ca="1">IFERROR(__xludf.DUMMYFUNCTION("""COMPUTED_VALUE"""),"POSSE INVALIDADA")</f>
        <v>POSSE INVALIDADA</v>
      </c>
      <c r="L12" s="10" t="str">
        <f ca="1">IFERROR(__xludf.DUMMYFUNCTION("""COMPUTED_VALUE"""),"FALTA ENVIAR TODOS OS DOCUMENTOS DE IDENTIFICAÇÃO E DIPLOMAS AUTENTICADOS EM CARTÓRIO, ASSIM COMO OS DOCUMENTOS QUE COMPROVAM SER DO GRUPO A.")</f>
        <v>FALTA ENVIAR TODOS OS DOCUMENTOS DE IDENTIFICAÇÃO E DIPLOMAS AUTENTICADOS EM CARTÓRIO, ASSIM COMO OS DOCUMENTOS QUE COMPROVAM SER DO GRUPO A.</v>
      </c>
      <c r="M12" s="9" t="str">
        <f ca="1">IFERROR(__xludf.DUMMYFUNCTION("""COMPUTED_VALUE"""),"alvaniathais39@gmail.com")</f>
        <v>alvaniathais39@gmail.com</v>
      </c>
      <c r="N12" s="2" t="str">
        <f ca="1">IFERROR(__xludf.DUMMYFUNCTION("""COMPUTED_VALUE"""),"alvania_thais@hotmail.com")</f>
        <v>alvania_thais@hotmail.com</v>
      </c>
      <c r="O12" s="2" t="str">
        <f ca="1">IFERROR(__xludf.DUMMYFUNCTION("""COMPUTED_VALUE"""),"(83)99332-8898")</f>
        <v>(83)99332-8898</v>
      </c>
      <c r="P12" s="2" t="str">
        <f ca="1">IFERROR(__xludf.DUMMYFUNCTION("""COMPUTED_VALUE"""),"(83)98678-6055")</f>
        <v>(83)98678-6055</v>
      </c>
      <c r="Q12" s="50"/>
      <c r="R12" s="50"/>
      <c r="S12" s="2" t="str">
        <f ca="1">IFERROR(VLOOKUP(A12,IMPORT_DESISTENCIA!$A$2:$Q2273,14,0),"NÃO")</f>
        <v>NÃO</v>
      </c>
      <c r="T12" s="35"/>
    </row>
    <row r="13" spans="1:20" ht="45" customHeight="1" x14ac:dyDescent="0.25">
      <c r="A13" s="2" t="str">
        <f t="shared" ca="1" si="1"/>
        <v>004/2025/634.584.464-00</v>
      </c>
      <c r="B13" s="2" t="str">
        <f ca="1">IFERROR(__xludf.DUMMYFUNCTION("""COMPUTED_VALUE"""),"634.584.464-00")</f>
        <v>634.584.464-00</v>
      </c>
      <c r="C13" s="43" t="str">
        <f ca="1">IFERROR(__xludf.DUMMYFUNCTION("""COMPUTED_VALUE"""),"FRANCISCA SUELY DA SILVA")</f>
        <v>FRANCISCA SUELY DA SILVA</v>
      </c>
      <c r="D13" s="2" t="str">
        <f ca="1">IFERROR(__xludf.DUMMYFUNCTION("""COMPUTED_VALUE"""),"SUPERVISOR")</f>
        <v>SUPERVISOR</v>
      </c>
      <c r="E13" s="2" t="str">
        <f ca="1">IFERROR(__xludf.DUMMYFUNCTION("""COMPUTED_VALUE"""),"004/2025")</f>
        <v>004/2025</v>
      </c>
      <c r="F13" s="2" t="str">
        <f ca="1">IFERROR(__xludf.DUMMYFUNCTION("""COMPUTED_VALUE"""),"BAIA DA TRAICAO")</f>
        <v>BAIA DA TRAICAO</v>
      </c>
      <c r="G13" s="11"/>
      <c r="H13" s="11" t="str">
        <f ca="1">IFERROR(__xludf.DUMMYFUNCTION("""COMPUTED_VALUE"""),"EMEF CENTRO SOCIAL SAO MIGUEL")</f>
        <v>EMEF CENTRO SOCIAL SAO MIGUEL</v>
      </c>
      <c r="I13" s="2" t="str">
        <f ca="1">IFERROR(__xludf.DUMMYFUNCTION("""COMPUTED_VALUE"""),"TARDE")</f>
        <v>TARDE</v>
      </c>
      <c r="J13" s="47">
        <f ca="1">IFERROR(__xludf.DUMMYFUNCTION("""COMPUTED_VALUE"""),2)</f>
        <v>2</v>
      </c>
      <c r="K13" s="2"/>
      <c r="L13" s="10"/>
      <c r="M13" s="9" t="str">
        <f ca="1">IFERROR(__xludf.DUMMYFUNCTION("""COMPUTED_VALUE"""),"fsuelysilva73@gmail.com")</f>
        <v>fsuelysilva73@gmail.com</v>
      </c>
      <c r="N13" s="2" t="str">
        <f ca="1">IFERROR(__xludf.DUMMYFUNCTION("""COMPUTED_VALUE"""),"susurn@hotmail.com")</f>
        <v>susurn@hotmail.com</v>
      </c>
      <c r="O13" s="2" t="str">
        <f ca="1">IFERROR(__xludf.DUMMYFUNCTION("""COMPUTED_VALUE"""),"(84)99610-2825")</f>
        <v>(84)99610-2825</v>
      </c>
      <c r="P13" s="2" t="str">
        <f ca="1">IFERROR(__xludf.DUMMYFUNCTION("""COMPUTED_VALUE"""),"(84)99109-3533")</f>
        <v>(84)99109-3533</v>
      </c>
      <c r="Q13" s="50"/>
      <c r="R13" s="50"/>
      <c r="S13" s="2" t="str">
        <f ca="1">IFERROR(VLOOKUP(A13,IMPORT_DESISTENCIA!$A$2:$Q2273,14,0),"NÃO")</f>
        <v>NÃO</v>
      </c>
      <c r="T13" s="35"/>
    </row>
    <row r="14" spans="1:20" ht="45" customHeight="1" x14ac:dyDescent="0.25">
      <c r="A14" s="2" t="str">
        <f t="shared" ca="1" si="1"/>
        <v>004/2025/042.731.774-63</v>
      </c>
      <c r="B14" s="2" t="str">
        <f ca="1">IFERROR(__xludf.DUMMYFUNCTION("""COMPUTED_VALUE"""),"042.731.774-63")</f>
        <v>042.731.774-63</v>
      </c>
      <c r="C14" s="43" t="str">
        <f ca="1">IFERROR(__xludf.DUMMYFUNCTION("""COMPUTED_VALUE"""),"ADRIANA MAGNA SILVA DE MELO")</f>
        <v>ADRIANA MAGNA SILVA DE MELO</v>
      </c>
      <c r="D14" s="2" t="str">
        <f ca="1">IFERROR(__xludf.DUMMYFUNCTION("""COMPUTED_VALUE"""),"SUPERVISOR")</f>
        <v>SUPERVISOR</v>
      </c>
      <c r="E14" s="2" t="str">
        <f ca="1">IFERROR(__xludf.DUMMYFUNCTION("""COMPUTED_VALUE"""),"004/2025")</f>
        <v>004/2025</v>
      </c>
      <c r="F14" s="2" t="str">
        <f ca="1">IFERROR(__xludf.DUMMYFUNCTION("""COMPUTED_VALUE"""),"BAIA DA TRAICAO")</f>
        <v>BAIA DA TRAICAO</v>
      </c>
      <c r="G14" s="11"/>
      <c r="H14" s="11" t="str">
        <f ca="1">IFERROR(__xludf.DUMMYFUNCTION("""COMPUTED_VALUE"""),"EMEF CENTRO SOCIAL SAO MIGUEL")</f>
        <v>EMEF CENTRO SOCIAL SAO MIGUEL</v>
      </c>
      <c r="I14" s="2" t="str">
        <f ca="1">IFERROR(__xludf.DUMMYFUNCTION("""COMPUTED_VALUE"""),"TARDE")</f>
        <v>TARDE</v>
      </c>
      <c r="J14" s="47">
        <f ca="1">IFERROR(__xludf.DUMMYFUNCTION("""COMPUTED_VALUE"""),3)</f>
        <v>3</v>
      </c>
      <c r="K14" s="2"/>
      <c r="L14" s="10"/>
      <c r="M14" s="9" t="str">
        <f ca="1">IFERROR(__xludf.DUMMYFUNCTION("""COMPUTED_VALUE"""),"magnaadriana3@gmail.com")</f>
        <v>magnaadriana3@gmail.com</v>
      </c>
      <c r="N14" s="2" t="str">
        <f ca="1">IFERROR(__xludf.DUMMYFUNCTION("""COMPUTED_VALUE"""),"paulomelo1915@hotmail.com")</f>
        <v>paulomelo1915@hotmail.com</v>
      </c>
      <c r="O14" s="2" t="str">
        <f ca="1">IFERROR(__xludf.DUMMYFUNCTION("""COMPUTED_VALUE"""),"(83)99350-4567")</f>
        <v>(83)99350-4567</v>
      </c>
      <c r="P14" s="2" t="str">
        <f ca="1">IFERROR(__xludf.DUMMYFUNCTION("""COMPUTED_VALUE"""),"(83)99161-4990")</f>
        <v>(83)99161-4990</v>
      </c>
      <c r="Q14" s="50"/>
      <c r="R14" s="50"/>
      <c r="S14" s="2" t="str">
        <f ca="1">IFERROR(VLOOKUP(A14,IMPORT_DESISTENCIA!$A$2:$Q2273,14,0),"NÃO")</f>
        <v>NÃO</v>
      </c>
      <c r="T14" s="35"/>
    </row>
    <row r="15" spans="1:20" ht="45" customHeight="1" x14ac:dyDescent="0.25">
      <c r="A15" s="2" t="str">
        <f t="shared" ca="1" si="1"/>
        <v>004/2025/003.097.493-36</v>
      </c>
      <c r="B15" s="2" t="str">
        <f ca="1">IFERROR(__xludf.DUMMYFUNCTION("""COMPUTED_VALUE"""),"003.097.493-36")</f>
        <v>003.097.493-36</v>
      </c>
      <c r="C15" s="43" t="str">
        <f ca="1">IFERROR(__xludf.DUMMYFUNCTION("""COMPUTED_VALUE"""),"PATRICIA PEIXOTO CUSTODIO")</f>
        <v>PATRICIA PEIXOTO CUSTODIO</v>
      </c>
      <c r="D15" s="2" t="str">
        <f ca="1">IFERROR(__xludf.DUMMYFUNCTION("""COMPUTED_VALUE"""),"SUPERVISOR")</f>
        <v>SUPERVISOR</v>
      </c>
      <c r="E15" s="2" t="str">
        <f ca="1">IFERROR(__xludf.DUMMYFUNCTION("""COMPUTED_VALUE"""),"004/2025")</f>
        <v>004/2025</v>
      </c>
      <c r="F15" s="2" t="str">
        <f ca="1">IFERROR(__xludf.DUMMYFUNCTION("""COMPUTED_VALUE"""),"CAJAZEIRAS")</f>
        <v>CAJAZEIRAS</v>
      </c>
      <c r="G15" s="11"/>
      <c r="H15" s="11" t="str">
        <f ca="1">IFERROR(__xludf.DUMMYFUNCTION("""COMPUTED_VALUE"""),"CADEIA PUBLICA FEMININA DE CAJAZEIRAS")</f>
        <v>CADEIA PUBLICA FEMININA DE CAJAZEIRAS</v>
      </c>
      <c r="I15" s="2" t="str">
        <f ca="1">IFERROR(__xludf.DUMMYFUNCTION("""COMPUTED_VALUE"""),"TARDE")</f>
        <v>TARDE</v>
      </c>
      <c r="J15" s="47">
        <f ca="1">IFERROR(__xludf.DUMMYFUNCTION("""COMPUTED_VALUE"""),1)</f>
        <v>1</v>
      </c>
      <c r="K15" s="2" t="str">
        <f ca="1">IFERROR(__xludf.DUMMYFUNCTION("""COMPUTED_VALUE"""),"POSSE VALIDADA")</f>
        <v>POSSE VALIDADA</v>
      </c>
      <c r="L15" s="10"/>
      <c r="M15" s="9" t="str">
        <f ca="1">IFERROR(__xludf.DUMMYFUNCTION("""COMPUTED_VALUE"""),"patyenfcz@gmail.com")</f>
        <v>patyenfcz@gmail.com</v>
      </c>
      <c r="N15" s="2" t="str">
        <f ca="1">IFERROR(__xludf.DUMMYFUNCTION("""COMPUTED_VALUE"""),"patricia_custodio10@hotmail.com")</f>
        <v>patricia_custodio10@hotmail.com</v>
      </c>
      <c r="O15" s="2" t="str">
        <f ca="1">IFERROR(__xludf.DUMMYFUNCTION("""COMPUTED_VALUE"""),"(83)99830-8260")</f>
        <v>(83)99830-8260</v>
      </c>
      <c r="P15" s="2"/>
      <c r="Q15" s="50" t="str">
        <f ca="1">IFERROR(__xludf.DUMMYFUNCTION("""COMPUTED_VALUE"""),"25/04/2025")</f>
        <v>25/04/2025</v>
      </c>
      <c r="R15" s="50"/>
      <c r="S15" s="2" t="str">
        <f ca="1">IFERROR(VLOOKUP(A15,IMPORT_DESISTENCIA!$A$2:$Q2273,14,0),"NÃO")</f>
        <v>NÃO</v>
      </c>
      <c r="T15" s="35"/>
    </row>
    <row r="16" spans="1:20" ht="45" customHeight="1" x14ac:dyDescent="0.25">
      <c r="A16" s="2" t="str">
        <f t="shared" ca="1" si="1"/>
        <v>004/2025/061.512.284-13</v>
      </c>
      <c r="B16" s="2" t="str">
        <f ca="1">IFERROR(__xludf.DUMMYFUNCTION("""COMPUTED_VALUE"""),"061.512.284-13")</f>
        <v>061.512.284-13</v>
      </c>
      <c r="C16" s="43" t="str">
        <f ca="1">IFERROR(__xludf.DUMMYFUNCTION("""COMPUTED_VALUE"""),"KYLVIA LUCIANA PEREIRA COSTA")</f>
        <v>KYLVIA LUCIANA PEREIRA COSTA</v>
      </c>
      <c r="D16" s="2" t="str">
        <f ca="1">IFERROR(__xludf.DUMMYFUNCTION("""COMPUTED_VALUE"""),"SUPERVISOR")</f>
        <v>SUPERVISOR</v>
      </c>
      <c r="E16" s="2" t="str">
        <f ca="1">IFERROR(__xludf.DUMMYFUNCTION("""COMPUTED_VALUE"""),"004/2025")</f>
        <v>004/2025</v>
      </c>
      <c r="F16" s="2" t="str">
        <f ca="1">IFERROR(__xludf.DUMMYFUNCTION("""COMPUTED_VALUE"""),"CAJAZEIRAS")</f>
        <v>CAJAZEIRAS</v>
      </c>
      <c r="G16" s="11"/>
      <c r="H16" s="11" t="str">
        <f ca="1">IFERROR(__xludf.DUMMYFUNCTION("""COMPUTED_VALUE"""),"CADEIA PUBLICA FEMININA DE CAJAZEIRAS")</f>
        <v>CADEIA PUBLICA FEMININA DE CAJAZEIRAS</v>
      </c>
      <c r="I16" s="2" t="str">
        <f ca="1">IFERROR(__xludf.DUMMYFUNCTION("""COMPUTED_VALUE"""),"TARDE")</f>
        <v>TARDE</v>
      </c>
      <c r="J16" s="47">
        <f ca="1">IFERROR(__xludf.DUMMYFUNCTION("""COMPUTED_VALUE"""),2)</f>
        <v>2</v>
      </c>
      <c r="K16" s="2"/>
      <c r="L16" s="10"/>
      <c r="M16" s="9" t="str">
        <f ca="1">IFERROR(__xludf.DUMMYFUNCTION("""COMPUTED_VALUE"""),"kylviacosta@gmail.com")</f>
        <v>kylviacosta@gmail.com</v>
      </c>
      <c r="N16" s="2" t="str">
        <f ca="1">IFERROR(__xludf.DUMMYFUNCTION("""COMPUTED_VALUE"""),"kylvia.costa061512.pbtec@escola.pb.gov.br")</f>
        <v>kylvia.costa061512.pbtec@escola.pb.gov.br</v>
      </c>
      <c r="O16" s="2" t="str">
        <f ca="1">IFERROR(__xludf.DUMMYFUNCTION("""COMPUTED_VALUE"""),"(83)99655-0548")</f>
        <v>(83)99655-0548</v>
      </c>
      <c r="P16" s="2"/>
      <c r="Q16" s="50"/>
      <c r="R16" s="50"/>
      <c r="S16" s="2" t="str">
        <f ca="1">IFERROR(VLOOKUP(A16,IMPORT_DESISTENCIA!$A$2:$Q2273,14,0),"NÃO")</f>
        <v>NÃO</v>
      </c>
      <c r="T16" s="35"/>
    </row>
    <row r="17" spans="1:20" ht="45" customHeight="1" x14ac:dyDescent="0.25">
      <c r="A17" s="2" t="str">
        <f t="shared" ca="1" si="1"/>
        <v>004/2025/108.422.594-81</v>
      </c>
      <c r="B17" s="2" t="str">
        <f ca="1">IFERROR(__xludf.DUMMYFUNCTION("""COMPUTED_VALUE"""),"108.422.594-81")</f>
        <v>108.422.594-81</v>
      </c>
      <c r="C17" s="43" t="str">
        <f ca="1">IFERROR(__xludf.DUMMYFUNCTION("""COMPUTED_VALUE"""),"IRLA MARIA BATISTA COELHO")</f>
        <v>IRLA MARIA BATISTA COELHO</v>
      </c>
      <c r="D17" s="2" t="str">
        <f ca="1">IFERROR(__xludf.DUMMYFUNCTION("""COMPUTED_VALUE"""),"SUPERVISOR")</f>
        <v>SUPERVISOR</v>
      </c>
      <c r="E17" s="2" t="str">
        <f ca="1">IFERROR(__xludf.DUMMYFUNCTION("""COMPUTED_VALUE"""),"004/2025")</f>
        <v>004/2025</v>
      </c>
      <c r="F17" s="2" t="str">
        <f ca="1">IFERROR(__xludf.DUMMYFUNCTION("""COMPUTED_VALUE"""),"CAJAZEIRAS")</f>
        <v>CAJAZEIRAS</v>
      </c>
      <c r="G17" s="11"/>
      <c r="H17" s="11" t="str">
        <f ca="1">IFERROR(__xludf.DUMMYFUNCTION("""COMPUTED_VALUE"""),"CADEIA PUBLICA FEMININA DE CAJAZEIRAS")</f>
        <v>CADEIA PUBLICA FEMININA DE CAJAZEIRAS</v>
      </c>
      <c r="I17" s="2" t="str">
        <f ca="1">IFERROR(__xludf.DUMMYFUNCTION("""COMPUTED_VALUE"""),"TARDE")</f>
        <v>TARDE</v>
      </c>
      <c r="J17" s="47">
        <f ca="1">IFERROR(__xludf.DUMMYFUNCTION("""COMPUTED_VALUE"""),3)</f>
        <v>3</v>
      </c>
      <c r="K17" s="2"/>
      <c r="L17" s="10"/>
      <c r="M17" s="9" t="str">
        <f ca="1">IFERROR(__xludf.DUMMYFUNCTION("""COMPUTED_VALUE"""),"irla200.im@hotmail.com")</f>
        <v>irla200.im@hotmail.com</v>
      </c>
      <c r="N17" s="2" t="str">
        <f ca="1">IFERROR(__xludf.DUMMYFUNCTION("""COMPUTED_VALUE"""),"IRLAMARIABATISTACOELHO@GMAIL.COM")</f>
        <v>IRLAMARIABATISTACOELHO@GMAIL.COM</v>
      </c>
      <c r="O17" s="2" t="str">
        <f ca="1">IFERROR(__xludf.DUMMYFUNCTION("""COMPUTED_VALUE"""),"(83)99641-0732")</f>
        <v>(83)99641-0732</v>
      </c>
      <c r="P17" s="2"/>
      <c r="Q17" s="50"/>
      <c r="R17" s="50"/>
      <c r="S17" s="2" t="str">
        <f ca="1">IFERROR(VLOOKUP(A17,IMPORT_DESISTENCIA!$A$2:$Q2273,14,0),"NÃO")</f>
        <v>NÃO</v>
      </c>
      <c r="T17" s="35"/>
    </row>
    <row r="18" spans="1:20" ht="45" customHeight="1" x14ac:dyDescent="0.25">
      <c r="A18" s="2" t="str">
        <f t="shared" ca="1" si="1"/>
        <v>004/2025/036.979.724-80</v>
      </c>
      <c r="B18" s="2" t="str">
        <f ca="1">IFERROR(__xludf.DUMMYFUNCTION("""COMPUTED_VALUE"""),"036.979.724-80")</f>
        <v>036.979.724-80</v>
      </c>
      <c r="C18" s="43" t="str">
        <f ca="1">IFERROR(__xludf.DUMMYFUNCTION("""COMPUTED_VALUE"""),"LUCIANA BANDEIRA FEITOSA")</f>
        <v>LUCIANA BANDEIRA FEITOSA</v>
      </c>
      <c r="D18" s="2" t="str">
        <f ca="1">IFERROR(__xludf.DUMMYFUNCTION("""COMPUTED_VALUE"""),"SUPERVISOR")</f>
        <v>SUPERVISOR</v>
      </c>
      <c r="E18" s="2" t="str">
        <f ca="1">IFERROR(__xludf.DUMMYFUNCTION("""COMPUTED_VALUE"""),"004/2025")</f>
        <v>004/2025</v>
      </c>
      <c r="F18" s="2" t="str">
        <f ca="1">IFERROR(__xludf.DUMMYFUNCTION("""COMPUTED_VALUE"""),"CAJAZEIRAS")</f>
        <v>CAJAZEIRAS</v>
      </c>
      <c r="G18" s="11"/>
      <c r="H18" s="11" t="str">
        <f ca="1">IFERROR(__xludf.DUMMYFUNCTION("""COMPUTED_VALUE"""),"CADEIA PUBLICA FEMININA DE CAJAZEIRAS")</f>
        <v>CADEIA PUBLICA FEMININA DE CAJAZEIRAS</v>
      </c>
      <c r="I18" s="2" t="str">
        <f ca="1">IFERROR(__xludf.DUMMYFUNCTION("""COMPUTED_VALUE"""),"TARDE")</f>
        <v>TARDE</v>
      </c>
      <c r="J18" s="47">
        <f ca="1">IFERROR(__xludf.DUMMYFUNCTION("""COMPUTED_VALUE"""),4)</f>
        <v>4</v>
      </c>
      <c r="K18" s="2"/>
      <c r="L18" s="10"/>
      <c r="M18" s="9" t="str">
        <f ca="1">IFERROR(__xludf.DUMMYFUNCTION("""COMPUTED_VALUE"""),"lubfeitosa.lbf@gmail.com")</f>
        <v>lubfeitosa.lbf@gmail.com</v>
      </c>
      <c r="N18" s="2" t="str">
        <f ca="1">IFERROR(__xludf.DUMMYFUNCTION("""COMPUTED_VALUE"""),"lubfeitosa@hotmail.com")</f>
        <v>lubfeitosa@hotmail.com</v>
      </c>
      <c r="O18" s="2" t="str">
        <f ca="1">IFERROR(__xludf.DUMMYFUNCTION("""COMPUTED_VALUE"""),"(83)993996641")</f>
        <v>(83)993996641</v>
      </c>
      <c r="P18" s="2"/>
      <c r="Q18" s="50"/>
      <c r="R18" s="50"/>
      <c r="S18" s="2" t="str">
        <f ca="1">IFERROR(VLOOKUP(A18,IMPORT_DESISTENCIA!$A$2:$Q2273,14,0),"NÃO")</f>
        <v>NÃO</v>
      </c>
      <c r="T18" s="35"/>
    </row>
    <row r="19" spans="1:20" ht="45" customHeight="1" x14ac:dyDescent="0.25">
      <c r="A19" s="2" t="str">
        <f t="shared" ca="1" si="1"/>
        <v>004/2025/117.872.544-88</v>
      </c>
      <c r="B19" s="2" t="str">
        <f ca="1">IFERROR(__xludf.DUMMYFUNCTION("""COMPUTED_VALUE"""),"117.872.544-88")</f>
        <v>117.872.544-88</v>
      </c>
      <c r="C19" s="43" t="str">
        <f ca="1">IFERROR(__xludf.DUMMYFUNCTION("""COMPUTED_VALUE"""),"NILSARA DIAS BARRETO")</f>
        <v>NILSARA DIAS BARRETO</v>
      </c>
      <c r="D19" s="2" t="str">
        <f ca="1">IFERROR(__xludf.DUMMYFUNCTION("""COMPUTED_VALUE"""),"SUPERVISOR")</f>
        <v>SUPERVISOR</v>
      </c>
      <c r="E19" s="2" t="str">
        <f ca="1">IFERROR(__xludf.DUMMYFUNCTION("""COMPUTED_VALUE"""),"004/2025")</f>
        <v>004/2025</v>
      </c>
      <c r="F19" s="2" t="str">
        <f ca="1">IFERROR(__xludf.DUMMYFUNCTION("""COMPUTED_VALUE"""),"CAJAZEIRAS")</f>
        <v>CAJAZEIRAS</v>
      </c>
      <c r="G19" s="11"/>
      <c r="H19" s="11" t="str">
        <f ca="1">IFERROR(__xludf.DUMMYFUNCTION("""COMPUTED_VALUE"""),"CADEIA PUBLICA FEMININA DE CAJAZEIRAS")</f>
        <v>CADEIA PUBLICA FEMININA DE CAJAZEIRAS</v>
      </c>
      <c r="I19" s="2" t="str">
        <f ca="1">IFERROR(__xludf.DUMMYFUNCTION("""COMPUTED_VALUE"""),"TARDE")</f>
        <v>TARDE</v>
      </c>
      <c r="J19" s="47">
        <f ca="1">IFERROR(__xludf.DUMMYFUNCTION("""COMPUTED_VALUE"""),5)</f>
        <v>5</v>
      </c>
      <c r="K19" s="2"/>
      <c r="L19" s="10"/>
      <c r="M19" s="9" t="str">
        <f ca="1">IFERROR(__xludf.DUMMYFUNCTION("""COMPUTED_VALUE"""),"nilsaradias@gmail.com")</f>
        <v>nilsaradias@gmail.com</v>
      </c>
      <c r="N19" s="2" t="str">
        <f ca="1">IFERROR(__xludf.DUMMYFUNCTION("""COMPUTED_VALUE"""),"nilsaradias@gmail.com")</f>
        <v>nilsaradias@gmail.com</v>
      </c>
      <c r="O19" s="2" t="str">
        <f ca="1">IFERROR(__xludf.DUMMYFUNCTION("""COMPUTED_VALUE"""),"(83)99848-3519")</f>
        <v>(83)99848-3519</v>
      </c>
      <c r="P19" s="2" t="str">
        <f ca="1">IFERROR(__xludf.DUMMYFUNCTION("""COMPUTED_VALUE"""),"(83)99848-3519")</f>
        <v>(83)99848-3519</v>
      </c>
      <c r="Q19" s="50"/>
      <c r="R19" s="50"/>
      <c r="S19" s="2" t="str">
        <f ca="1">IFERROR(VLOOKUP(A19,IMPORT_DESISTENCIA!$A$2:$Q2273,14,0),"NÃO")</f>
        <v>NÃO</v>
      </c>
      <c r="T19" s="35"/>
    </row>
    <row r="20" spans="1:20" ht="45" customHeight="1" x14ac:dyDescent="0.25">
      <c r="A20" s="2" t="str">
        <f t="shared" ca="1" si="1"/>
        <v>004/2025/047.493.414-44</v>
      </c>
      <c r="B20" s="2" t="str">
        <f ca="1">IFERROR(__xludf.DUMMYFUNCTION("""COMPUTED_VALUE"""),"047.493.414-44")</f>
        <v>047.493.414-44</v>
      </c>
      <c r="C20" s="43" t="str">
        <f ca="1">IFERROR(__xludf.DUMMYFUNCTION("""COMPUTED_VALUE"""),"GILVANEIDE GOMES ALVES")</f>
        <v>GILVANEIDE GOMES ALVES</v>
      </c>
      <c r="D20" s="2" t="str">
        <f ca="1">IFERROR(__xludf.DUMMYFUNCTION("""COMPUTED_VALUE"""),"SUPERVISOR")</f>
        <v>SUPERVISOR</v>
      </c>
      <c r="E20" s="2" t="str">
        <f ca="1">IFERROR(__xludf.DUMMYFUNCTION("""COMPUTED_VALUE"""),"004/2025")</f>
        <v>004/2025</v>
      </c>
      <c r="F20" s="2" t="str">
        <f ca="1">IFERROR(__xludf.DUMMYFUNCTION("""COMPUTED_VALUE"""),"CAJAZEIRAS")</f>
        <v>CAJAZEIRAS</v>
      </c>
      <c r="G20" s="11"/>
      <c r="H20" s="11" t="str">
        <f ca="1">IFERROR(__xludf.DUMMYFUNCTION("""COMPUTED_VALUE"""),"CADEIA PUBLICA FEMININA DE CAJAZEIRAS")</f>
        <v>CADEIA PUBLICA FEMININA DE CAJAZEIRAS</v>
      </c>
      <c r="I20" s="2" t="str">
        <f ca="1">IFERROR(__xludf.DUMMYFUNCTION("""COMPUTED_VALUE"""),"TARDE")</f>
        <v>TARDE</v>
      </c>
      <c r="J20" s="47">
        <f ca="1">IFERROR(__xludf.DUMMYFUNCTION("""COMPUTED_VALUE"""),6)</f>
        <v>6</v>
      </c>
      <c r="K20" s="2"/>
      <c r="L20" s="10"/>
      <c r="M20" s="9" t="str">
        <f ca="1">IFERROR(__xludf.DUMMYFUNCTION("""COMPUTED_VALUE"""),"gilvaneydeee@gmail.com")</f>
        <v>gilvaneydeee@gmail.com</v>
      </c>
      <c r="N20" s="2" t="str">
        <f ca="1">IFERROR(__xludf.DUMMYFUNCTION("""COMPUTED_VALUE"""),"gilvaneidecz@hotmail.com")</f>
        <v>gilvaneidecz@hotmail.com</v>
      </c>
      <c r="O20" s="2" t="str">
        <f ca="1">IFERROR(__xludf.DUMMYFUNCTION("""COMPUTED_VALUE"""),"(83)99116-8700")</f>
        <v>(83)99116-8700</v>
      </c>
      <c r="P20" s="2" t="str">
        <f ca="1">IFERROR(__xludf.DUMMYFUNCTION("""COMPUTED_VALUE"""),"(83)99359-0593")</f>
        <v>(83)99359-0593</v>
      </c>
      <c r="Q20" s="50"/>
      <c r="R20" s="50"/>
      <c r="S20" s="2" t="str">
        <f ca="1">IFERROR(VLOOKUP(A20,IMPORT_DESISTENCIA!$A$2:$Q2273,14,0),"NÃO")</f>
        <v>NÃO</v>
      </c>
      <c r="T20" s="35"/>
    </row>
    <row r="21" spans="1:20" ht="45" customHeight="1" x14ac:dyDescent="0.25">
      <c r="A21" s="2" t="str">
        <f t="shared" ca="1" si="1"/>
        <v>004/2025/964.448.514-91</v>
      </c>
      <c r="B21" s="2" t="str">
        <f ca="1">IFERROR(__xludf.DUMMYFUNCTION("""COMPUTED_VALUE"""),"964.448.514-91")</f>
        <v>964.448.514-91</v>
      </c>
      <c r="C21" s="43" t="str">
        <f ca="1">IFERROR(__xludf.DUMMYFUNCTION("""COMPUTED_VALUE"""),"DAGMAR DE OLIVEIRA BATISTA")</f>
        <v>DAGMAR DE OLIVEIRA BATISTA</v>
      </c>
      <c r="D21" s="2" t="str">
        <f ca="1">IFERROR(__xludf.DUMMYFUNCTION("""COMPUTED_VALUE"""),"SUPERVISOR")</f>
        <v>SUPERVISOR</v>
      </c>
      <c r="E21" s="2" t="str">
        <f ca="1">IFERROR(__xludf.DUMMYFUNCTION("""COMPUTED_VALUE"""),"004/2025")</f>
        <v>004/2025</v>
      </c>
      <c r="F21" s="2" t="str">
        <f ca="1">IFERROR(__xludf.DUMMYFUNCTION("""COMPUTED_VALUE"""),"CAMPINA GRANDE")</f>
        <v>CAMPINA GRANDE</v>
      </c>
      <c r="G21" s="11"/>
      <c r="H21" s="11" t="str">
        <f ca="1">IFERROR(__xludf.DUMMYFUNCTION("""COMPUTED_VALUE"""),"PRESIDIO REGIONAL FEMININO DE CAMPINA GRANDE")</f>
        <v>PRESIDIO REGIONAL FEMININO DE CAMPINA GRANDE</v>
      </c>
      <c r="I21" s="2" t="str">
        <f ca="1">IFERROR(__xludf.DUMMYFUNCTION("""COMPUTED_VALUE"""),"TARDE")</f>
        <v>TARDE</v>
      </c>
      <c r="J21" s="47">
        <f ca="1">IFERROR(__xludf.DUMMYFUNCTION("""COMPUTED_VALUE"""),1)</f>
        <v>1</v>
      </c>
      <c r="K21" s="2"/>
      <c r="L21" s="10"/>
      <c r="M21" s="9" t="str">
        <f ca="1">IFERROR(__xludf.DUMMYFUNCTION("""COMPUTED_VALUE"""),"dagmar.oliveirabatista@gmail.com")</f>
        <v>dagmar.oliveirabatista@gmail.com</v>
      </c>
      <c r="N21" s="2" t="str">
        <f ca="1">IFERROR(__xludf.DUMMYFUNCTION("""COMPUTED_VALUE"""),"DAGMAR.BATISTA.9691.PBTEC23@ESCOLA.PB.GOV.BR")</f>
        <v>DAGMAR.BATISTA.9691.PBTEC23@ESCOLA.PB.GOV.BR</v>
      </c>
      <c r="O21" s="2" t="str">
        <f ca="1">IFERROR(__xludf.DUMMYFUNCTION("""COMPUTED_VALUE"""),"(83)98216-2156")</f>
        <v>(83)98216-2156</v>
      </c>
      <c r="P21" s="2"/>
      <c r="Q21" s="50"/>
      <c r="R21" s="50"/>
      <c r="S21" s="2" t="str">
        <f ca="1">IFERROR(VLOOKUP(A21,IMPORT_DESISTENCIA!$A$2:$Q2273,14,0),"NÃO")</f>
        <v>NÃO</v>
      </c>
      <c r="T21" s="35"/>
    </row>
    <row r="22" spans="1:20" ht="45" customHeight="1" x14ac:dyDescent="0.25">
      <c r="A22" s="2" t="str">
        <f t="shared" ca="1" si="1"/>
        <v>004/2025/126.750.964-31</v>
      </c>
      <c r="B22" s="2" t="str">
        <f ca="1">IFERROR(__xludf.DUMMYFUNCTION("""COMPUTED_VALUE"""),"126.750.964-31")</f>
        <v>126.750.964-31</v>
      </c>
      <c r="C22" s="43" t="str">
        <f ca="1">IFERROR(__xludf.DUMMYFUNCTION("""COMPUTED_VALUE"""),"MARIA EDUARDA ARRUDA SANTOS")</f>
        <v>MARIA EDUARDA ARRUDA SANTOS</v>
      </c>
      <c r="D22" s="2" t="str">
        <f ca="1">IFERROR(__xludf.DUMMYFUNCTION("""COMPUTED_VALUE"""),"SUPERVISOR")</f>
        <v>SUPERVISOR</v>
      </c>
      <c r="E22" s="2" t="str">
        <f ca="1">IFERROR(__xludf.DUMMYFUNCTION("""COMPUTED_VALUE"""),"004/2025")</f>
        <v>004/2025</v>
      </c>
      <c r="F22" s="2" t="str">
        <f ca="1">IFERROR(__xludf.DUMMYFUNCTION("""COMPUTED_VALUE"""),"CAMPINA GRANDE")</f>
        <v>CAMPINA GRANDE</v>
      </c>
      <c r="G22" s="11"/>
      <c r="H22" s="11" t="str">
        <f ca="1">IFERROR(__xludf.DUMMYFUNCTION("""COMPUTED_VALUE"""),"PRESIDIO REGIONAL FEMININO DE CAMPINA GRANDE")</f>
        <v>PRESIDIO REGIONAL FEMININO DE CAMPINA GRANDE</v>
      </c>
      <c r="I22" s="2" t="str">
        <f ca="1">IFERROR(__xludf.DUMMYFUNCTION("""COMPUTED_VALUE"""),"TARDE")</f>
        <v>TARDE</v>
      </c>
      <c r="J22" s="47">
        <f ca="1">IFERROR(__xludf.DUMMYFUNCTION("""COMPUTED_VALUE"""),2)</f>
        <v>2</v>
      </c>
      <c r="K22" s="2"/>
      <c r="L22" s="10"/>
      <c r="M22" s="9" t="str">
        <f ca="1">IFERROR(__xludf.DUMMYFUNCTION("""COMPUTED_VALUE"""),"eduardaarruda0@gmail.com")</f>
        <v>eduardaarruda0@gmail.com</v>
      </c>
      <c r="N22" s="2" t="str">
        <f ca="1">IFERROR(__xludf.DUMMYFUNCTION("""COMPUTED_VALUE"""),"prof.eduardaarruda@gmail.com")</f>
        <v>prof.eduardaarruda@gmail.com</v>
      </c>
      <c r="O22" s="2" t="str">
        <f ca="1">IFERROR(__xludf.DUMMYFUNCTION("""COMPUTED_VALUE"""),"(83)98863-4317")</f>
        <v>(83)98863-4317</v>
      </c>
      <c r="P22" s="2" t="str">
        <f ca="1">IFERROR(__xludf.DUMMYFUNCTION("""COMPUTED_VALUE"""),"(83)98633-2294")</f>
        <v>(83)98633-2294</v>
      </c>
      <c r="Q22" s="50"/>
      <c r="R22" s="50"/>
      <c r="S22" s="2" t="str">
        <f ca="1">IFERROR(VLOOKUP(A22,IMPORT_DESISTENCIA!$A$2:$Q2273,14,0),"NÃO")</f>
        <v>NÃO</v>
      </c>
      <c r="T22" s="35"/>
    </row>
    <row r="23" spans="1:20" ht="45" customHeight="1" x14ac:dyDescent="0.25">
      <c r="A23" s="2" t="str">
        <f t="shared" ca="1" si="1"/>
        <v>004/2025/078.162.994-27</v>
      </c>
      <c r="B23" s="2" t="str">
        <f ca="1">IFERROR(__xludf.DUMMYFUNCTION("""COMPUTED_VALUE"""),"078.162.994-27")</f>
        <v>078.162.994-27</v>
      </c>
      <c r="C23" s="43" t="str">
        <f ca="1">IFERROR(__xludf.DUMMYFUNCTION("""COMPUTED_VALUE"""),"MARIA JOSE FIRMINO DE LIMA")</f>
        <v>MARIA JOSE FIRMINO DE LIMA</v>
      </c>
      <c r="D23" s="2" t="str">
        <f ca="1">IFERROR(__xludf.DUMMYFUNCTION("""COMPUTED_VALUE"""),"SUPERVISOR")</f>
        <v>SUPERVISOR</v>
      </c>
      <c r="E23" s="2" t="str">
        <f ca="1">IFERROR(__xludf.DUMMYFUNCTION("""COMPUTED_VALUE"""),"004/2025")</f>
        <v>004/2025</v>
      </c>
      <c r="F23" s="2" t="str">
        <f ca="1">IFERROR(__xludf.DUMMYFUNCTION("""COMPUTED_VALUE"""),"CAMPINA GRANDE")</f>
        <v>CAMPINA GRANDE</v>
      </c>
      <c r="G23" s="11"/>
      <c r="H23" s="11" t="str">
        <f ca="1">IFERROR(__xludf.DUMMYFUNCTION("""COMPUTED_VALUE"""),"PRESIDIO REGIONAL FEMININO DE CAMPINA GRANDE")</f>
        <v>PRESIDIO REGIONAL FEMININO DE CAMPINA GRANDE</v>
      </c>
      <c r="I23" s="2" t="str">
        <f ca="1">IFERROR(__xludf.DUMMYFUNCTION("""COMPUTED_VALUE"""),"TARDE")</f>
        <v>TARDE</v>
      </c>
      <c r="J23" s="47">
        <f ca="1">IFERROR(__xludf.DUMMYFUNCTION("""COMPUTED_VALUE"""),3)</f>
        <v>3</v>
      </c>
      <c r="K23" s="2"/>
      <c r="L23" s="10"/>
      <c r="M23" s="9" t="str">
        <f ca="1">IFERROR(__xludf.DUMMYFUNCTION("""COMPUTED_VALUE"""),"maria.jose12ag@gmail.com")</f>
        <v>maria.jose12ag@gmail.com</v>
      </c>
      <c r="N23" s="2"/>
      <c r="O23" s="2" t="str">
        <f ca="1">IFERROR(__xludf.DUMMYFUNCTION("""COMPUTED_VALUE"""),"(83)991867560")</f>
        <v>(83)991867560</v>
      </c>
      <c r="P23" s="2" t="str">
        <f ca="1">IFERROR(__xludf.DUMMYFUNCTION("""COMPUTED_VALUE"""),"(83)993361469")</f>
        <v>(83)993361469</v>
      </c>
      <c r="Q23" s="50"/>
      <c r="R23" s="50"/>
      <c r="S23" s="2" t="str">
        <f ca="1">IFERROR(VLOOKUP(A23,IMPORT_DESISTENCIA!$A$2:$Q2273,14,0),"NÃO")</f>
        <v>NÃO</v>
      </c>
      <c r="T23" s="35"/>
    </row>
    <row r="24" spans="1:20" ht="45" customHeight="1" x14ac:dyDescent="0.25">
      <c r="A24" s="2" t="str">
        <f t="shared" ca="1" si="1"/>
        <v>004/2025/053.905.424-01</v>
      </c>
      <c r="B24" s="2" t="str">
        <f ca="1">IFERROR(__xludf.DUMMYFUNCTION("""COMPUTED_VALUE"""),"053.905.424-01")</f>
        <v>053.905.424-01</v>
      </c>
      <c r="C24" s="43" t="str">
        <f ca="1">IFERROR(__xludf.DUMMYFUNCTION("""COMPUTED_VALUE"""),"ALUSKA SUELINE PIANO DE GOUVEIA")</f>
        <v>ALUSKA SUELINE PIANO DE GOUVEIA</v>
      </c>
      <c r="D24" s="2" t="str">
        <f ca="1">IFERROR(__xludf.DUMMYFUNCTION("""COMPUTED_VALUE"""),"SUPERVISOR")</f>
        <v>SUPERVISOR</v>
      </c>
      <c r="E24" s="2" t="str">
        <f ca="1">IFERROR(__xludf.DUMMYFUNCTION("""COMPUTED_VALUE"""),"004/2025")</f>
        <v>004/2025</v>
      </c>
      <c r="F24" s="2" t="str">
        <f ca="1">IFERROR(__xludf.DUMMYFUNCTION("""COMPUTED_VALUE"""),"CAMPINA GRANDE")</f>
        <v>CAMPINA GRANDE</v>
      </c>
      <c r="G24" s="11"/>
      <c r="H24" s="11" t="str">
        <f ca="1">IFERROR(__xludf.DUMMYFUNCTION("""COMPUTED_VALUE"""),"PRESIDIO REGIONAL FEMININO DE CAMPINA GRANDE")</f>
        <v>PRESIDIO REGIONAL FEMININO DE CAMPINA GRANDE</v>
      </c>
      <c r="I24" s="2" t="str">
        <f ca="1">IFERROR(__xludf.DUMMYFUNCTION("""COMPUTED_VALUE"""),"TARDE")</f>
        <v>TARDE</v>
      </c>
      <c r="J24" s="47">
        <f ca="1">IFERROR(__xludf.DUMMYFUNCTION("""COMPUTED_VALUE"""),4)</f>
        <v>4</v>
      </c>
      <c r="K24" s="2"/>
      <c r="L24" s="10"/>
      <c r="M24" s="9" t="str">
        <f ca="1">IFERROR(__xludf.DUMMYFUNCTION("""COMPUTED_VALUE"""),"aluskapiano@gmail.com")</f>
        <v>aluskapiano@gmail.com</v>
      </c>
      <c r="N24" s="2" t="str">
        <f ca="1">IFERROR(__xludf.DUMMYFUNCTION("""COMPUTED_VALUE"""),"laluskasueline@hotmail.com")</f>
        <v>laluskasueline@hotmail.com</v>
      </c>
      <c r="O24" s="2" t="str">
        <f ca="1">IFERROR(__xludf.DUMMYFUNCTION("""COMPUTED_VALUE"""),"(83)98852-8858")</f>
        <v>(83)98852-8858</v>
      </c>
      <c r="P24" s="2" t="str">
        <f ca="1">IFERROR(__xludf.DUMMYFUNCTION("""COMPUTED_VALUE"""),"(83)98841-4325")</f>
        <v>(83)98841-4325</v>
      </c>
      <c r="Q24" s="50"/>
      <c r="R24" s="50"/>
      <c r="S24" s="2" t="str">
        <f ca="1">IFERROR(VLOOKUP(A24,IMPORT_DESISTENCIA!$A$2:$Q2273,14,0),"NÃO")</f>
        <v>NÃO</v>
      </c>
      <c r="T24" s="35"/>
    </row>
    <row r="25" spans="1:20" ht="45" customHeight="1" x14ac:dyDescent="0.25">
      <c r="A25" s="2" t="str">
        <f t="shared" ca="1" si="1"/>
        <v>004/2025/010.020.374-41</v>
      </c>
      <c r="B25" s="2" t="str">
        <f ca="1">IFERROR(__xludf.DUMMYFUNCTION("""COMPUTED_VALUE"""),"010.020.374-41")</f>
        <v>010.020.374-41</v>
      </c>
      <c r="C25" s="43" t="str">
        <f ca="1">IFERROR(__xludf.DUMMYFUNCTION("""COMPUTED_VALUE"""),"ROSEVAN MARCOLINO DE ANDRADE")</f>
        <v>ROSEVAN MARCOLINO DE ANDRADE</v>
      </c>
      <c r="D25" s="2" t="str">
        <f ca="1">IFERROR(__xludf.DUMMYFUNCTION("""COMPUTED_VALUE"""),"SUPERVISOR")</f>
        <v>SUPERVISOR</v>
      </c>
      <c r="E25" s="2" t="str">
        <f ca="1">IFERROR(__xludf.DUMMYFUNCTION("""COMPUTED_VALUE"""),"004/2025")</f>
        <v>004/2025</v>
      </c>
      <c r="F25" s="2" t="str">
        <f ca="1">IFERROR(__xludf.DUMMYFUNCTION("""COMPUTED_VALUE"""),"CAMPINA GRANDE")</f>
        <v>CAMPINA GRANDE</v>
      </c>
      <c r="G25" s="11"/>
      <c r="H25" s="11" t="str">
        <f ca="1">IFERROR(__xludf.DUMMYFUNCTION("""COMPUTED_VALUE"""),"EEEFM SEN ARGEMIRO DE FIGUEIREDO")</f>
        <v>EEEFM SEN ARGEMIRO DE FIGUEIREDO</v>
      </c>
      <c r="I25" s="2" t="str">
        <f ca="1">IFERROR(__xludf.DUMMYFUNCTION("""COMPUTED_VALUE"""),"NOITE")</f>
        <v>NOITE</v>
      </c>
      <c r="J25" s="47">
        <f ca="1">IFERROR(__xludf.DUMMYFUNCTION("""COMPUTED_VALUE"""),1)</f>
        <v>1</v>
      </c>
      <c r="K25" s="2" t="str">
        <f ca="1">IFERROR(__xludf.DUMMYFUNCTION("""COMPUTED_VALUE"""),"POSSE VALIDADA")</f>
        <v>POSSE VALIDADA</v>
      </c>
      <c r="L25" s="10"/>
      <c r="M25" s="9" t="str">
        <f ca="1">IFERROR(__xludf.DUMMYFUNCTION("""COMPUTED_VALUE"""),"rosevanandrade@gmail.com")</f>
        <v>rosevanandrade@gmail.com</v>
      </c>
      <c r="N25" s="2" t="str">
        <f ca="1">IFERROR(__xludf.DUMMYFUNCTION("""COMPUTED_VALUE"""),"rosevanandrade@hotmail.com")</f>
        <v>rosevanandrade@hotmail.com</v>
      </c>
      <c r="O25" s="2" t="str">
        <f ca="1">IFERROR(__xludf.DUMMYFUNCTION("""COMPUTED_VALUE"""),"(83)99134-5948")</f>
        <v>(83)99134-5948</v>
      </c>
      <c r="P25" s="2" t="str">
        <f ca="1">IFERROR(__xludf.DUMMYFUNCTION("""COMPUTED_VALUE"""),"(83)98834-6288")</f>
        <v>(83)98834-6288</v>
      </c>
      <c r="Q25" s="50" t="str">
        <f ca="1">IFERROR(__xludf.DUMMYFUNCTION("""COMPUTED_VALUE"""),"22/04/2025")</f>
        <v>22/04/2025</v>
      </c>
      <c r="R25" s="50"/>
      <c r="S25" s="2" t="str">
        <f ca="1">IFERROR(VLOOKUP(A25,IMPORT_DESISTENCIA!$A$2:$Q2273,14,0),"NÃO")</f>
        <v>NÃO</v>
      </c>
      <c r="T25" s="35"/>
    </row>
    <row r="26" spans="1:20" ht="45" customHeight="1" x14ac:dyDescent="0.25">
      <c r="A26" s="2" t="str">
        <f t="shared" ca="1" si="1"/>
        <v>004/2025/027.798.834-99</v>
      </c>
      <c r="B26" s="2" t="str">
        <f ca="1">IFERROR(__xludf.DUMMYFUNCTION("""COMPUTED_VALUE"""),"027.798.834-99")</f>
        <v>027.798.834-99</v>
      </c>
      <c r="C26" s="43" t="str">
        <f ca="1">IFERROR(__xludf.DUMMYFUNCTION("""COMPUTED_VALUE"""),"MARIA APARECIDA DA SILVA")</f>
        <v>MARIA APARECIDA DA SILVA</v>
      </c>
      <c r="D26" s="2" t="str">
        <f ca="1">IFERROR(__xludf.DUMMYFUNCTION("""COMPUTED_VALUE"""),"SUPERVISOR")</f>
        <v>SUPERVISOR</v>
      </c>
      <c r="E26" s="2" t="str">
        <f ca="1">IFERROR(__xludf.DUMMYFUNCTION("""COMPUTED_VALUE"""),"004/2025")</f>
        <v>004/2025</v>
      </c>
      <c r="F26" s="2" t="str">
        <f ca="1">IFERROR(__xludf.DUMMYFUNCTION("""COMPUTED_VALUE"""),"CAMPINA GRANDE")</f>
        <v>CAMPINA GRANDE</v>
      </c>
      <c r="G26" s="11"/>
      <c r="H26" s="11" t="str">
        <f ca="1">IFERROR(__xludf.DUMMYFUNCTION("""COMPUTED_VALUE"""),"EEEFM SEN ARGEMIRO DE FIGUEIREDO")</f>
        <v>EEEFM SEN ARGEMIRO DE FIGUEIREDO</v>
      </c>
      <c r="I26" s="2" t="str">
        <f ca="1">IFERROR(__xludf.DUMMYFUNCTION("""COMPUTED_VALUE"""),"NOITE")</f>
        <v>NOITE</v>
      </c>
      <c r="J26" s="47">
        <f ca="1">IFERROR(__xludf.DUMMYFUNCTION("""COMPUTED_VALUE"""),2)</f>
        <v>2</v>
      </c>
      <c r="K26" s="2"/>
      <c r="L26" s="10"/>
      <c r="M26" s="9" t="str">
        <f ca="1">IFERROR(__xludf.DUMMYFUNCTION("""COMPUTED_VALUE"""),"cidasilva@professor.pb.gov.br")</f>
        <v>cidasilva@professor.pb.gov.br</v>
      </c>
      <c r="N26" s="2" t="str">
        <f ca="1">IFERROR(__xludf.DUMMYFUNCTION("""COMPUTED_VALUE"""),"cida16silva@gmail.com")</f>
        <v>cida16silva@gmail.com</v>
      </c>
      <c r="O26" s="2" t="str">
        <f ca="1">IFERROR(__xludf.DUMMYFUNCTION("""COMPUTED_VALUE"""),"(83)99619-7763")</f>
        <v>(83)99619-7763</v>
      </c>
      <c r="P26" s="2"/>
      <c r="Q26" s="50"/>
      <c r="R26" s="50"/>
      <c r="S26" s="2" t="str">
        <f ca="1">IFERROR(VLOOKUP(A26,IMPORT_DESISTENCIA!$A$2:$Q2273,14,0),"NÃO")</f>
        <v>NÃO</v>
      </c>
      <c r="T26" s="35"/>
    </row>
    <row r="27" spans="1:20" ht="45" customHeight="1" x14ac:dyDescent="0.25">
      <c r="A27" s="2" t="str">
        <f t="shared" ca="1" si="1"/>
        <v>004/2025/700.700.274-98</v>
      </c>
      <c r="B27" s="2" t="str">
        <f ca="1">IFERROR(__xludf.DUMMYFUNCTION("""COMPUTED_VALUE"""),"700.700.274-98")</f>
        <v>700.700.274-98</v>
      </c>
      <c r="C27" s="43" t="str">
        <f ca="1">IFERROR(__xludf.DUMMYFUNCTION("""COMPUTED_VALUE"""),"RENATA ALMEIDA LEITE")</f>
        <v>RENATA ALMEIDA LEITE</v>
      </c>
      <c r="D27" s="2" t="str">
        <f ca="1">IFERROR(__xludf.DUMMYFUNCTION("""COMPUTED_VALUE"""),"SUPERVISOR")</f>
        <v>SUPERVISOR</v>
      </c>
      <c r="E27" s="2" t="str">
        <f ca="1">IFERROR(__xludf.DUMMYFUNCTION("""COMPUTED_VALUE"""),"004/2025")</f>
        <v>004/2025</v>
      </c>
      <c r="F27" s="2" t="str">
        <f ca="1">IFERROR(__xludf.DUMMYFUNCTION("""COMPUTED_VALUE"""),"CAMPINA GRANDE")</f>
        <v>CAMPINA GRANDE</v>
      </c>
      <c r="G27" s="11"/>
      <c r="H27" s="11" t="str">
        <f ca="1">IFERROR(__xludf.DUMMYFUNCTION("""COMPUTED_VALUE"""),"EEEFM SEN ARGEMIRO DE FIGUEIREDO")</f>
        <v>EEEFM SEN ARGEMIRO DE FIGUEIREDO</v>
      </c>
      <c r="I27" s="2" t="str">
        <f ca="1">IFERROR(__xludf.DUMMYFUNCTION("""COMPUTED_VALUE"""),"NOITE")</f>
        <v>NOITE</v>
      </c>
      <c r="J27" s="47">
        <f ca="1">IFERROR(__xludf.DUMMYFUNCTION("""COMPUTED_VALUE"""),3)</f>
        <v>3</v>
      </c>
      <c r="K27" s="2"/>
      <c r="L27" s="10"/>
      <c r="M27" s="9" t="str">
        <f ca="1">IFERROR(__xludf.DUMMYFUNCTION("""COMPUTED_VALUE"""),"renatta28almeida@gmail.com")</f>
        <v>renatta28almeida@gmail.com</v>
      </c>
      <c r="N27" s="2"/>
      <c r="O27" s="2" t="str">
        <f ca="1">IFERROR(__xludf.DUMMYFUNCTION("""COMPUTED_VALUE"""),"(83)99127-1671")</f>
        <v>(83)99127-1671</v>
      </c>
      <c r="P27" s="2"/>
      <c r="Q27" s="50"/>
      <c r="R27" s="50"/>
      <c r="S27" s="2" t="str">
        <f ca="1">IFERROR(VLOOKUP(A27,IMPORT_DESISTENCIA!$A$2:$Q2273,14,0),"NÃO")</f>
        <v>NÃO</v>
      </c>
      <c r="T27" s="35"/>
    </row>
    <row r="28" spans="1:20" ht="45" customHeight="1" x14ac:dyDescent="0.25">
      <c r="A28" s="2" t="str">
        <f t="shared" ca="1" si="1"/>
        <v>004/2025/091.513.284-29</v>
      </c>
      <c r="B28" s="2" t="str">
        <f ca="1">IFERROR(__xludf.DUMMYFUNCTION("""COMPUTED_VALUE"""),"091.513.284-29")</f>
        <v>091.513.284-29</v>
      </c>
      <c r="C28" s="43" t="str">
        <f ca="1">IFERROR(__xludf.DUMMYFUNCTION("""COMPUTED_VALUE"""),"SILMARA SILVA ALVES")</f>
        <v>SILMARA SILVA ALVES</v>
      </c>
      <c r="D28" s="2" t="str">
        <f ca="1">IFERROR(__xludf.DUMMYFUNCTION("""COMPUTED_VALUE"""),"SUPERVISOR")</f>
        <v>SUPERVISOR</v>
      </c>
      <c r="E28" s="2" t="str">
        <f ca="1">IFERROR(__xludf.DUMMYFUNCTION("""COMPUTED_VALUE"""),"004/2025")</f>
        <v>004/2025</v>
      </c>
      <c r="F28" s="2" t="str">
        <f ca="1">IFERROR(__xludf.DUMMYFUNCTION("""COMPUTED_VALUE"""),"CAMPINA GRANDE")</f>
        <v>CAMPINA GRANDE</v>
      </c>
      <c r="G28" s="11"/>
      <c r="H28" s="11" t="str">
        <f ca="1">IFERROR(__xludf.DUMMYFUNCTION("""COMPUTED_VALUE"""),"EEEFM SEN ARGEMIRO DE FIGUEIREDO")</f>
        <v>EEEFM SEN ARGEMIRO DE FIGUEIREDO</v>
      </c>
      <c r="I28" s="2" t="str">
        <f ca="1">IFERROR(__xludf.DUMMYFUNCTION("""COMPUTED_VALUE"""),"NOITE")</f>
        <v>NOITE</v>
      </c>
      <c r="J28" s="47">
        <f ca="1">IFERROR(__xludf.DUMMYFUNCTION("""COMPUTED_VALUE"""),4)</f>
        <v>4</v>
      </c>
      <c r="K28" s="2"/>
      <c r="L28" s="10"/>
      <c r="M28" s="9" t="str">
        <f ca="1">IFERROR(__xludf.DUMMYFUNCTION("""COMPUTED_VALUE"""),"silmaracsalves@gmail.com")</f>
        <v>silmaracsalves@gmail.com</v>
      </c>
      <c r="N28" s="2"/>
      <c r="O28" s="2" t="str">
        <f ca="1">IFERROR(__xludf.DUMMYFUNCTION("""COMPUTED_VALUE"""),"(83)98195-1156")</f>
        <v>(83)98195-1156</v>
      </c>
      <c r="P28" s="2"/>
      <c r="Q28" s="50"/>
      <c r="R28" s="50"/>
      <c r="S28" s="2" t="str">
        <f ca="1">IFERROR(VLOOKUP(A28,IMPORT_DESISTENCIA!$A$2:$Q2273,14,0),"NÃO")</f>
        <v>NÃO</v>
      </c>
      <c r="T28" s="35"/>
    </row>
    <row r="29" spans="1:20" ht="45" customHeight="1" x14ac:dyDescent="0.25">
      <c r="A29" s="2" t="str">
        <f t="shared" ca="1" si="1"/>
        <v>004/2025/760.453.584-49</v>
      </c>
      <c r="B29" s="2" t="str">
        <f ca="1">IFERROR(__xludf.DUMMYFUNCTION("""COMPUTED_VALUE"""),"760.453.584-49")</f>
        <v>760.453.584-49</v>
      </c>
      <c r="C29" s="43" t="str">
        <f ca="1">IFERROR(__xludf.DUMMYFUNCTION("""COMPUTED_VALUE"""),"GENILDA PEREIRA DE ARAUJO")</f>
        <v>GENILDA PEREIRA DE ARAUJO</v>
      </c>
      <c r="D29" s="2" t="str">
        <f ca="1">IFERROR(__xludf.DUMMYFUNCTION("""COMPUTED_VALUE"""),"SUPERVISOR")</f>
        <v>SUPERVISOR</v>
      </c>
      <c r="E29" s="2" t="str">
        <f ca="1">IFERROR(__xludf.DUMMYFUNCTION("""COMPUTED_VALUE"""),"004/2025")</f>
        <v>004/2025</v>
      </c>
      <c r="F29" s="2" t="str">
        <f ca="1">IFERROR(__xludf.DUMMYFUNCTION("""COMPUTED_VALUE"""),"CONDADO")</f>
        <v>CONDADO</v>
      </c>
      <c r="G29" s="11"/>
      <c r="H29" s="11" t="str">
        <f ca="1">IFERROR(__xludf.DUMMYFUNCTION("""COMPUTED_VALUE"""),"ECIT DR. TRAJANO PIRES DA NOBREGA")</f>
        <v>ECIT DR. TRAJANO PIRES DA NOBREGA</v>
      </c>
      <c r="I29" s="2" t="str">
        <f ca="1">IFERROR(__xludf.DUMMYFUNCTION("""COMPUTED_VALUE"""),"MANHA")</f>
        <v>MANHA</v>
      </c>
      <c r="J29" s="47">
        <f ca="1">IFERROR(__xludf.DUMMYFUNCTION("""COMPUTED_VALUE"""),1)</f>
        <v>1</v>
      </c>
      <c r="K29" s="2"/>
      <c r="L29" s="10"/>
      <c r="M29" s="9" t="str">
        <f ca="1">IFERROR(__xludf.DUMMYFUNCTION("""COMPUTED_VALUE"""),"genildasbpereira@gmail.com")</f>
        <v>genildasbpereira@gmail.com</v>
      </c>
      <c r="N29" s="2" t="str">
        <f ca="1">IFERROR(__xludf.DUMMYFUNCTION("""COMPUTED_VALUE"""),"daniellepereira020@gmail.com")</f>
        <v>daniellepereira020@gmail.com</v>
      </c>
      <c r="O29" s="2" t="str">
        <f ca="1">IFERROR(__xludf.DUMMYFUNCTION("""COMPUTED_VALUE"""),"(83)99995-6518")</f>
        <v>(83)99995-6518</v>
      </c>
      <c r="P29" s="2" t="str">
        <f ca="1">IFERROR(__xludf.DUMMYFUNCTION("""COMPUTED_VALUE"""),"(83)99938-5809")</f>
        <v>(83)99938-5809</v>
      </c>
      <c r="Q29" s="50"/>
      <c r="R29" s="50"/>
      <c r="S29" s="2" t="str">
        <f ca="1">IFERROR(VLOOKUP(A29,IMPORT_DESISTENCIA!$A$2:$Q2273,14,0),"NÃO")</f>
        <v>NÃO</v>
      </c>
      <c r="T29" s="35"/>
    </row>
    <row r="30" spans="1:20" ht="45" customHeight="1" x14ac:dyDescent="0.25">
      <c r="A30" s="2" t="str">
        <f t="shared" ca="1" si="1"/>
        <v>004/2025/070.279.364-70</v>
      </c>
      <c r="B30" s="2" t="str">
        <f ca="1">IFERROR(__xludf.DUMMYFUNCTION("""COMPUTED_VALUE"""),"070.279.364-70")</f>
        <v>070.279.364-70</v>
      </c>
      <c r="C30" s="43" t="str">
        <f ca="1">IFERROR(__xludf.DUMMYFUNCTION("""COMPUTED_VALUE"""),"CARLOS RAIMUNDO FERNANDES FILHO")</f>
        <v>CARLOS RAIMUNDO FERNANDES FILHO</v>
      </c>
      <c r="D30" s="2" t="str">
        <f ca="1">IFERROR(__xludf.DUMMYFUNCTION("""COMPUTED_VALUE"""),"SUPERVISOR")</f>
        <v>SUPERVISOR</v>
      </c>
      <c r="E30" s="2" t="str">
        <f ca="1">IFERROR(__xludf.DUMMYFUNCTION("""COMPUTED_VALUE"""),"004/2025")</f>
        <v>004/2025</v>
      </c>
      <c r="F30" s="2" t="str">
        <f ca="1">IFERROR(__xludf.DUMMYFUNCTION("""COMPUTED_VALUE"""),"CONDADO")</f>
        <v>CONDADO</v>
      </c>
      <c r="G30" s="11"/>
      <c r="H30" s="11" t="str">
        <f ca="1">IFERROR(__xludf.DUMMYFUNCTION("""COMPUTED_VALUE"""),"ECIT DR. TRAJANO PIRES DA NOBREGA")</f>
        <v>ECIT DR. TRAJANO PIRES DA NOBREGA</v>
      </c>
      <c r="I30" s="2" t="str">
        <f ca="1">IFERROR(__xludf.DUMMYFUNCTION("""COMPUTED_VALUE"""),"MANHA")</f>
        <v>MANHA</v>
      </c>
      <c r="J30" s="47">
        <f ca="1">IFERROR(__xludf.DUMMYFUNCTION("""COMPUTED_VALUE"""),2)</f>
        <v>2</v>
      </c>
      <c r="K30" s="2"/>
      <c r="L30" s="10"/>
      <c r="M30" s="9" t="str">
        <f ca="1">IFERROR(__xludf.DUMMYFUNCTION("""COMPUTED_VALUE"""),"carlosfernnandes@gmail.com")</f>
        <v>carlosfernnandes@gmail.com</v>
      </c>
      <c r="N30" s="2"/>
      <c r="O30" s="2" t="str">
        <f ca="1">IFERROR(__xludf.DUMMYFUNCTION("""COMPUTED_VALUE"""),"(83)99603-7827")</f>
        <v>(83)99603-7827</v>
      </c>
      <c r="P30" s="2"/>
      <c r="Q30" s="50"/>
      <c r="R30" s="50"/>
      <c r="S30" s="2" t="str">
        <f ca="1">IFERROR(VLOOKUP(A30,IMPORT_DESISTENCIA!$A$2:$Q2273,14,0),"NÃO")</f>
        <v>NÃO</v>
      </c>
      <c r="T30" s="35"/>
    </row>
    <row r="31" spans="1:20" ht="45" customHeight="1" x14ac:dyDescent="0.25">
      <c r="A31" s="2" t="str">
        <f t="shared" ca="1" si="1"/>
        <v>004/2025/040.165.274-22</v>
      </c>
      <c r="B31" s="2" t="str">
        <f ca="1">IFERROR(__xludf.DUMMYFUNCTION("""COMPUTED_VALUE"""),"040.165.274-22")</f>
        <v>040.165.274-22</v>
      </c>
      <c r="C31" s="43" t="str">
        <f ca="1">IFERROR(__xludf.DUMMYFUNCTION("""COMPUTED_VALUE"""),"TATIANA PEREIRA DE ALMEIDA FIGUEIREDO")</f>
        <v>TATIANA PEREIRA DE ALMEIDA FIGUEIREDO</v>
      </c>
      <c r="D31" s="2" t="str">
        <f ca="1">IFERROR(__xludf.DUMMYFUNCTION("""COMPUTED_VALUE"""),"SUPERVISOR")</f>
        <v>SUPERVISOR</v>
      </c>
      <c r="E31" s="2" t="str">
        <f ca="1">IFERROR(__xludf.DUMMYFUNCTION("""COMPUTED_VALUE"""),"004/2025")</f>
        <v>004/2025</v>
      </c>
      <c r="F31" s="2" t="str">
        <f ca="1">IFERROR(__xludf.DUMMYFUNCTION("""COMPUTED_VALUE"""),"CONDADO")</f>
        <v>CONDADO</v>
      </c>
      <c r="G31" s="11"/>
      <c r="H31" s="11" t="str">
        <f ca="1">IFERROR(__xludf.DUMMYFUNCTION("""COMPUTED_VALUE"""),"ECIT DR. TRAJANO PIRES DA NOBREGA")</f>
        <v>ECIT DR. TRAJANO PIRES DA NOBREGA</v>
      </c>
      <c r="I31" s="2" t="str">
        <f ca="1">IFERROR(__xludf.DUMMYFUNCTION("""COMPUTED_VALUE"""),"MANHA")</f>
        <v>MANHA</v>
      </c>
      <c r="J31" s="47">
        <f ca="1">IFERROR(__xludf.DUMMYFUNCTION("""COMPUTED_VALUE"""),3)</f>
        <v>3</v>
      </c>
      <c r="K31" s="2"/>
      <c r="L31" s="10"/>
      <c r="M31" s="9" t="str">
        <f ca="1">IFERROR(__xludf.DUMMYFUNCTION("""COMPUTED_VALUE"""),"tatyfigueiredo761@gmail.com")</f>
        <v>tatyfigueiredo761@gmail.com</v>
      </c>
      <c r="N31" s="2" t="str">
        <f ca="1">IFERROR(__xludf.DUMMYFUNCTION("""COMPUTED_VALUE"""),"tathifigueiredo@hotmail.com")</f>
        <v>tathifigueiredo@hotmail.com</v>
      </c>
      <c r="O31" s="2" t="str">
        <f ca="1">IFERROR(__xludf.DUMMYFUNCTION("""COMPUTED_VALUE"""),"(83)98837-8991")</f>
        <v>(83)98837-8991</v>
      </c>
      <c r="P31" s="2" t="str">
        <f ca="1">IFERROR(__xludf.DUMMYFUNCTION("""COMPUTED_VALUE"""),"(83)98610-5416")</f>
        <v>(83)98610-5416</v>
      </c>
      <c r="Q31" s="50"/>
      <c r="R31" s="50"/>
      <c r="S31" s="2" t="str">
        <f ca="1">IFERROR(VLOOKUP(A31,IMPORT_DESISTENCIA!$A$2:$Q2273,14,0),"NÃO")</f>
        <v>NÃO</v>
      </c>
      <c r="T31" s="35"/>
    </row>
    <row r="32" spans="1:20" ht="45" customHeight="1" x14ac:dyDescent="0.25">
      <c r="A32" s="2" t="str">
        <f t="shared" ca="1" si="1"/>
        <v>004/2025/084.785.004-80</v>
      </c>
      <c r="B32" s="2" t="str">
        <f ca="1">IFERROR(__xludf.DUMMYFUNCTION("""COMPUTED_VALUE"""),"084.785.004-80")</f>
        <v>084.785.004-80</v>
      </c>
      <c r="C32" s="43" t="str">
        <f ca="1">IFERROR(__xludf.DUMMYFUNCTION("""COMPUTED_VALUE"""),"MARIA JOSINEIDE PEREIRA SATURNINO")</f>
        <v>MARIA JOSINEIDE PEREIRA SATURNINO</v>
      </c>
      <c r="D32" s="2" t="str">
        <f ca="1">IFERROR(__xludf.DUMMYFUNCTION("""COMPUTED_VALUE"""),"SUPERVISOR")</f>
        <v>SUPERVISOR</v>
      </c>
      <c r="E32" s="2" t="str">
        <f ca="1">IFERROR(__xludf.DUMMYFUNCTION("""COMPUTED_VALUE"""),"004/2025")</f>
        <v>004/2025</v>
      </c>
      <c r="F32" s="2" t="str">
        <f ca="1">IFERROR(__xludf.DUMMYFUNCTION("""COMPUTED_VALUE"""),"CONDADO")</f>
        <v>CONDADO</v>
      </c>
      <c r="G32" s="11"/>
      <c r="H32" s="11" t="str">
        <f ca="1">IFERROR(__xludf.DUMMYFUNCTION("""COMPUTED_VALUE"""),"ECIT DR. TRAJANO PIRES DA NOBREGA")</f>
        <v>ECIT DR. TRAJANO PIRES DA NOBREGA</v>
      </c>
      <c r="I32" s="2" t="str">
        <f ca="1">IFERROR(__xludf.DUMMYFUNCTION("""COMPUTED_VALUE"""),"MANHA")</f>
        <v>MANHA</v>
      </c>
      <c r="J32" s="47">
        <f ca="1">IFERROR(__xludf.DUMMYFUNCTION("""COMPUTED_VALUE"""),4)</f>
        <v>4</v>
      </c>
      <c r="K32" s="2"/>
      <c r="L32" s="10"/>
      <c r="M32" s="9" t="str">
        <f ca="1">IFERROR(__xludf.DUMMYFUNCTION("""COMPUTED_VALUE"""),"josineide.saturnino89@gmail.com")</f>
        <v>josineide.saturnino89@gmail.com</v>
      </c>
      <c r="N32" s="2" t="str">
        <f ca="1">IFERROR(__xludf.DUMMYFUNCTION("""COMPUTED_VALUE"""),"mjosineidepereirasaturnino@gmail.com")</f>
        <v>mjosineidepereirasaturnino@gmail.com</v>
      </c>
      <c r="O32" s="2" t="str">
        <f ca="1">IFERROR(__xludf.DUMMYFUNCTION("""COMPUTED_VALUE"""),"(83)999352988")</f>
        <v>(83)999352988</v>
      </c>
      <c r="P32" s="2" t="str">
        <f ca="1">IFERROR(__xludf.DUMMYFUNCTION("""COMPUTED_VALUE"""),"(83)999259176")</f>
        <v>(83)999259176</v>
      </c>
      <c r="Q32" s="50"/>
      <c r="R32" s="50"/>
      <c r="S32" s="2" t="str">
        <f ca="1">IFERROR(VLOOKUP(A32,IMPORT_DESISTENCIA!$A$2:$Q2273,14,0),"NÃO")</f>
        <v>NÃO</v>
      </c>
      <c r="T32" s="35"/>
    </row>
    <row r="33" spans="1:20" ht="45" customHeight="1" x14ac:dyDescent="0.25">
      <c r="A33" s="2" t="str">
        <f t="shared" ca="1" si="1"/>
        <v>004/2025/108.566.874-64</v>
      </c>
      <c r="B33" s="2" t="str">
        <f ca="1">IFERROR(__xludf.DUMMYFUNCTION("""COMPUTED_VALUE"""),"108.566.874-64")</f>
        <v>108.566.874-64</v>
      </c>
      <c r="C33" s="43" t="str">
        <f ca="1">IFERROR(__xludf.DUMMYFUNCTION("""COMPUTED_VALUE"""),"CECILIA ARAUJO DE LIMA")</f>
        <v>CECILIA ARAUJO DE LIMA</v>
      </c>
      <c r="D33" s="2" t="str">
        <f ca="1">IFERROR(__xludf.DUMMYFUNCTION("""COMPUTED_VALUE"""),"SUPERVISOR")</f>
        <v>SUPERVISOR</v>
      </c>
      <c r="E33" s="2" t="str">
        <f ca="1">IFERROR(__xludf.DUMMYFUNCTION("""COMPUTED_VALUE"""),"004/2025")</f>
        <v>004/2025</v>
      </c>
      <c r="F33" s="2" t="str">
        <f ca="1">IFERROR(__xludf.DUMMYFUNCTION("""COMPUTED_VALUE"""),"GURINHEM")</f>
        <v>GURINHEM</v>
      </c>
      <c r="G33" s="11"/>
      <c r="H33" s="11" t="str">
        <f ca="1">IFERROR(__xludf.DUMMYFUNCTION("""COMPUTED_VALUE"""),"SINDICATO DOS TRABALHADORES RURAIS AGRICULTORES E AGRICULTORAS FAMILIARES DE GURINHEM")</f>
        <v>SINDICATO DOS TRABALHADORES RURAIS AGRICULTORES E AGRICULTORAS FAMILIARES DE GURINHEM</v>
      </c>
      <c r="I33" s="2" t="str">
        <f ca="1">IFERROR(__xludf.DUMMYFUNCTION("""COMPUTED_VALUE"""),"MANHA")</f>
        <v>MANHA</v>
      </c>
      <c r="J33" s="47">
        <f ca="1">IFERROR(__xludf.DUMMYFUNCTION("""COMPUTED_VALUE"""),1)</f>
        <v>1</v>
      </c>
      <c r="K33" s="2" t="str">
        <f ca="1">IFERROR(__xludf.DUMMYFUNCTION("""COMPUTED_VALUE"""),"POSSE VALIDADA")</f>
        <v>POSSE VALIDADA</v>
      </c>
      <c r="L33" s="10"/>
      <c r="M33" s="9" t="str">
        <f ca="1">IFERROR(__xludf.DUMMYFUNCTION("""COMPUTED_VALUE"""),"cecyara777@gmail.com")</f>
        <v>cecyara777@gmail.com</v>
      </c>
      <c r="N33" s="2" t="str">
        <f ca="1">IFERROR(__xludf.DUMMYFUNCTION("""COMPUTED_VALUE"""),"ceciliaa_lima@live.com")</f>
        <v>ceciliaa_lima@live.com</v>
      </c>
      <c r="O33" s="2" t="str">
        <f ca="1">IFERROR(__xludf.DUMMYFUNCTION("""COMPUTED_VALUE"""),"(83)981950257")</f>
        <v>(83)981950257</v>
      </c>
      <c r="P33" s="2"/>
      <c r="Q33" s="50" t="str">
        <f ca="1">IFERROR(__xludf.DUMMYFUNCTION("""COMPUTED_VALUE"""),"23/04/2025")</f>
        <v>23/04/2025</v>
      </c>
      <c r="R33" s="50"/>
      <c r="S33" s="2" t="str">
        <f ca="1">IFERROR(VLOOKUP(A33,IMPORT_DESISTENCIA!$A$2:$Q2273,14,0),"NÃO")</f>
        <v>NÃO</v>
      </c>
      <c r="T33" s="35"/>
    </row>
    <row r="34" spans="1:20" ht="45" customHeight="1" x14ac:dyDescent="0.25">
      <c r="A34" s="2" t="str">
        <f t="shared" ca="1" si="1"/>
        <v>004/2025/076.056.554-60</v>
      </c>
      <c r="B34" s="2" t="str">
        <f ca="1">IFERROR(__xludf.DUMMYFUNCTION("""COMPUTED_VALUE"""),"076.056.554-60")</f>
        <v>076.056.554-60</v>
      </c>
      <c r="C34" s="43" t="str">
        <f ca="1">IFERROR(__xludf.DUMMYFUNCTION("""COMPUTED_VALUE"""),"JANIELE SOUZA DA SILVA")</f>
        <v>JANIELE SOUZA DA SILVA</v>
      </c>
      <c r="D34" s="2" t="str">
        <f ca="1">IFERROR(__xludf.DUMMYFUNCTION("""COMPUTED_VALUE"""),"SUPERVISOR")</f>
        <v>SUPERVISOR</v>
      </c>
      <c r="E34" s="2" t="str">
        <f ca="1">IFERROR(__xludf.DUMMYFUNCTION("""COMPUTED_VALUE"""),"004/2025")</f>
        <v>004/2025</v>
      </c>
      <c r="F34" s="2" t="str">
        <f ca="1">IFERROR(__xludf.DUMMYFUNCTION("""COMPUTED_VALUE"""),"GURINHEM")</f>
        <v>GURINHEM</v>
      </c>
      <c r="G34" s="11"/>
      <c r="H34" s="11" t="str">
        <f ca="1">IFERROR(__xludf.DUMMYFUNCTION("""COMPUTED_VALUE"""),"SINDICATO DOS TRABALHADORES RURAIS AGRICULTORES E AGRICULTORAS FAMILIARES DE GURINHEM")</f>
        <v>SINDICATO DOS TRABALHADORES RURAIS AGRICULTORES E AGRICULTORAS FAMILIARES DE GURINHEM</v>
      </c>
      <c r="I34" s="2" t="str">
        <f ca="1">IFERROR(__xludf.DUMMYFUNCTION("""COMPUTED_VALUE"""),"MANHA")</f>
        <v>MANHA</v>
      </c>
      <c r="J34" s="47">
        <f ca="1">IFERROR(__xludf.DUMMYFUNCTION("""COMPUTED_VALUE"""),2)</f>
        <v>2</v>
      </c>
      <c r="K34" s="2"/>
      <c r="L34" s="10"/>
      <c r="M34" s="9" t="str">
        <f ca="1">IFERROR(__xludf.DUMMYFUNCTION("""COMPUTED_VALUE"""),"janiielesouza@gmail.com")</f>
        <v>janiielesouza@gmail.com</v>
      </c>
      <c r="N34" s="2" t="str">
        <f ca="1">IFERROR(__xludf.DUMMYFUNCTION("""COMPUTED_VALUE"""),"janielle-li@hotmail.com")</f>
        <v>janielle-li@hotmail.com</v>
      </c>
      <c r="O34" s="2" t="str">
        <f ca="1">IFERROR(__xludf.DUMMYFUNCTION("""COMPUTED_VALUE"""),"(83)99820-1614")</f>
        <v>(83)99820-1614</v>
      </c>
      <c r="P34" s="2"/>
      <c r="Q34" s="50"/>
      <c r="R34" s="50"/>
      <c r="S34" s="2" t="str">
        <f ca="1">IFERROR(VLOOKUP(A34,IMPORT_DESISTENCIA!$A$2:$Q2273,14,0),"NÃO")</f>
        <v>NÃO</v>
      </c>
      <c r="T34" s="35"/>
    </row>
    <row r="35" spans="1:20" ht="45" customHeight="1" x14ac:dyDescent="0.25">
      <c r="A35" s="2" t="str">
        <f t="shared" ca="1" si="1"/>
        <v>004/2025/074.539.174-50</v>
      </c>
      <c r="B35" s="2" t="str">
        <f ca="1">IFERROR(__xludf.DUMMYFUNCTION("""COMPUTED_VALUE"""),"074.539.174-50")</f>
        <v>074.539.174-50</v>
      </c>
      <c r="C35" s="43" t="str">
        <f ca="1">IFERROR(__xludf.DUMMYFUNCTION("""COMPUTED_VALUE"""),"CLEDEMILSON SOUSA DO NASCIMENTO")</f>
        <v>CLEDEMILSON SOUSA DO NASCIMENTO</v>
      </c>
      <c r="D35" s="2" t="str">
        <f ca="1">IFERROR(__xludf.DUMMYFUNCTION("""COMPUTED_VALUE"""),"SUPERVISOR")</f>
        <v>SUPERVISOR</v>
      </c>
      <c r="E35" s="2" t="str">
        <f ca="1">IFERROR(__xludf.DUMMYFUNCTION("""COMPUTED_VALUE"""),"004/2025")</f>
        <v>004/2025</v>
      </c>
      <c r="F35" s="2" t="str">
        <f ca="1">IFERROR(__xludf.DUMMYFUNCTION("""COMPUTED_VALUE"""),"GURINHEM")</f>
        <v>GURINHEM</v>
      </c>
      <c r="G35" s="11"/>
      <c r="H35" s="11" t="str">
        <f ca="1">IFERROR(__xludf.DUMMYFUNCTION("""COMPUTED_VALUE"""),"SINDICATO DOS TRABALHADORES RURAIS AGRICULTORES E AGRICULTORAS FAMILIARES DE GURINHEM")</f>
        <v>SINDICATO DOS TRABALHADORES RURAIS AGRICULTORES E AGRICULTORAS FAMILIARES DE GURINHEM</v>
      </c>
      <c r="I35" s="2" t="str">
        <f ca="1">IFERROR(__xludf.DUMMYFUNCTION("""COMPUTED_VALUE"""),"MANHA")</f>
        <v>MANHA</v>
      </c>
      <c r="J35" s="47">
        <f ca="1">IFERROR(__xludf.DUMMYFUNCTION("""COMPUTED_VALUE"""),3)</f>
        <v>3</v>
      </c>
      <c r="K35" s="2"/>
      <c r="L35" s="10"/>
      <c r="M35" s="9" t="str">
        <f ca="1">IFERROR(__xludf.DUMMYFUNCTION("""COMPUTED_VALUE"""),"cledemilsonsousa@gmail.com")</f>
        <v>cledemilsonsousa@gmail.com</v>
      </c>
      <c r="N35" s="2" t="str">
        <f ca="1">IFERROR(__xludf.DUMMYFUNCTION("""COMPUTED_VALUE"""),"cledemilsonsousa@live.com")</f>
        <v>cledemilsonsousa@live.com</v>
      </c>
      <c r="O35" s="2" t="str">
        <f ca="1">IFERROR(__xludf.DUMMYFUNCTION("""COMPUTED_VALUE"""),"(83)98708-4860")</f>
        <v>(83)98708-4860</v>
      </c>
      <c r="P35" s="2" t="str">
        <f ca="1">IFERROR(__xludf.DUMMYFUNCTION("""COMPUTED_VALUE"""),"(83)98122-2497")</f>
        <v>(83)98122-2497</v>
      </c>
      <c r="Q35" s="50"/>
      <c r="R35" s="50"/>
      <c r="S35" s="2" t="str">
        <f ca="1">IFERROR(VLOOKUP(A35,IMPORT_DESISTENCIA!$A$2:$Q2273,14,0),"NÃO")</f>
        <v>NÃO</v>
      </c>
      <c r="T35" s="35"/>
    </row>
    <row r="36" spans="1:20" ht="45" customHeight="1" x14ac:dyDescent="0.25">
      <c r="A36" s="2" t="str">
        <f t="shared" ca="1" si="1"/>
        <v>004/2025/708.211.464-83</v>
      </c>
      <c r="B36" s="2" t="str">
        <f ca="1">IFERROR(__xludf.DUMMYFUNCTION("""COMPUTED_VALUE"""),"708.211.464-83")</f>
        <v>708.211.464-83</v>
      </c>
      <c r="C36" s="43" t="str">
        <f ca="1">IFERROR(__xludf.DUMMYFUNCTION("""COMPUTED_VALUE"""),"RUBISVAN PAULO BATISTA DIAS")</f>
        <v>RUBISVAN PAULO BATISTA DIAS</v>
      </c>
      <c r="D36" s="2" t="str">
        <f ca="1">IFERROR(__xludf.DUMMYFUNCTION("""COMPUTED_VALUE"""),"SUPERVISOR")</f>
        <v>SUPERVISOR</v>
      </c>
      <c r="E36" s="2" t="str">
        <f ca="1">IFERROR(__xludf.DUMMYFUNCTION("""COMPUTED_VALUE"""),"004/2025")</f>
        <v>004/2025</v>
      </c>
      <c r="F36" s="2" t="str">
        <f ca="1">IFERROR(__xludf.DUMMYFUNCTION("""COMPUTED_VALUE"""),"JOAO PESSOA")</f>
        <v>JOAO PESSOA</v>
      </c>
      <c r="G36" s="11"/>
      <c r="H36" s="11" t="str">
        <f ca="1">IFERROR(__xludf.DUMMYFUNCTION("""COMPUTED_VALUE"""),"GERENCIA EXECUTIVA DE RESSOCIALIZACAO ( SEAP)")</f>
        <v>GERENCIA EXECUTIVA DE RESSOCIALIZACAO ( SEAP)</v>
      </c>
      <c r="I36" s="2" t="str">
        <f ca="1">IFERROR(__xludf.DUMMYFUNCTION("""COMPUTED_VALUE"""),"TARDE")</f>
        <v>TARDE</v>
      </c>
      <c r="J36" s="47">
        <f ca="1">IFERROR(__xludf.DUMMYFUNCTION("""COMPUTED_VALUE"""),1)</f>
        <v>1</v>
      </c>
      <c r="K36" s="2"/>
      <c r="L36" s="10"/>
      <c r="M36" s="9" t="str">
        <f ca="1">IFERROR(__xludf.DUMMYFUNCTION("""COMPUTED_VALUE"""),"rubisvan13@gmail.com")</f>
        <v>rubisvan13@gmail.com</v>
      </c>
      <c r="N36" s="2"/>
      <c r="O36" s="2" t="str">
        <f ca="1">IFERROR(__xludf.DUMMYFUNCTION("""COMPUTED_VALUE"""),"(83)99626-4510")</f>
        <v>(83)99626-4510</v>
      </c>
      <c r="P36" s="2"/>
      <c r="Q36" s="50"/>
      <c r="R36" s="50"/>
      <c r="S36" s="2" t="str">
        <f ca="1">IFERROR(VLOOKUP(A36,IMPORT_DESISTENCIA!$A$2:$Q2273,14,0),"NÃO")</f>
        <v>NÃO</v>
      </c>
      <c r="T36" s="35"/>
    </row>
    <row r="37" spans="1:20" ht="45" customHeight="1" x14ac:dyDescent="0.25">
      <c r="A37" s="2" t="str">
        <f t="shared" ca="1" si="1"/>
        <v>004/2025/095.332.984-48</v>
      </c>
      <c r="B37" s="2" t="str">
        <f ca="1">IFERROR(__xludf.DUMMYFUNCTION("""COMPUTED_VALUE"""),"095.332.984-48")</f>
        <v>095.332.984-48</v>
      </c>
      <c r="C37" s="43" t="str">
        <f ca="1">IFERROR(__xludf.DUMMYFUNCTION("""COMPUTED_VALUE"""),"ANDRESSA RAQUEL SOUZA DE FREITAS")</f>
        <v>ANDRESSA RAQUEL SOUZA DE FREITAS</v>
      </c>
      <c r="D37" s="2" t="str">
        <f ca="1">IFERROR(__xludf.DUMMYFUNCTION("""COMPUTED_VALUE"""),"SUPERVISOR")</f>
        <v>SUPERVISOR</v>
      </c>
      <c r="E37" s="2" t="str">
        <f ca="1">IFERROR(__xludf.DUMMYFUNCTION("""COMPUTED_VALUE"""),"004/2025")</f>
        <v>004/2025</v>
      </c>
      <c r="F37" s="2" t="str">
        <f ca="1">IFERROR(__xludf.DUMMYFUNCTION("""COMPUTED_VALUE"""),"JOAO PESSOA")</f>
        <v>JOAO PESSOA</v>
      </c>
      <c r="G37" s="11"/>
      <c r="H37" s="11" t="str">
        <f ca="1">IFERROR(__xludf.DUMMYFUNCTION("""COMPUTED_VALUE"""),"PENITENCIARIA DE REEDUCACAO FEMININA MARIA JULIA MARANHAO")</f>
        <v>PENITENCIARIA DE REEDUCACAO FEMININA MARIA JULIA MARANHAO</v>
      </c>
      <c r="I37" s="2" t="str">
        <f ca="1">IFERROR(__xludf.DUMMYFUNCTION("""COMPUTED_VALUE"""),"TARDE")</f>
        <v>TARDE</v>
      </c>
      <c r="J37" s="47">
        <f ca="1">IFERROR(__xludf.DUMMYFUNCTION("""COMPUTED_VALUE"""),1)</f>
        <v>1</v>
      </c>
      <c r="K37" s="2" t="str">
        <f ca="1">IFERROR(__xludf.DUMMYFUNCTION("""COMPUTED_VALUE"""),"POSSE VALIDADA")</f>
        <v>POSSE VALIDADA</v>
      </c>
      <c r="L37" s="10"/>
      <c r="M37" s="9" t="str">
        <f ca="1">IFERROR(__xludf.DUMMYFUNCTION("""COMPUTED_VALUE"""),"andressah.raquel@gmail.com")</f>
        <v>andressah.raquel@gmail.com</v>
      </c>
      <c r="N37" s="2"/>
      <c r="O37" s="2" t="str">
        <f ca="1">IFERROR(__xludf.DUMMYFUNCTION("""COMPUTED_VALUE"""),"(83)99102-5194")</f>
        <v>(83)99102-5194</v>
      </c>
      <c r="P37" s="2"/>
      <c r="Q37" s="50" t="str">
        <f ca="1">IFERROR(__xludf.DUMMYFUNCTION("""COMPUTED_VALUE"""),"25/04/2025")</f>
        <v>25/04/2025</v>
      </c>
      <c r="R37" s="50"/>
      <c r="S37" s="2" t="str">
        <f ca="1">IFERROR(VLOOKUP(A37,IMPORT_DESISTENCIA!$A$2:$Q2273,14,0),"NÃO")</f>
        <v>NÃO</v>
      </c>
      <c r="T37" s="35"/>
    </row>
    <row r="38" spans="1:20" ht="45" customHeight="1" x14ac:dyDescent="0.25">
      <c r="A38" s="2" t="str">
        <f t="shared" ca="1" si="1"/>
        <v>004/2025/498.983.884-04</v>
      </c>
      <c r="B38" s="2" t="str">
        <f ca="1">IFERROR(__xludf.DUMMYFUNCTION("""COMPUTED_VALUE"""),"498.983.884-04")</f>
        <v>498.983.884-04</v>
      </c>
      <c r="C38" s="43" t="str">
        <f ca="1">IFERROR(__xludf.DUMMYFUNCTION("""COMPUTED_VALUE"""),"MARIA DAS NEVES DE CARVALHO")</f>
        <v>MARIA DAS NEVES DE CARVALHO</v>
      </c>
      <c r="D38" s="2" t="str">
        <f ca="1">IFERROR(__xludf.DUMMYFUNCTION("""COMPUTED_VALUE"""),"SUPERVISOR")</f>
        <v>SUPERVISOR</v>
      </c>
      <c r="E38" s="2" t="str">
        <f ca="1">IFERROR(__xludf.DUMMYFUNCTION("""COMPUTED_VALUE"""),"004/2025")</f>
        <v>004/2025</v>
      </c>
      <c r="F38" s="2" t="str">
        <f ca="1">IFERROR(__xludf.DUMMYFUNCTION("""COMPUTED_VALUE"""),"JOAO PESSOA")</f>
        <v>JOAO PESSOA</v>
      </c>
      <c r="G38" s="11"/>
      <c r="H38" s="11" t="str">
        <f ca="1">IFERROR(__xludf.DUMMYFUNCTION("""COMPUTED_VALUE"""),"PENITENCIARIA DE REEDUCACAO FEMININA MARIA JULIA MARANHAO")</f>
        <v>PENITENCIARIA DE REEDUCACAO FEMININA MARIA JULIA MARANHAO</v>
      </c>
      <c r="I38" s="2" t="str">
        <f ca="1">IFERROR(__xludf.DUMMYFUNCTION("""COMPUTED_VALUE"""),"TARDE")</f>
        <v>TARDE</v>
      </c>
      <c r="J38" s="47">
        <f ca="1">IFERROR(__xludf.DUMMYFUNCTION("""COMPUTED_VALUE"""),2)</f>
        <v>2</v>
      </c>
      <c r="K38" s="2"/>
      <c r="L38" s="10"/>
      <c r="M38" s="9" t="str">
        <f ca="1">IFERROR(__xludf.DUMMYFUNCTION("""COMPUTED_VALUE"""),"maria.carvalho28@professor.pb.gov.br")</f>
        <v>maria.carvalho28@professor.pb.gov.br</v>
      </c>
      <c r="N38" s="2" t="str">
        <f ca="1">IFERROR(__xludf.DUMMYFUNCTION("""COMPUTED_VALUE"""),"mdecarvalhosilva73@gmail.com")</f>
        <v>mdecarvalhosilva73@gmail.com</v>
      </c>
      <c r="O38" s="2" t="str">
        <f ca="1">IFERROR(__xludf.DUMMYFUNCTION("""COMPUTED_VALUE"""),"(83)998266257")</f>
        <v>(83)998266257</v>
      </c>
      <c r="P38" s="2" t="str">
        <f ca="1">IFERROR(__xludf.DUMMYFUNCTION("""COMPUTED_VALUE"""),"(83)998266257")</f>
        <v>(83)998266257</v>
      </c>
      <c r="Q38" s="50"/>
      <c r="R38" s="50"/>
      <c r="S38" s="2" t="str">
        <f ca="1">IFERROR(VLOOKUP(A38,IMPORT_DESISTENCIA!$A$2:$Q2273,14,0),"NÃO")</f>
        <v>NÃO</v>
      </c>
      <c r="T38" s="35"/>
    </row>
    <row r="39" spans="1:20" ht="45" customHeight="1" x14ac:dyDescent="0.25">
      <c r="A39" s="2" t="str">
        <f t="shared" ca="1" si="1"/>
        <v>004/2025/897.762.084-87</v>
      </c>
      <c r="B39" s="2" t="str">
        <f ca="1">IFERROR(__xludf.DUMMYFUNCTION("""COMPUTED_VALUE"""),"897.762.084-87")</f>
        <v>897.762.084-87</v>
      </c>
      <c r="C39" s="43" t="str">
        <f ca="1">IFERROR(__xludf.DUMMYFUNCTION("""COMPUTED_VALUE"""),"JAIDE KENIA DO NASCIMENTO COSTA")</f>
        <v>JAIDE KENIA DO NASCIMENTO COSTA</v>
      </c>
      <c r="D39" s="2" t="str">
        <f ca="1">IFERROR(__xludf.DUMMYFUNCTION("""COMPUTED_VALUE"""),"SUPERVISOR")</f>
        <v>SUPERVISOR</v>
      </c>
      <c r="E39" s="2" t="str">
        <f ca="1">IFERROR(__xludf.DUMMYFUNCTION("""COMPUTED_VALUE"""),"004/2025")</f>
        <v>004/2025</v>
      </c>
      <c r="F39" s="2" t="str">
        <f ca="1">IFERROR(__xludf.DUMMYFUNCTION("""COMPUTED_VALUE"""),"JOAO PESSOA")</f>
        <v>JOAO PESSOA</v>
      </c>
      <c r="G39" s="11"/>
      <c r="H39" s="11" t="str">
        <f ca="1">IFERROR(__xludf.DUMMYFUNCTION("""COMPUTED_VALUE"""),"PENITENCIARIA DE REEDUCACAO FEMININA MARIA JULIA MARANHAO")</f>
        <v>PENITENCIARIA DE REEDUCACAO FEMININA MARIA JULIA MARANHAO</v>
      </c>
      <c r="I39" s="2" t="str">
        <f ca="1">IFERROR(__xludf.DUMMYFUNCTION("""COMPUTED_VALUE"""),"TARDE")</f>
        <v>TARDE</v>
      </c>
      <c r="J39" s="47">
        <f ca="1">IFERROR(__xludf.DUMMYFUNCTION("""COMPUTED_VALUE"""),3)</f>
        <v>3</v>
      </c>
      <c r="K39" s="2"/>
      <c r="L39" s="10"/>
      <c r="M39" s="9" t="str">
        <f ca="1">IFERROR(__xludf.DUMMYFUNCTION("""COMPUTED_VALUE"""),"jaide.costa1@professor.pb.gov.br")</f>
        <v>jaide.costa1@professor.pb.gov.br</v>
      </c>
      <c r="N39" s="2" t="str">
        <f ca="1">IFERROR(__xludf.DUMMYFUNCTION("""COMPUTED_VALUE"""),"roberto_jaide@hotmail.com")</f>
        <v>roberto_jaide@hotmail.com</v>
      </c>
      <c r="O39" s="2" t="str">
        <f ca="1">IFERROR(__xludf.DUMMYFUNCTION("""COMPUTED_VALUE"""),"(83)99830-2752")</f>
        <v>(83)99830-2752</v>
      </c>
      <c r="P39" s="2" t="str">
        <f ca="1">IFERROR(__xludf.DUMMYFUNCTION("""COMPUTED_VALUE"""),"(83)98820-8003")</f>
        <v>(83)98820-8003</v>
      </c>
      <c r="Q39" s="50"/>
      <c r="R39" s="50"/>
      <c r="S39" s="2" t="str">
        <f ca="1">IFERROR(VLOOKUP(A39,IMPORT_DESISTENCIA!$A$2:$Q2273,14,0),"NÃO")</f>
        <v>NÃO</v>
      </c>
      <c r="T39" s="35"/>
    </row>
    <row r="40" spans="1:20" ht="45" customHeight="1" x14ac:dyDescent="0.25">
      <c r="A40" s="2" t="str">
        <f t="shared" ca="1" si="1"/>
        <v>004/2025/071.057.634-00</v>
      </c>
      <c r="B40" s="2" t="str">
        <f ca="1">IFERROR(__xludf.DUMMYFUNCTION("""COMPUTED_VALUE"""),"071.057.634-00")</f>
        <v>071.057.634-00</v>
      </c>
      <c r="C40" s="43" t="str">
        <f ca="1">IFERROR(__xludf.DUMMYFUNCTION("""COMPUTED_VALUE"""),"DIEGO INACIO DE FREITAS SANTOS")</f>
        <v>DIEGO INACIO DE FREITAS SANTOS</v>
      </c>
      <c r="D40" s="2" t="str">
        <f ca="1">IFERROR(__xludf.DUMMYFUNCTION("""COMPUTED_VALUE"""),"SUPERVISOR")</f>
        <v>SUPERVISOR</v>
      </c>
      <c r="E40" s="2" t="str">
        <f ca="1">IFERROR(__xludf.DUMMYFUNCTION("""COMPUTED_VALUE"""),"004/2025")</f>
        <v>004/2025</v>
      </c>
      <c r="F40" s="2" t="str">
        <f ca="1">IFERROR(__xludf.DUMMYFUNCTION("""COMPUTED_VALUE"""),"JOAO PESSOA")</f>
        <v>JOAO PESSOA</v>
      </c>
      <c r="G40" s="11"/>
      <c r="H40" s="11" t="str">
        <f ca="1">IFERROR(__xludf.DUMMYFUNCTION("""COMPUTED_VALUE"""),"PENITENCIARIA DE REEDUCACAO FEMININA MARIA JULIA MARANHAO")</f>
        <v>PENITENCIARIA DE REEDUCACAO FEMININA MARIA JULIA MARANHAO</v>
      </c>
      <c r="I40" s="2" t="str">
        <f ca="1">IFERROR(__xludf.DUMMYFUNCTION("""COMPUTED_VALUE"""),"TARDE")</f>
        <v>TARDE</v>
      </c>
      <c r="J40" s="47">
        <f ca="1">IFERROR(__xludf.DUMMYFUNCTION("""COMPUTED_VALUE"""),4)</f>
        <v>4</v>
      </c>
      <c r="K40" s="2"/>
      <c r="L40" s="10"/>
      <c r="M40" s="9" t="str">
        <f ca="1">IFERROR(__xludf.DUMMYFUNCTION("""COMPUTED_VALUE"""),"dhywgojp10@gmail.com")</f>
        <v>dhywgojp10@gmail.com</v>
      </c>
      <c r="N40" s="2" t="str">
        <f ca="1">IFERROR(__xludf.DUMMYFUNCTION("""COMPUTED_VALUE"""),"DHYEGOJP@HOTMAIL.COM")</f>
        <v>DHYEGOJP@HOTMAIL.COM</v>
      </c>
      <c r="O40" s="2" t="str">
        <f ca="1">IFERROR(__xludf.DUMMYFUNCTION("""COMPUTED_VALUE"""),"(83)99641-9978")</f>
        <v>(83)99641-9978</v>
      </c>
      <c r="P40" s="2" t="str">
        <f ca="1">IFERROR(__xludf.DUMMYFUNCTION("""COMPUTED_VALUE"""),"(83)99641-9978")</f>
        <v>(83)99641-9978</v>
      </c>
      <c r="Q40" s="50"/>
      <c r="R40" s="50"/>
      <c r="S40" s="2" t="str">
        <f ca="1">IFERROR(VLOOKUP(A40,IMPORT_DESISTENCIA!$A$2:$Q2273,14,0),"NÃO")</f>
        <v>NÃO</v>
      </c>
      <c r="T40" s="35"/>
    </row>
    <row r="41" spans="1:20" ht="45" customHeight="1" x14ac:dyDescent="0.25">
      <c r="A41" s="2" t="str">
        <f t="shared" ca="1" si="1"/>
        <v>004/2025/042.089.994-46</v>
      </c>
      <c r="B41" s="2" t="str">
        <f ca="1">IFERROR(__xludf.DUMMYFUNCTION("""COMPUTED_VALUE"""),"042.089.994-46")</f>
        <v>042.089.994-46</v>
      </c>
      <c r="C41" s="43" t="str">
        <f ca="1">IFERROR(__xludf.DUMMYFUNCTION("""COMPUTED_VALUE"""),"HERBERT UCHOA PONTUAL")</f>
        <v>HERBERT UCHOA PONTUAL</v>
      </c>
      <c r="D41" s="2" t="str">
        <f ca="1">IFERROR(__xludf.DUMMYFUNCTION("""COMPUTED_VALUE"""),"SUPERVISOR")</f>
        <v>SUPERVISOR</v>
      </c>
      <c r="E41" s="2" t="str">
        <f ca="1">IFERROR(__xludf.DUMMYFUNCTION("""COMPUTED_VALUE"""),"004/2025")</f>
        <v>004/2025</v>
      </c>
      <c r="F41" s="2" t="str">
        <f ca="1">IFERROR(__xludf.DUMMYFUNCTION("""COMPUTED_VALUE"""),"JOAO PESSOA")</f>
        <v>JOAO PESSOA</v>
      </c>
      <c r="G41" s="11"/>
      <c r="H41" s="11" t="str">
        <f ca="1">IFERROR(__xludf.DUMMYFUNCTION("""COMPUTED_VALUE"""),"PENITENCIARIA DE REEDUCACAO FEMININA MARIA JULIA MARANHAO")</f>
        <v>PENITENCIARIA DE REEDUCACAO FEMININA MARIA JULIA MARANHAO</v>
      </c>
      <c r="I41" s="2" t="str">
        <f ca="1">IFERROR(__xludf.DUMMYFUNCTION("""COMPUTED_VALUE"""),"TARDE")</f>
        <v>TARDE</v>
      </c>
      <c r="J41" s="47">
        <f ca="1">IFERROR(__xludf.DUMMYFUNCTION("""COMPUTED_VALUE"""),5)</f>
        <v>5</v>
      </c>
      <c r="K41" s="2"/>
      <c r="L41" s="10"/>
      <c r="M41" s="9" t="str">
        <f ca="1">IFERROR(__xludf.DUMMYFUNCTION("""COMPUTED_VALUE"""),"herbert.hup@gmail.com")</f>
        <v>herbert.hup@gmail.com</v>
      </c>
      <c r="N41" s="2" t="str">
        <f ca="1">IFERROR(__xludf.DUMMYFUNCTION("""COMPUTED_VALUE"""),"the_hup@yahoo.com.br")</f>
        <v>the_hup@yahoo.com.br</v>
      </c>
      <c r="O41" s="2" t="str">
        <f ca="1">IFERROR(__xludf.DUMMYFUNCTION("""COMPUTED_VALUE"""),"(83)99678-0336")</f>
        <v>(83)99678-0336</v>
      </c>
      <c r="P41" s="2"/>
      <c r="Q41" s="50"/>
      <c r="R41" s="50"/>
      <c r="S41" s="2" t="str">
        <f ca="1">IFERROR(VLOOKUP(A41,IMPORT_DESISTENCIA!$A$2:$Q2273,14,0),"NÃO")</f>
        <v>NÃO</v>
      </c>
      <c r="T41" s="35"/>
    </row>
    <row r="42" spans="1:20" ht="45" customHeight="1" x14ac:dyDescent="0.25">
      <c r="A42" s="2" t="str">
        <f t="shared" ca="1" si="1"/>
        <v>004/2025/930.374.304-00</v>
      </c>
      <c r="B42" s="2" t="str">
        <f ca="1">IFERROR(__xludf.DUMMYFUNCTION("""COMPUTED_VALUE"""),"930.374.304-00")</f>
        <v>930.374.304-00</v>
      </c>
      <c r="C42" s="43" t="str">
        <f ca="1">IFERROR(__xludf.DUMMYFUNCTION("""COMPUTED_VALUE"""),"LINDOMAR MONROE PONTES")</f>
        <v>LINDOMAR MONROE PONTES</v>
      </c>
      <c r="D42" s="2" t="str">
        <f ca="1">IFERROR(__xludf.DUMMYFUNCTION("""COMPUTED_VALUE"""),"SUPERVISOR")</f>
        <v>SUPERVISOR</v>
      </c>
      <c r="E42" s="2" t="str">
        <f ca="1">IFERROR(__xludf.DUMMYFUNCTION("""COMPUTED_VALUE"""),"004/2025")</f>
        <v>004/2025</v>
      </c>
      <c r="F42" s="2" t="str">
        <f ca="1">IFERROR(__xludf.DUMMYFUNCTION("""COMPUTED_VALUE"""),"JOAO PESSOA")</f>
        <v>JOAO PESSOA</v>
      </c>
      <c r="G42" s="11"/>
      <c r="H42" s="11" t="str">
        <f ca="1">IFERROR(__xludf.DUMMYFUNCTION("""COMPUTED_VALUE"""),"ESCOLA MUNICIPAL LUIZA LIMA LOBO")</f>
        <v>ESCOLA MUNICIPAL LUIZA LIMA LOBO</v>
      </c>
      <c r="I42" s="2" t="str">
        <f ca="1">IFERROR(__xludf.DUMMYFUNCTION("""COMPUTED_VALUE"""),"NOITE")</f>
        <v>NOITE</v>
      </c>
      <c r="J42" s="47">
        <f ca="1">IFERROR(__xludf.DUMMYFUNCTION("""COMPUTED_VALUE"""),1)</f>
        <v>1</v>
      </c>
      <c r="K42" s="2" t="str">
        <f ca="1">IFERROR(__xludf.DUMMYFUNCTION("""COMPUTED_VALUE"""),"POSSE VALIDADA")</f>
        <v>POSSE VALIDADA</v>
      </c>
      <c r="L42" s="10"/>
      <c r="M42" s="9" t="str">
        <f ca="1">IFERROR(__xludf.DUMMYFUNCTION("""COMPUTED_VALUE"""),"lindomar.pontes1@professor.pb.gov.br")</f>
        <v>lindomar.pontes1@professor.pb.gov.br</v>
      </c>
      <c r="N42" s="2"/>
      <c r="O42" s="2" t="str">
        <f ca="1">IFERROR(__xludf.DUMMYFUNCTION("""COMPUTED_VALUE"""),"(83)98807-0562")</f>
        <v>(83)98807-0562</v>
      </c>
      <c r="P42" s="2"/>
      <c r="Q42" s="50" t="str">
        <f ca="1">IFERROR(__xludf.DUMMYFUNCTION("""COMPUTED_VALUE"""),"23/04/2025")</f>
        <v>23/04/2025</v>
      </c>
      <c r="R42" s="50"/>
      <c r="S42" s="2" t="str">
        <f ca="1">IFERROR(VLOOKUP(A42,IMPORT_DESISTENCIA!$A$2:$Q2273,14,0),"NÃO")</f>
        <v>NÃO</v>
      </c>
      <c r="T42" s="35"/>
    </row>
    <row r="43" spans="1:20" ht="45" customHeight="1" x14ac:dyDescent="0.25">
      <c r="A43" s="2" t="str">
        <f t="shared" ca="1" si="1"/>
        <v>004/2025/000.227.164-83</v>
      </c>
      <c r="B43" s="2" t="str">
        <f ca="1">IFERROR(__xludf.DUMMYFUNCTION("""COMPUTED_VALUE"""),"000.227.164-83")</f>
        <v>000.227.164-83</v>
      </c>
      <c r="C43" s="43" t="str">
        <f ca="1">IFERROR(__xludf.DUMMYFUNCTION("""COMPUTED_VALUE"""),"ABEL CAVALCANTE DE SOUZA FILHO")</f>
        <v>ABEL CAVALCANTE DE SOUZA FILHO</v>
      </c>
      <c r="D43" s="2" t="str">
        <f ca="1">IFERROR(__xludf.DUMMYFUNCTION("""COMPUTED_VALUE"""),"SUPERVISOR")</f>
        <v>SUPERVISOR</v>
      </c>
      <c r="E43" s="2" t="str">
        <f ca="1">IFERROR(__xludf.DUMMYFUNCTION("""COMPUTED_VALUE"""),"004/2025")</f>
        <v>004/2025</v>
      </c>
      <c r="F43" s="2" t="str">
        <f ca="1">IFERROR(__xludf.DUMMYFUNCTION("""COMPUTED_VALUE"""),"JOAO PESSOA")</f>
        <v>JOAO PESSOA</v>
      </c>
      <c r="G43" s="11"/>
      <c r="H43" s="11" t="str">
        <f ca="1">IFERROR(__xludf.DUMMYFUNCTION("""COMPUTED_VALUE"""),"ESCOLA MUNICIPAL LUIZA LIMA LOBO")</f>
        <v>ESCOLA MUNICIPAL LUIZA LIMA LOBO</v>
      </c>
      <c r="I43" s="2" t="str">
        <f ca="1">IFERROR(__xludf.DUMMYFUNCTION("""COMPUTED_VALUE"""),"NOITE")</f>
        <v>NOITE</v>
      </c>
      <c r="J43" s="47">
        <f ca="1">IFERROR(__xludf.DUMMYFUNCTION("""COMPUTED_VALUE"""),2)</f>
        <v>2</v>
      </c>
      <c r="K43" s="2"/>
      <c r="L43" s="10"/>
      <c r="M43" s="9" t="str">
        <f ca="1">IFERROR(__xludf.DUMMYFUNCTION("""COMPUTED_VALUE"""),"abelcavalcante1976@gmail.com")</f>
        <v>abelcavalcante1976@gmail.com</v>
      </c>
      <c r="N43" s="2" t="str">
        <f ca="1">IFERROR(__xludf.DUMMYFUNCTION("""COMPUTED_VALUE"""),"biologiaabel@hotmail.com")</f>
        <v>biologiaabel@hotmail.com</v>
      </c>
      <c r="O43" s="2" t="str">
        <f ca="1">IFERROR(__xludf.DUMMYFUNCTION("""COMPUTED_VALUE"""),"(83)99340-0601")</f>
        <v>(83)99340-0601</v>
      </c>
      <c r="P43" s="2" t="str">
        <f ca="1">IFERROR(__xludf.DUMMYFUNCTION("""COMPUTED_VALUE"""),"(83)99329-7440")</f>
        <v>(83)99329-7440</v>
      </c>
      <c r="Q43" s="50"/>
      <c r="R43" s="50"/>
      <c r="S43" s="2" t="str">
        <f ca="1">IFERROR(VLOOKUP(A43,IMPORT_DESISTENCIA!$A$2:$Q2273,14,0),"NÃO")</f>
        <v>NÃO</v>
      </c>
      <c r="T43" s="35"/>
    </row>
    <row r="44" spans="1:20" ht="45" customHeight="1" x14ac:dyDescent="0.25">
      <c r="A44" s="2" t="str">
        <f t="shared" ca="1" si="1"/>
        <v>004/2025/008.086.464-35</v>
      </c>
      <c r="B44" s="2" t="str">
        <f ca="1">IFERROR(__xludf.DUMMYFUNCTION("""COMPUTED_VALUE"""),"008.086.464-35")</f>
        <v>008.086.464-35</v>
      </c>
      <c r="C44" s="43" t="str">
        <f ca="1">IFERROR(__xludf.DUMMYFUNCTION("""COMPUTED_VALUE"""),"ROSANGELA APARECIDA NEVES FERREIRA")</f>
        <v>ROSANGELA APARECIDA NEVES FERREIRA</v>
      </c>
      <c r="D44" s="2" t="str">
        <f ca="1">IFERROR(__xludf.DUMMYFUNCTION("""COMPUTED_VALUE"""),"SUPERVISOR")</f>
        <v>SUPERVISOR</v>
      </c>
      <c r="E44" s="2" t="str">
        <f ca="1">IFERROR(__xludf.DUMMYFUNCTION("""COMPUTED_VALUE"""),"004/2025")</f>
        <v>004/2025</v>
      </c>
      <c r="F44" s="2" t="str">
        <f ca="1">IFERROR(__xludf.DUMMYFUNCTION("""COMPUTED_VALUE"""),"JOAO PESSOA")</f>
        <v>JOAO PESSOA</v>
      </c>
      <c r="G44" s="11"/>
      <c r="H44" s="11" t="str">
        <f ca="1">IFERROR(__xludf.DUMMYFUNCTION("""COMPUTED_VALUE"""),"ESCOLA MUNICIPAL LUIZA LIMA LOBO")</f>
        <v>ESCOLA MUNICIPAL LUIZA LIMA LOBO</v>
      </c>
      <c r="I44" s="2" t="str">
        <f ca="1">IFERROR(__xludf.DUMMYFUNCTION("""COMPUTED_VALUE"""),"NOITE")</f>
        <v>NOITE</v>
      </c>
      <c r="J44" s="47">
        <f ca="1">IFERROR(__xludf.DUMMYFUNCTION("""COMPUTED_VALUE"""),3)</f>
        <v>3</v>
      </c>
      <c r="K44" s="2"/>
      <c r="L44" s="10"/>
      <c r="M44" s="9" t="str">
        <f ca="1">IFERROR(__xludf.DUMMYFUNCTION("""COMPUTED_VALUE"""),"simpatiaaxe12@gmail.com")</f>
        <v>simpatiaaxe12@gmail.com</v>
      </c>
      <c r="N44" s="2"/>
      <c r="O44" s="2" t="str">
        <f ca="1">IFERROR(__xludf.DUMMYFUNCTION("""COMPUTED_VALUE"""),"(83)98873-9919")</f>
        <v>(83)98873-9919</v>
      </c>
      <c r="P44" s="2" t="str">
        <f ca="1">IFERROR(__xludf.DUMMYFUNCTION("""COMPUTED_VALUE"""),"(83)98758-2494")</f>
        <v>(83)98758-2494</v>
      </c>
      <c r="Q44" s="50"/>
      <c r="R44" s="50"/>
      <c r="S44" s="2" t="str">
        <f ca="1">IFERROR(VLOOKUP(A44,IMPORT_DESISTENCIA!$A$2:$Q2273,14,0),"NÃO")</f>
        <v>NÃO</v>
      </c>
      <c r="T44" s="35"/>
    </row>
    <row r="45" spans="1:20" ht="45" customHeight="1" x14ac:dyDescent="0.25">
      <c r="A45" s="2" t="str">
        <f t="shared" ca="1" si="1"/>
        <v>004/2025/086.455.864-36</v>
      </c>
      <c r="B45" s="2" t="str">
        <f ca="1">IFERROR(__xludf.DUMMYFUNCTION("""COMPUTED_VALUE"""),"086.455.864-36")</f>
        <v>086.455.864-36</v>
      </c>
      <c r="C45" s="43" t="str">
        <f ca="1">IFERROR(__xludf.DUMMYFUNCTION("""COMPUTED_VALUE"""),"ESTANLEY PIRES RIBEIRO")</f>
        <v>ESTANLEY PIRES RIBEIRO</v>
      </c>
      <c r="D45" s="2" t="str">
        <f ca="1">IFERROR(__xludf.DUMMYFUNCTION("""COMPUTED_VALUE"""),"SUPERVISOR")</f>
        <v>SUPERVISOR</v>
      </c>
      <c r="E45" s="2" t="str">
        <f ca="1">IFERROR(__xludf.DUMMYFUNCTION("""COMPUTED_VALUE"""),"004/2025")</f>
        <v>004/2025</v>
      </c>
      <c r="F45" s="2" t="str">
        <f ca="1">IFERROR(__xludf.DUMMYFUNCTION("""COMPUTED_VALUE"""),"JOAO PESSOA")</f>
        <v>JOAO PESSOA</v>
      </c>
      <c r="G45" s="11"/>
      <c r="H45" s="11" t="str">
        <f ca="1">IFERROR(__xludf.DUMMYFUNCTION("""COMPUTED_VALUE"""),"ESCOLA MUNICIPAL LUIZA LIMA LOBO")</f>
        <v>ESCOLA MUNICIPAL LUIZA LIMA LOBO</v>
      </c>
      <c r="I45" s="2" t="str">
        <f ca="1">IFERROR(__xludf.DUMMYFUNCTION("""COMPUTED_VALUE"""),"NOITE")</f>
        <v>NOITE</v>
      </c>
      <c r="J45" s="47">
        <f ca="1">IFERROR(__xludf.DUMMYFUNCTION("""COMPUTED_VALUE"""),4)</f>
        <v>4</v>
      </c>
      <c r="K45" s="2"/>
      <c r="L45" s="10"/>
      <c r="M45" s="9" t="str">
        <f ca="1">IFERROR(__xludf.DUMMYFUNCTION("""COMPUTED_VALUE"""),"estanleypribeiro@gmail.com")</f>
        <v>estanleypribeiro@gmail.com</v>
      </c>
      <c r="N45" s="2"/>
      <c r="O45" s="2" t="str">
        <f ca="1">IFERROR(__xludf.DUMMYFUNCTION("""COMPUTED_VALUE"""),"(83)99636-6337")</f>
        <v>(83)99636-6337</v>
      </c>
      <c r="P45" s="2"/>
      <c r="Q45" s="50"/>
      <c r="R45" s="50"/>
      <c r="S45" s="2" t="str">
        <f ca="1">IFERROR(VLOOKUP(A45,IMPORT_DESISTENCIA!$A$2:$Q2273,14,0),"NÃO")</f>
        <v>NÃO</v>
      </c>
      <c r="T45" s="35"/>
    </row>
    <row r="46" spans="1:20" ht="45" customHeight="1" x14ac:dyDescent="0.25">
      <c r="A46" s="2" t="str">
        <f t="shared" ca="1" si="1"/>
        <v>004/2025/058.715.834-40</v>
      </c>
      <c r="B46" s="2" t="str">
        <f ca="1">IFERROR(__xludf.DUMMYFUNCTION("""COMPUTED_VALUE"""),"058.715.834-40")</f>
        <v>058.715.834-40</v>
      </c>
      <c r="C46" s="43" t="str">
        <f ca="1">IFERROR(__xludf.DUMMYFUNCTION("""COMPUTED_VALUE"""),"LEONARDO LIMA DA SILVA")</f>
        <v>LEONARDO LIMA DA SILVA</v>
      </c>
      <c r="D46" s="2" t="str">
        <f ca="1">IFERROR(__xludf.DUMMYFUNCTION("""COMPUTED_VALUE"""),"SUPERVISOR")</f>
        <v>SUPERVISOR</v>
      </c>
      <c r="E46" s="2" t="str">
        <f ca="1">IFERROR(__xludf.DUMMYFUNCTION("""COMPUTED_VALUE"""),"004/2025")</f>
        <v>004/2025</v>
      </c>
      <c r="F46" s="2" t="str">
        <f ca="1">IFERROR(__xludf.DUMMYFUNCTION("""COMPUTED_VALUE"""),"JOAO PESSOA")</f>
        <v>JOAO PESSOA</v>
      </c>
      <c r="G46" s="11"/>
      <c r="H46" s="11" t="str">
        <f ca="1">IFERROR(__xludf.DUMMYFUNCTION("""COMPUTED_VALUE"""),"ESCOLA MUNICIPAL LUIZA LIMA LOBO")</f>
        <v>ESCOLA MUNICIPAL LUIZA LIMA LOBO</v>
      </c>
      <c r="I46" s="2" t="str">
        <f ca="1">IFERROR(__xludf.DUMMYFUNCTION("""COMPUTED_VALUE"""),"NOITE")</f>
        <v>NOITE</v>
      </c>
      <c r="J46" s="47">
        <f ca="1">IFERROR(__xludf.DUMMYFUNCTION("""COMPUTED_VALUE"""),5)</f>
        <v>5</v>
      </c>
      <c r="K46" s="2"/>
      <c r="L46" s="10"/>
      <c r="M46" s="9" t="str">
        <f ca="1">IFERROR(__xludf.DUMMYFUNCTION("""COMPUTED_VALUE"""),"LEONARDOLM29@GMAIL.COM")</f>
        <v>LEONARDOLM29@GMAIL.COM</v>
      </c>
      <c r="N46" s="2" t="str">
        <f ca="1">IFERROR(__xludf.DUMMYFUNCTION("""COMPUTED_VALUE"""),"LEONARDOLM29@GMAIL.COM")</f>
        <v>LEONARDOLM29@GMAIL.COM</v>
      </c>
      <c r="O46" s="2" t="str">
        <f ca="1">IFERROR(__xludf.DUMMYFUNCTION("""COMPUTED_VALUE"""),"(83)98613-5944")</f>
        <v>(83)98613-5944</v>
      </c>
      <c r="P46" s="2" t="str">
        <f ca="1">IFERROR(__xludf.DUMMYFUNCTION("""COMPUTED_VALUE"""),"(83)98739-3542")</f>
        <v>(83)98739-3542</v>
      </c>
      <c r="Q46" s="50"/>
      <c r="R46" s="50"/>
      <c r="S46" s="2" t="str">
        <f ca="1">IFERROR(VLOOKUP(A46,IMPORT_DESISTENCIA!$A$2:$Q2273,14,0),"NÃO")</f>
        <v>NÃO</v>
      </c>
      <c r="T46" s="35"/>
    </row>
    <row r="47" spans="1:20" ht="45" customHeight="1" x14ac:dyDescent="0.25">
      <c r="A47" s="2" t="str">
        <f t="shared" ca="1" si="1"/>
        <v>004/2025/034.007.064-18</v>
      </c>
      <c r="B47" s="2" t="str">
        <f ca="1">IFERROR(__xludf.DUMMYFUNCTION("""COMPUTED_VALUE"""),"034.007.064-18")</f>
        <v>034.007.064-18</v>
      </c>
      <c r="C47" s="43" t="str">
        <f ca="1">IFERROR(__xludf.DUMMYFUNCTION("""COMPUTED_VALUE"""),"LIGIA DE ARAUJO MENEZES NAVARRO")</f>
        <v>LIGIA DE ARAUJO MENEZES NAVARRO</v>
      </c>
      <c r="D47" s="2" t="str">
        <f ca="1">IFERROR(__xludf.DUMMYFUNCTION("""COMPUTED_VALUE"""),"SUPERVISOR")</f>
        <v>SUPERVISOR</v>
      </c>
      <c r="E47" s="2" t="str">
        <f ca="1">IFERROR(__xludf.DUMMYFUNCTION("""COMPUTED_VALUE"""),"004/2025")</f>
        <v>004/2025</v>
      </c>
      <c r="F47" s="2" t="str">
        <f ca="1">IFERROR(__xludf.DUMMYFUNCTION("""COMPUTED_VALUE"""),"JOAO PESSOA")</f>
        <v>JOAO PESSOA</v>
      </c>
      <c r="G47" s="11"/>
      <c r="H47" s="11" t="str">
        <f ca="1">IFERROR(__xludf.DUMMYFUNCTION("""COMPUTED_VALUE"""),"INSTITUTO HUMANITAS- POLO UNICAPJP")</f>
        <v>INSTITUTO HUMANITAS- POLO UNICAPJP</v>
      </c>
      <c r="I47" s="2" t="str">
        <f ca="1">IFERROR(__xludf.DUMMYFUNCTION("""COMPUTED_VALUE"""),"TARDE")</f>
        <v>TARDE</v>
      </c>
      <c r="J47" s="47">
        <f ca="1">IFERROR(__xludf.DUMMYFUNCTION("""COMPUTED_VALUE"""),1)</f>
        <v>1</v>
      </c>
      <c r="K47" s="2" t="str">
        <f ca="1">IFERROR(__xludf.DUMMYFUNCTION("""COMPUTED_VALUE"""),"POSSE VALIDADA")</f>
        <v>POSSE VALIDADA</v>
      </c>
      <c r="L47" s="10"/>
      <c r="M47" s="9" t="str">
        <f ca="1">IFERROR(__xludf.DUMMYFUNCTION("""COMPUTED_VALUE"""),"ligia.menezes02@gmail.com")</f>
        <v>ligia.menezes02@gmail.com</v>
      </c>
      <c r="N47" s="2" t="str">
        <f ca="1">IFERROR(__xludf.DUMMYFUNCTION("""COMPUTED_VALUE"""),"ligia.menezes02@YAHOO.COM.BR")</f>
        <v>ligia.menezes02@YAHOO.COM.BR</v>
      </c>
      <c r="O47" s="2" t="str">
        <f ca="1">IFERROR(__xludf.DUMMYFUNCTION("""COMPUTED_VALUE"""),"(83)98800-2289")</f>
        <v>(83)98800-2289</v>
      </c>
      <c r="P47" s="2" t="str">
        <f ca="1">IFERROR(__xludf.DUMMYFUNCTION("""COMPUTED_VALUE"""),"(83)98740-6629")</f>
        <v>(83)98740-6629</v>
      </c>
      <c r="Q47" s="50" t="str">
        <f ca="1">IFERROR(__xludf.DUMMYFUNCTION("""COMPUTED_VALUE"""),"25/04/2025")</f>
        <v>25/04/2025</v>
      </c>
      <c r="R47" s="50"/>
      <c r="S47" s="2" t="str">
        <f ca="1">IFERROR(VLOOKUP(A47,IMPORT_DESISTENCIA!$A$2:$Q2273,14,0),"NÃO")</f>
        <v>NÃO</v>
      </c>
      <c r="T47" s="35"/>
    </row>
    <row r="48" spans="1:20" ht="45" customHeight="1" x14ac:dyDescent="0.25">
      <c r="A48" s="2" t="str">
        <f t="shared" ca="1" si="1"/>
        <v>004/2025/217.890.218-98</v>
      </c>
      <c r="B48" s="2" t="str">
        <f ca="1">IFERROR(__xludf.DUMMYFUNCTION("""COMPUTED_VALUE"""),"217.890.218-98")</f>
        <v>217.890.218-98</v>
      </c>
      <c r="C48" s="43" t="str">
        <f ca="1">IFERROR(__xludf.DUMMYFUNCTION("""COMPUTED_VALUE"""),"RIVIA PEREIRA DE ARAUJO")</f>
        <v>RIVIA PEREIRA DE ARAUJO</v>
      </c>
      <c r="D48" s="2" t="str">
        <f ca="1">IFERROR(__xludf.DUMMYFUNCTION("""COMPUTED_VALUE"""),"SUPERVISOR")</f>
        <v>SUPERVISOR</v>
      </c>
      <c r="E48" s="2" t="str">
        <f ca="1">IFERROR(__xludf.DUMMYFUNCTION("""COMPUTED_VALUE"""),"004/2025")</f>
        <v>004/2025</v>
      </c>
      <c r="F48" s="2" t="str">
        <f ca="1">IFERROR(__xludf.DUMMYFUNCTION("""COMPUTED_VALUE"""),"JOAO PESSOA")</f>
        <v>JOAO PESSOA</v>
      </c>
      <c r="G48" s="11"/>
      <c r="H48" s="11" t="str">
        <f ca="1">IFERROR(__xludf.DUMMYFUNCTION("""COMPUTED_VALUE"""),"INSTITUTO HUMANITAS- POLO UNICAPJP")</f>
        <v>INSTITUTO HUMANITAS- POLO UNICAPJP</v>
      </c>
      <c r="I48" s="2" t="str">
        <f ca="1">IFERROR(__xludf.DUMMYFUNCTION("""COMPUTED_VALUE"""),"TARDE")</f>
        <v>TARDE</v>
      </c>
      <c r="J48" s="47">
        <f ca="1">IFERROR(__xludf.DUMMYFUNCTION("""COMPUTED_VALUE"""),2)</f>
        <v>2</v>
      </c>
      <c r="K48" s="2"/>
      <c r="L48" s="10"/>
      <c r="M48" s="9" t="str">
        <f ca="1">IFERROR(__xludf.DUMMYFUNCTION("""COMPUTED_VALUE"""),"rivia.araujo@gmail.com")</f>
        <v>rivia.araujo@gmail.com</v>
      </c>
      <c r="N48" s="2" t="str">
        <f ca="1">IFERROR(__xludf.DUMMYFUNCTION("""COMPUTED_VALUE"""),"rivia.araujo@outlook.com")</f>
        <v>rivia.araujo@outlook.com</v>
      </c>
      <c r="O48" s="2" t="str">
        <f ca="1">IFERROR(__xludf.DUMMYFUNCTION("""COMPUTED_VALUE"""),"(11)981637373")</f>
        <v>(11)981637373</v>
      </c>
      <c r="P48" s="2" t="str">
        <f ca="1">IFERROR(__xludf.DUMMYFUNCTION("""COMPUTED_VALUE"""),"(83)988015510")</f>
        <v>(83)988015510</v>
      </c>
      <c r="Q48" s="50"/>
      <c r="R48" s="50"/>
      <c r="S48" s="2" t="str">
        <f ca="1">IFERROR(VLOOKUP(A48,IMPORT_DESISTENCIA!$A$2:$Q2273,14,0),"NÃO")</f>
        <v>NÃO</v>
      </c>
      <c r="T48" s="35"/>
    </row>
    <row r="49" spans="1:20" ht="45" customHeight="1" x14ac:dyDescent="0.25">
      <c r="A49" s="2" t="str">
        <f t="shared" ca="1" si="1"/>
        <v>004/2025/031.809.314-69</v>
      </c>
      <c r="B49" s="2" t="str">
        <f ca="1">IFERROR(__xludf.DUMMYFUNCTION("""COMPUTED_VALUE"""),"031.809.314-69")</f>
        <v>031.809.314-69</v>
      </c>
      <c r="C49" s="43" t="str">
        <f ca="1">IFERROR(__xludf.DUMMYFUNCTION("""COMPUTED_VALUE"""),"MARIA VALERIA DOS SANTOS")</f>
        <v>MARIA VALERIA DOS SANTOS</v>
      </c>
      <c r="D49" s="2" t="str">
        <f ca="1">IFERROR(__xludf.DUMMYFUNCTION("""COMPUTED_VALUE"""),"SUPERVISOR")</f>
        <v>SUPERVISOR</v>
      </c>
      <c r="E49" s="2" t="str">
        <f ca="1">IFERROR(__xludf.DUMMYFUNCTION("""COMPUTED_VALUE"""),"004/2025")</f>
        <v>004/2025</v>
      </c>
      <c r="F49" s="2" t="str">
        <f ca="1">IFERROR(__xludf.DUMMYFUNCTION("""COMPUTED_VALUE"""),"JOAO PESSOA")</f>
        <v>JOAO PESSOA</v>
      </c>
      <c r="G49" s="11"/>
      <c r="H49" s="11" t="str">
        <f ca="1">IFERROR(__xludf.DUMMYFUNCTION("""COMPUTED_VALUE"""),"ASSOCIACAO BENEFICENTE SAO JOSE")</f>
        <v>ASSOCIACAO BENEFICENTE SAO JOSE</v>
      </c>
      <c r="I49" s="2" t="str">
        <f ca="1">IFERROR(__xludf.DUMMYFUNCTION("""COMPUTED_VALUE"""),"TARDE")</f>
        <v>TARDE</v>
      </c>
      <c r="J49" s="47">
        <f ca="1">IFERROR(__xludf.DUMMYFUNCTION("""COMPUTED_VALUE"""),1)</f>
        <v>1</v>
      </c>
      <c r="K49" s="2" t="str">
        <f ca="1">IFERROR(__xludf.DUMMYFUNCTION("""COMPUTED_VALUE"""),"POSSE VALIDADA")</f>
        <v>POSSE VALIDADA</v>
      </c>
      <c r="L49" s="10"/>
      <c r="M49" s="9" t="str">
        <f ca="1">IFERROR(__xludf.DUMMYFUNCTION("""COMPUTED_VALUE"""),"mavaleria1977@gmail.com")</f>
        <v>mavaleria1977@gmail.com</v>
      </c>
      <c r="N49" s="2" t="str">
        <f ca="1">IFERROR(__xludf.DUMMYFUNCTION("""COMPUTED_VALUE"""),"ma.valeria_santos@hotmail.com")</f>
        <v>ma.valeria_santos@hotmail.com</v>
      </c>
      <c r="O49" s="2" t="str">
        <f ca="1">IFERROR(__xludf.DUMMYFUNCTION("""COMPUTED_VALUE"""),"(83)988273003")</f>
        <v>(83)988273003</v>
      </c>
      <c r="P49" s="2" t="str">
        <f ca="1">IFERROR(__xludf.DUMMYFUNCTION("""COMPUTED_VALUE"""),"(83)988794018")</f>
        <v>(83)988794018</v>
      </c>
      <c r="Q49" s="50" t="str">
        <f ca="1">IFERROR(__xludf.DUMMYFUNCTION("""COMPUTED_VALUE"""),"25/04/2025")</f>
        <v>25/04/2025</v>
      </c>
      <c r="R49" s="50"/>
      <c r="S49" s="2" t="str">
        <f ca="1">IFERROR(VLOOKUP(A49,IMPORT_DESISTENCIA!$A$2:$Q2273,14,0),"NÃO")</f>
        <v>NÃO</v>
      </c>
      <c r="T49" s="35"/>
    </row>
    <row r="50" spans="1:20" ht="45" customHeight="1" x14ac:dyDescent="0.25">
      <c r="A50" s="2" t="str">
        <f t="shared" ca="1" si="1"/>
        <v>004/2025/077.887.164-99</v>
      </c>
      <c r="B50" s="2" t="str">
        <f ca="1">IFERROR(__xludf.DUMMYFUNCTION("""COMPUTED_VALUE"""),"077.887.164-99")</f>
        <v>077.887.164-99</v>
      </c>
      <c r="C50" s="43" t="str">
        <f ca="1">IFERROR(__xludf.DUMMYFUNCTION("""COMPUTED_VALUE"""),"KALYARIA CONCEIÇAO DE FREITAS SANTOS")</f>
        <v>KALYARIA CONCEIÇAO DE FREITAS SANTOS</v>
      </c>
      <c r="D50" s="2" t="str">
        <f ca="1">IFERROR(__xludf.DUMMYFUNCTION("""COMPUTED_VALUE"""),"SUPERVISOR")</f>
        <v>SUPERVISOR</v>
      </c>
      <c r="E50" s="2" t="str">
        <f ca="1">IFERROR(__xludf.DUMMYFUNCTION("""COMPUTED_VALUE"""),"004/2025")</f>
        <v>004/2025</v>
      </c>
      <c r="F50" s="2" t="str">
        <f ca="1">IFERROR(__xludf.DUMMYFUNCTION("""COMPUTED_VALUE"""),"JOAO PESSOA")</f>
        <v>JOAO PESSOA</v>
      </c>
      <c r="G50" s="11"/>
      <c r="H50" s="11" t="str">
        <f ca="1">IFERROR(__xludf.DUMMYFUNCTION("""COMPUTED_VALUE"""),"ASSOCIACAO BENEFICENTE SAO JOSE")</f>
        <v>ASSOCIACAO BENEFICENTE SAO JOSE</v>
      </c>
      <c r="I50" s="2" t="str">
        <f ca="1">IFERROR(__xludf.DUMMYFUNCTION("""COMPUTED_VALUE"""),"TARDE")</f>
        <v>TARDE</v>
      </c>
      <c r="J50" s="47">
        <f ca="1">IFERROR(__xludf.DUMMYFUNCTION("""COMPUTED_VALUE"""),2)</f>
        <v>2</v>
      </c>
      <c r="K50" s="2"/>
      <c r="L50" s="10"/>
      <c r="M50" s="9" t="str">
        <f ca="1">IFERROR(__xludf.DUMMYFUNCTION("""COMPUTED_VALUE"""),"kalyariajp@gmail.com")</f>
        <v>kalyariajp@gmail.com</v>
      </c>
      <c r="N50" s="2" t="str">
        <f ca="1">IFERROR(__xludf.DUMMYFUNCTION("""COMPUTED_VALUE"""),"kalyaria@hotmail.com")</f>
        <v>kalyaria@hotmail.com</v>
      </c>
      <c r="O50" s="2" t="str">
        <f ca="1">IFERROR(__xludf.DUMMYFUNCTION("""COMPUTED_VALUE"""),"(83)98701-8398")</f>
        <v>(83)98701-8398</v>
      </c>
      <c r="P50" s="2" t="str">
        <f ca="1">IFERROR(__xludf.DUMMYFUNCTION("""COMPUTED_VALUE"""),"(83)98701-8398")</f>
        <v>(83)98701-8398</v>
      </c>
      <c r="Q50" s="50"/>
      <c r="R50" s="50"/>
      <c r="S50" s="2" t="str">
        <f ca="1">IFERROR(VLOOKUP(A50,IMPORT_DESISTENCIA!$A$2:$Q2273,14,0),"NÃO")</f>
        <v>NÃO</v>
      </c>
      <c r="T50" s="35"/>
    </row>
    <row r="51" spans="1:20" ht="45" customHeight="1" x14ac:dyDescent="0.25">
      <c r="A51" s="2" t="str">
        <f t="shared" ca="1" si="1"/>
        <v>004/2025/130.409.304-27</v>
      </c>
      <c r="B51" s="2" t="str">
        <f ca="1">IFERROR(__xludf.DUMMYFUNCTION("""COMPUTED_VALUE"""),"130.409.304-27")</f>
        <v>130.409.304-27</v>
      </c>
      <c r="C51" s="43" t="str">
        <f ca="1">IFERROR(__xludf.DUMMYFUNCTION("""COMPUTED_VALUE"""),"HELLEN MILENIA LEAL DA SILVA")</f>
        <v>HELLEN MILENIA LEAL DA SILVA</v>
      </c>
      <c r="D51" s="2" t="str">
        <f ca="1">IFERROR(__xludf.DUMMYFUNCTION("""COMPUTED_VALUE"""),"SUPERVISOR")</f>
        <v>SUPERVISOR</v>
      </c>
      <c r="E51" s="2" t="str">
        <f ca="1">IFERROR(__xludf.DUMMYFUNCTION("""COMPUTED_VALUE"""),"004/2025")</f>
        <v>004/2025</v>
      </c>
      <c r="F51" s="2" t="str">
        <f ca="1">IFERROR(__xludf.DUMMYFUNCTION("""COMPUTED_VALUE"""),"JOAO PESSOA")</f>
        <v>JOAO PESSOA</v>
      </c>
      <c r="G51" s="11"/>
      <c r="H51" s="11" t="str">
        <f ca="1">IFERROR(__xludf.DUMMYFUNCTION("""COMPUTED_VALUE"""),"ASSOCIACAO BENEFICENTE SAO JOSE")</f>
        <v>ASSOCIACAO BENEFICENTE SAO JOSE</v>
      </c>
      <c r="I51" s="2" t="str">
        <f ca="1">IFERROR(__xludf.DUMMYFUNCTION("""COMPUTED_VALUE"""),"TARDE")</f>
        <v>TARDE</v>
      </c>
      <c r="J51" s="47">
        <f ca="1">IFERROR(__xludf.DUMMYFUNCTION("""COMPUTED_VALUE"""),3)</f>
        <v>3</v>
      </c>
      <c r="K51" s="2"/>
      <c r="L51" s="10"/>
      <c r="M51" s="9" t="str">
        <f ca="1">IFERROR(__xludf.DUMMYFUNCTION("""COMPUTED_VALUE"""),"hellenmilenialeals@gmail.com")</f>
        <v>hellenmilenialeals@gmail.com</v>
      </c>
      <c r="N51" s="2" t="str">
        <f ca="1">IFERROR(__xludf.DUMMYFUNCTION("""COMPUTED_VALUE"""),"hellen.leal@academico.ufpb.br")</f>
        <v>hellen.leal@academico.ufpb.br</v>
      </c>
      <c r="O51" s="2" t="str">
        <f ca="1">IFERROR(__xludf.DUMMYFUNCTION("""COMPUTED_VALUE"""),"(87)99136-0688")</f>
        <v>(87)99136-0688</v>
      </c>
      <c r="P51" s="2" t="str">
        <f ca="1">IFERROR(__xludf.DUMMYFUNCTION("""COMPUTED_VALUE"""),"(83)99627-2151")</f>
        <v>(83)99627-2151</v>
      </c>
      <c r="Q51" s="50"/>
      <c r="R51" s="50"/>
      <c r="S51" s="2" t="str">
        <f ca="1">IFERROR(VLOOKUP(A51,IMPORT_DESISTENCIA!$A$2:$Q2273,14,0),"NÃO")</f>
        <v>NÃO</v>
      </c>
      <c r="T51" s="35"/>
    </row>
    <row r="52" spans="1:20" ht="45" customHeight="1" x14ac:dyDescent="0.25">
      <c r="A52" s="2" t="str">
        <f t="shared" ca="1" si="1"/>
        <v>004/2025/104.138.504-80</v>
      </c>
      <c r="B52" s="2" t="str">
        <f ca="1">IFERROR(__xludf.DUMMYFUNCTION("""COMPUTED_VALUE"""),"104.138.504-80")</f>
        <v>104.138.504-80</v>
      </c>
      <c r="C52" s="43" t="str">
        <f ca="1">IFERROR(__xludf.DUMMYFUNCTION("""COMPUTED_VALUE"""),"INGRID BISPO DE SOUSA")</f>
        <v>INGRID BISPO DE SOUSA</v>
      </c>
      <c r="D52" s="2" t="str">
        <f ca="1">IFERROR(__xludf.DUMMYFUNCTION("""COMPUTED_VALUE"""),"SUPERVISOR")</f>
        <v>SUPERVISOR</v>
      </c>
      <c r="E52" s="2" t="str">
        <f ca="1">IFERROR(__xludf.DUMMYFUNCTION("""COMPUTED_VALUE"""),"004/2025")</f>
        <v>004/2025</v>
      </c>
      <c r="F52" s="2" t="str">
        <f ca="1">IFERROR(__xludf.DUMMYFUNCTION("""COMPUTED_VALUE"""),"JOAO PESSOA")</f>
        <v>JOAO PESSOA</v>
      </c>
      <c r="G52" s="11"/>
      <c r="H52" s="11" t="str">
        <f ca="1">IFERROR(__xludf.DUMMYFUNCTION("""COMPUTED_VALUE"""),"ASSOCIACAO BENEFICENTE SAO JOSE")</f>
        <v>ASSOCIACAO BENEFICENTE SAO JOSE</v>
      </c>
      <c r="I52" s="2" t="str">
        <f ca="1">IFERROR(__xludf.DUMMYFUNCTION("""COMPUTED_VALUE"""),"TARDE")</f>
        <v>TARDE</v>
      </c>
      <c r="J52" s="47">
        <f ca="1">IFERROR(__xludf.DUMMYFUNCTION("""COMPUTED_VALUE"""),4)</f>
        <v>4</v>
      </c>
      <c r="K52" s="2"/>
      <c r="L52" s="10"/>
      <c r="M52" s="9" t="str">
        <f ca="1">IFERROR(__xludf.DUMMYFUNCTION("""COMPUTED_VALUE"""),"ingridbispo96@gmail.com")</f>
        <v>ingridbispo96@gmail.com</v>
      </c>
      <c r="N52" s="2" t="str">
        <f ca="1">IFERROR(__xludf.DUMMYFUNCTION("""COMPUTED_VALUE"""),"ingrid.bdesousa833@gmail.com")</f>
        <v>ingrid.bdesousa833@gmail.com</v>
      </c>
      <c r="O52" s="2" t="str">
        <f ca="1">IFERROR(__xludf.DUMMYFUNCTION("""COMPUTED_VALUE"""),"(83)98716-4975")</f>
        <v>(83)98716-4975</v>
      </c>
      <c r="P52" s="2"/>
      <c r="Q52" s="50"/>
      <c r="R52" s="50"/>
      <c r="S52" s="2" t="str">
        <f ca="1">IFERROR(VLOOKUP(A52,IMPORT_DESISTENCIA!$A$2:$Q2273,14,0),"NÃO")</f>
        <v>NÃO</v>
      </c>
      <c r="T52" s="35"/>
    </row>
    <row r="53" spans="1:20" ht="45" customHeight="1" x14ac:dyDescent="0.25">
      <c r="A53" s="2" t="str">
        <f t="shared" ca="1" si="1"/>
        <v>004/2025/108.682.504-73</v>
      </c>
      <c r="B53" s="2" t="str">
        <f ca="1">IFERROR(__xludf.DUMMYFUNCTION("""COMPUTED_VALUE"""),"108.682.504-73")</f>
        <v>108.682.504-73</v>
      </c>
      <c r="C53" s="43" t="str">
        <f ca="1">IFERROR(__xludf.DUMMYFUNCTION("""COMPUTED_VALUE"""),"IZANDRA BISPO DE SOUSA")</f>
        <v>IZANDRA BISPO DE SOUSA</v>
      </c>
      <c r="D53" s="2" t="str">
        <f ca="1">IFERROR(__xludf.DUMMYFUNCTION("""COMPUTED_VALUE"""),"SUPERVISOR")</f>
        <v>SUPERVISOR</v>
      </c>
      <c r="E53" s="2" t="str">
        <f ca="1">IFERROR(__xludf.DUMMYFUNCTION("""COMPUTED_VALUE"""),"004/2025")</f>
        <v>004/2025</v>
      </c>
      <c r="F53" s="2" t="str">
        <f ca="1">IFERROR(__xludf.DUMMYFUNCTION("""COMPUTED_VALUE"""),"JOAO PESSOA")</f>
        <v>JOAO PESSOA</v>
      </c>
      <c r="G53" s="11"/>
      <c r="H53" s="11" t="str">
        <f ca="1">IFERROR(__xludf.DUMMYFUNCTION("""COMPUTED_VALUE"""),"ASSOCIACAO BENEFICENTE SAO JOSE")</f>
        <v>ASSOCIACAO BENEFICENTE SAO JOSE</v>
      </c>
      <c r="I53" s="2" t="str">
        <f ca="1">IFERROR(__xludf.DUMMYFUNCTION("""COMPUTED_VALUE"""),"TARDE")</f>
        <v>TARDE</v>
      </c>
      <c r="J53" s="47">
        <f ca="1">IFERROR(__xludf.DUMMYFUNCTION("""COMPUTED_VALUE"""),5)</f>
        <v>5</v>
      </c>
      <c r="K53" s="2"/>
      <c r="L53" s="10"/>
      <c r="M53" s="9" t="str">
        <f ca="1">IFERROR(__xludf.DUMMYFUNCTION("""COMPUTED_VALUE"""),"izandrabispo.99@gmail.com")</f>
        <v>izandrabispo.99@gmail.com</v>
      </c>
      <c r="N53" s="2"/>
      <c r="O53" s="2" t="str">
        <f ca="1">IFERROR(__xludf.DUMMYFUNCTION("""COMPUTED_VALUE"""),"(83)98804-2431")</f>
        <v>(83)98804-2431</v>
      </c>
      <c r="P53" s="2"/>
      <c r="Q53" s="50"/>
      <c r="R53" s="50"/>
      <c r="S53" s="2" t="str">
        <f ca="1">IFERROR(VLOOKUP(A53,IMPORT_DESISTENCIA!$A$2:$Q2273,14,0),"NÃO")</f>
        <v>NÃO</v>
      </c>
      <c r="T53" s="35"/>
    </row>
    <row r="54" spans="1:20" ht="45" customHeight="1" x14ac:dyDescent="0.25">
      <c r="A54" s="2" t="str">
        <f t="shared" ca="1" si="1"/>
        <v>004/2025/965.671.124-68</v>
      </c>
      <c r="B54" s="2" t="str">
        <f ca="1">IFERROR(__xludf.DUMMYFUNCTION("""COMPUTED_VALUE"""),"965.671.124-68")</f>
        <v>965.671.124-68</v>
      </c>
      <c r="C54" s="43" t="str">
        <f ca="1">IFERROR(__xludf.DUMMYFUNCTION("""COMPUTED_VALUE"""),"DELIAN DE ABREU MOREIRA")</f>
        <v>DELIAN DE ABREU MOREIRA</v>
      </c>
      <c r="D54" s="2" t="str">
        <f ca="1">IFERROR(__xludf.DUMMYFUNCTION("""COMPUTED_VALUE"""),"SUPERVISOR")</f>
        <v>SUPERVISOR</v>
      </c>
      <c r="E54" s="2" t="str">
        <f ca="1">IFERROR(__xludf.DUMMYFUNCTION("""COMPUTED_VALUE"""),"004/2025")</f>
        <v>004/2025</v>
      </c>
      <c r="F54" s="2" t="str">
        <f ca="1">IFERROR(__xludf.DUMMYFUNCTION("""COMPUTED_VALUE"""),"MARIZOPOLIS")</f>
        <v>MARIZOPOLIS</v>
      </c>
      <c r="G54" s="11"/>
      <c r="H54" s="11" t="str">
        <f ca="1">IFERROR(__xludf.DUMMYFUNCTION("""COMPUTED_VALUE"""),"ESCOLA MUNICIPAL VEREADOR JOAO GONCALVES DE SOUSA")</f>
        <v>ESCOLA MUNICIPAL VEREADOR JOAO GONCALVES DE SOUSA</v>
      </c>
      <c r="I54" s="2" t="str">
        <f ca="1">IFERROR(__xludf.DUMMYFUNCTION("""COMPUTED_VALUE"""),"NOITE")</f>
        <v>NOITE</v>
      </c>
      <c r="J54" s="47">
        <f ca="1">IFERROR(__xludf.DUMMYFUNCTION("""COMPUTED_VALUE"""),1)</f>
        <v>1</v>
      </c>
      <c r="K54" s="2" t="str">
        <f ca="1">IFERROR(__xludf.DUMMYFUNCTION("""COMPUTED_VALUE"""),"POSSE VALIDADA")</f>
        <v>POSSE VALIDADA</v>
      </c>
      <c r="L54" s="10"/>
      <c r="M54" s="9" t="str">
        <f ca="1">IFERROR(__xludf.DUMMYFUNCTION("""COMPUTED_VALUE"""),"delianabreu@hotmail.com")</f>
        <v>delianabreu@hotmail.com</v>
      </c>
      <c r="N54" s="2" t="str">
        <f ca="1">IFERROR(__xludf.DUMMYFUNCTION("""COMPUTED_VALUE"""),"delianabreu@gmail.com")</f>
        <v>delianabreu@gmail.com</v>
      </c>
      <c r="O54" s="2" t="str">
        <f ca="1">IFERROR(__xludf.DUMMYFUNCTION("""COMPUTED_VALUE"""),"(83)98131-6378")</f>
        <v>(83)98131-6378</v>
      </c>
      <c r="P54" s="2" t="str">
        <f ca="1">IFERROR(__xludf.DUMMYFUNCTION("""COMPUTED_VALUE"""),"(83)98178-4886")</f>
        <v>(83)98178-4886</v>
      </c>
      <c r="Q54" s="50" t="str">
        <f ca="1">IFERROR(__xludf.DUMMYFUNCTION("""COMPUTED_VALUE"""),"22/04/2025")</f>
        <v>22/04/2025</v>
      </c>
      <c r="R54" s="50"/>
      <c r="S54" s="2" t="str">
        <f ca="1">IFERROR(VLOOKUP(A54,IMPORT_DESISTENCIA!$A$2:$Q2273,14,0),"NÃO")</f>
        <v>NÃO</v>
      </c>
      <c r="T54" s="35"/>
    </row>
    <row r="55" spans="1:20" ht="45" customHeight="1" x14ac:dyDescent="0.25">
      <c r="A55" s="2" t="str">
        <f t="shared" ca="1" si="1"/>
        <v>004/2025/012.706.224-63</v>
      </c>
      <c r="B55" s="2" t="str">
        <f ca="1">IFERROR(__xludf.DUMMYFUNCTION("""COMPUTED_VALUE"""),"012.706.224-63")</f>
        <v>012.706.224-63</v>
      </c>
      <c r="C55" s="43" t="str">
        <f ca="1">IFERROR(__xludf.DUMMYFUNCTION("""COMPUTED_VALUE"""),"PALOMA ANDRADE SARMENTO")</f>
        <v>PALOMA ANDRADE SARMENTO</v>
      </c>
      <c r="D55" s="2" t="str">
        <f ca="1">IFERROR(__xludf.DUMMYFUNCTION("""COMPUTED_VALUE"""),"SUPERVISOR")</f>
        <v>SUPERVISOR</v>
      </c>
      <c r="E55" s="2" t="str">
        <f ca="1">IFERROR(__xludf.DUMMYFUNCTION("""COMPUTED_VALUE"""),"004/2025")</f>
        <v>004/2025</v>
      </c>
      <c r="F55" s="2" t="str">
        <f ca="1">IFERROR(__xludf.DUMMYFUNCTION("""COMPUTED_VALUE"""),"MARIZOPOLIS")</f>
        <v>MARIZOPOLIS</v>
      </c>
      <c r="G55" s="11"/>
      <c r="H55" s="11" t="str">
        <f ca="1">IFERROR(__xludf.DUMMYFUNCTION("""COMPUTED_VALUE"""),"ESCOLA MUNICIPAL VEREADOR JOAO GONCALVES DE SOUSA")</f>
        <v>ESCOLA MUNICIPAL VEREADOR JOAO GONCALVES DE SOUSA</v>
      </c>
      <c r="I55" s="2" t="str">
        <f ca="1">IFERROR(__xludf.DUMMYFUNCTION("""COMPUTED_VALUE"""),"NOITE")</f>
        <v>NOITE</v>
      </c>
      <c r="J55" s="47">
        <f ca="1">IFERROR(__xludf.DUMMYFUNCTION("""COMPUTED_VALUE"""),2)</f>
        <v>2</v>
      </c>
      <c r="K55" s="2"/>
      <c r="L55" s="10"/>
      <c r="M55" s="9" t="str">
        <f ca="1">IFERROR(__xludf.DUMMYFUNCTION("""COMPUTED_VALUE"""),"palomasarmento@fiepb.org.br")</f>
        <v>palomasarmento@fiepb.org.br</v>
      </c>
      <c r="N55" s="2" t="str">
        <f ca="1">IFERROR(__xludf.DUMMYFUNCTION("""COMPUTED_VALUE"""),"palomasarmento@gmail.com")</f>
        <v>palomasarmento@gmail.com</v>
      </c>
      <c r="O55" s="2" t="str">
        <f ca="1">IFERROR(__xludf.DUMMYFUNCTION("""COMPUTED_VALUE"""),"(83)991661293")</f>
        <v>(83)991661293</v>
      </c>
      <c r="P55" s="2"/>
      <c r="Q55" s="50"/>
      <c r="R55" s="50"/>
      <c r="S55" s="2" t="str">
        <f ca="1">IFERROR(VLOOKUP(A55,IMPORT_DESISTENCIA!$A$2:$Q2273,14,0),"NÃO")</f>
        <v>NÃO</v>
      </c>
      <c r="T55" s="35"/>
    </row>
    <row r="56" spans="1:20" ht="45" customHeight="1" x14ac:dyDescent="0.25">
      <c r="A56" s="2" t="str">
        <f t="shared" ca="1" si="1"/>
        <v>004/2025/052.902.784-43</v>
      </c>
      <c r="B56" s="2" t="str">
        <f ca="1">IFERROR(__xludf.DUMMYFUNCTION("""COMPUTED_VALUE"""),"052.902.784-43")</f>
        <v>052.902.784-43</v>
      </c>
      <c r="C56" s="43" t="str">
        <f ca="1">IFERROR(__xludf.DUMMYFUNCTION("""COMPUTED_VALUE"""),"HELZIMAR ALVES DA SILVA SIQUERA")</f>
        <v>HELZIMAR ALVES DA SILVA SIQUERA</v>
      </c>
      <c r="D56" s="2" t="str">
        <f ca="1">IFERROR(__xludf.DUMMYFUNCTION("""COMPUTED_VALUE"""),"SUPERVISOR")</f>
        <v>SUPERVISOR</v>
      </c>
      <c r="E56" s="2" t="str">
        <f ca="1">IFERROR(__xludf.DUMMYFUNCTION("""COMPUTED_VALUE"""),"004/2025")</f>
        <v>004/2025</v>
      </c>
      <c r="F56" s="2" t="str">
        <f ca="1">IFERROR(__xludf.DUMMYFUNCTION("""COMPUTED_VALUE"""),"MARIZOPOLIS")</f>
        <v>MARIZOPOLIS</v>
      </c>
      <c r="G56" s="11"/>
      <c r="H56" s="11" t="str">
        <f ca="1">IFERROR(__xludf.DUMMYFUNCTION("""COMPUTED_VALUE"""),"ESCOLA MUNICIPAL VEREADOR JOAO GONCALVES DE SOUSA")</f>
        <v>ESCOLA MUNICIPAL VEREADOR JOAO GONCALVES DE SOUSA</v>
      </c>
      <c r="I56" s="2" t="str">
        <f ca="1">IFERROR(__xludf.DUMMYFUNCTION("""COMPUTED_VALUE"""),"NOITE")</f>
        <v>NOITE</v>
      </c>
      <c r="J56" s="47">
        <f ca="1">IFERROR(__xludf.DUMMYFUNCTION("""COMPUTED_VALUE"""),3)</f>
        <v>3</v>
      </c>
      <c r="K56" s="2"/>
      <c r="L56" s="10"/>
      <c r="M56" s="9" t="str">
        <f ca="1">IFERROR(__xludf.DUMMYFUNCTION("""COMPUTED_VALUE"""),"helzimarinsaude@gmail.com")</f>
        <v>helzimarinsaude@gmail.com</v>
      </c>
      <c r="N56" s="2" t="str">
        <f ca="1">IFERROR(__xludf.DUMMYFUNCTION("""COMPUTED_VALUE"""),"helzimarsqr@gmail.com")</f>
        <v>helzimarsqr@gmail.com</v>
      </c>
      <c r="O56" s="2" t="str">
        <f ca="1">IFERROR(__xludf.DUMMYFUNCTION("""COMPUTED_VALUE"""),"(83)982208978")</f>
        <v>(83)982208978</v>
      </c>
      <c r="P56" s="2" t="str">
        <f ca="1">IFERROR(__xludf.DUMMYFUNCTION("""COMPUTED_VALUE"""),"(83)982208978")</f>
        <v>(83)982208978</v>
      </c>
      <c r="Q56" s="50"/>
      <c r="R56" s="50"/>
      <c r="S56" s="2" t="str">
        <f ca="1">IFERROR(VLOOKUP(A56,IMPORT_DESISTENCIA!$A$2:$Q2273,14,0),"NÃO")</f>
        <v>NÃO</v>
      </c>
      <c r="T56" s="35"/>
    </row>
    <row r="57" spans="1:20" ht="45" customHeight="1" x14ac:dyDescent="0.25">
      <c r="A57" s="2" t="str">
        <f t="shared" ca="1" si="1"/>
        <v>004/2025/030.818.884-50</v>
      </c>
      <c r="B57" s="2" t="str">
        <f ca="1">IFERROR(__xludf.DUMMYFUNCTION("""COMPUTED_VALUE"""),"030.818.884-50")</f>
        <v>030.818.884-50</v>
      </c>
      <c r="C57" s="43" t="str">
        <f ca="1">IFERROR(__xludf.DUMMYFUNCTION("""COMPUTED_VALUE"""),"AFRANIO GOMES DE ARAUJO LOPES DINIZ")</f>
        <v>AFRANIO GOMES DE ARAUJO LOPES DINIZ</v>
      </c>
      <c r="D57" s="2" t="str">
        <f ca="1">IFERROR(__xludf.DUMMYFUNCTION("""COMPUTED_VALUE"""),"SUPERVISOR")</f>
        <v>SUPERVISOR</v>
      </c>
      <c r="E57" s="2" t="str">
        <f ca="1">IFERROR(__xludf.DUMMYFUNCTION("""COMPUTED_VALUE"""),"004/2025")</f>
        <v>004/2025</v>
      </c>
      <c r="F57" s="2" t="str">
        <f ca="1">IFERROR(__xludf.DUMMYFUNCTION("""COMPUTED_VALUE"""),"MARIZOPOLIS")</f>
        <v>MARIZOPOLIS</v>
      </c>
      <c r="G57" s="11"/>
      <c r="H57" s="11" t="str">
        <f ca="1">IFERROR(__xludf.DUMMYFUNCTION("""COMPUTED_VALUE"""),"ESCOLA MUNICIPAL VEREADOR JOAO GONCALVES DE SOUSA")</f>
        <v>ESCOLA MUNICIPAL VEREADOR JOAO GONCALVES DE SOUSA</v>
      </c>
      <c r="I57" s="2" t="str">
        <f ca="1">IFERROR(__xludf.DUMMYFUNCTION("""COMPUTED_VALUE"""),"NOITE")</f>
        <v>NOITE</v>
      </c>
      <c r="J57" s="47">
        <f ca="1">IFERROR(__xludf.DUMMYFUNCTION("""COMPUTED_VALUE"""),4)</f>
        <v>4</v>
      </c>
      <c r="K57" s="2"/>
      <c r="L57" s="10"/>
      <c r="M57" s="9" t="str">
        <f ca="1">IFERROR(__xludf.DUMMYFUNCTION("""COMPUTED_VALUE"""),"afranioadvpb@gmail.com")</f>
        <v>afranioadvpb@gmail.com</v>
      </c>
      <c r="N57" s="2" t="str">
        <f ca="1">IFERROR(__xludf.DUMMYFUNCTION("""COMPUTED_VALUE"""),"afranio-pe@hotmail.com")</f>
        <v>afranio-pe@hotmail.com</v>
      </c>
      <c r="O57" s="2" t="str">
        <f ca="1">IFERROR(__xludf.DUMMYFUNCTION("""COMPUTED_VALUE"""),"(83)999305856")</f>
        <v>(83)999305856</v>
      </c>
      <c r="P57" s="2" t="str">
        <f ca="1">IFERROR(__xludf.DUMMYFUNCTION("""COMPUTED_VALUE"""),"(83)999305856")</f>
        <v>(83)999305856</v>
      </c>
      <c r="Q57" s="50"/>
      <c r="R57" s="50"/>
      <c r="S57" s="2" t="str">
        <f ca="1">IFERROR(VLOOKUP(A57,IMPORT_DESISTENCIA!$A$2:$Q2273,14,0),"NÃO")</f>
        <v>NÃO</v>
      </c>
      <c r="T57" s="35"/>
    </row>
    <row r="58" spans="1:20" ht="45" customHeight="1" x14ac:dyDescent="0.25">
      <c r="A58" s="2" t="str">
        <f t="shared" ca="1" si="1"/>
        <v>004/2025/095.093.424-08</v>
      </c>
      <c r="B58" s="2" t="str">
        <f ca="1">IFERROR(__xludf.DUMMYFUNCTION("""COMPUTED_VALUE"""),"095.093.424-08")</f>
        <v>095.093.424-08</v>
      </c>
      <c r="C58" s="43" t="str">
        <f ca="1">IFERROR(__xludf.DUMMYFUNCTION("""COMPUTED_VALUE"""),"JOANITA FRAZIELLY PEREIRA GOMES")</f>
        <v>JOANITA FRAZIELLY PEREIRA GOMES</v>
      </c>
      <c r="D58" s="2" t="str">
        <f ca="1">IFERROR(__xludf.DUMMYFUNCTION("""COMPUTED_VALUE"""),"SUPERVISOR")</f>
        <v>SUPERVISOR</v>
      </c>
      <c r="E58" s="2" t="str">
        <f ca="1">IFERROR(__xludf.DUMMYFUNCTION("""COMPUTED_VALUE"""),"004/2025")</f>
        <v>004/2025</v>
      </c>
      <c r="F58" s="2" t="str">
        <f ca="1">IFERROR(__xludf.DUMMYFUNCTION("""COMPUTED_VALUE"""),"PATOS")</f>
        <v>PATOS</v>
      </c>
      <c r="G58" s="11"/>
      <c r="H58" s="11" t="str">
        <f ca="1">IFERROR(__xludf.DUMMYFUNCTION("""COMPUTED_VALUE"""),"PRESIDIO REGIONAL FEMININO DE PATOS")</f>
        <v>PRESIDIO REGIONAL FEMININO DE PATOS</v>
      </c>
      <c r="I58" s="2" t="str">
        <f ca="1">IFERROR(__xludf.DUMMYFUNCTION("""COMPUTED_VALUE"""),"TARDE")</f>
        <v>TARDE</v>
      </c>
      <c r="J58" s="47">
        <f ca="1">IFERROR(__xludf.DUMMYFUNCTION("""COMPUTED_VALUE"""),1)</f>
        <v>1</v>
      </c>
      <c r="K58" s="2" t="str">
        <f ca="1">IFERROR(__xludf.DUMMYFUNCTION("""COMPUTED_VALUE"""),"POSSE VALIDADA")</f>
        <v>POSSE VALIDADA</v>
      </c>
      <c r="L58" s="10"/>
      <c r="M58" s="9" t="str">
        <f ca="1">IFERROR(__xludf.DUMMYFUNCTION("""COMPUTED_VALUE"""),"joanitafrazielly@professor.pb.gov.br")</f>
        <v>joanitafrazielly@professor.pb.gov.br</v>
      </c>
      <c r="N58" s="2"/>
      <c r="O58" s="2" t="str">
        <f ca="1">IFERROR(__xludf.DUMMYFUNCTION("""COMPUTED_VALUE"""),"(83)999004825")</f>
        <v>(83)999004825</v>
      </c>
      <c r="P58" s="2"/>
      <c r="Q58" s="50" t="str">
        <f ca="1">IFERROR(__xludf.DUMMYFUNCTION("""COMPUTED_VALUE"""),"23/04/2025")</f>
        <v>23/04/2025</v>
      </c>
      <c r="R58" s="50"/>
      <c r="S58" s="2" t="str">
        <f ca="1">IFERROR(VLOOKUP(A58,IMPORT_DESISTENCIA!$A$2:$Q2273,14,0),"NÃO")</f>
        <v>NÃO</v>
      </c>
      <c r="T58" s="35"/>
    </row>
    <row r="59" spans="1:20" ht="45" customHeight="1" x14ac:dyDescent="0.25">
      <c r="A59" s="2" t="str">
        <f t="shared" ca="1" si="1"/>
        <v>004/2025/000.114.133-36</v>
      </c>
      <c r="B59" s="2" t="str">
        <f ca="1">IFERROR(__xludf.DUMMYFUNCTION("""COMPUTED_VALUE"""),"000.114.133-36")</f>
        <v>000.114.133-36</v>
      </c>
      <c r="C59" s="43" t="str">
        <f ca="1">IFERROR(__xludf.DUMMYFUNCTION("""COMPUTED_VALUE"""),"KATIA MACEDO DUARTE")</f>
        <v>KATIA MACEDO DUARTE</v>
      </c>
      <c r="D59" s="2" t="str">
        <f ca="1">IFERROR(__xludf.DUMMYFUNCTION("""COMPUTED_VALUE"""),"SUPERVISOR")</f>
        <v>SUPERVISOR</v>
      </c>
      <c r="E59" s="2" t="str">
        <f ca="1">IFERROR(__xludf.DUMMYFUNCTION("""COMPUTED_VALUE"""),"004/2025")</f>
        <v>004/2025</v>
      </c>
      <c r="F59" s="2" t="str">
        <f ca="1">IFERROR(__xludf.DUMMYFUNCTION("""COMPUTED_VALUE"""),"PATOS")</f>
        <v>PATOS</v>
      </c>
      <c r="G59" s="11"/>
      <c r="H59" s="11" t="str">
        <f ca="1">IFERROR(__xludf.DUMMYFUNCTION("""COMPUTED_VALUE"""),"PRESIDIO REGIONAL FEMININO DE PATOS")</f>
        <v>PRESIDIO REGIONAL FEMININO DE PATOS</v>
      </c>
      <c r="I59" s="2" t="str">
        <f ca="1">IFERROR(__xludf.DUMMYFUNCTION("""COMPUTED_VALUE"""),"TARDE")</f>
        <v>TARDE</v>
      </c>
      <c r="J59" s="47">
        <f ca="1">IFERROR(__xludf.DUMMYFUNCTION("""COMPUTED_VALUE"""),2)</f>
        <v>2</v>
      </c>
      <c r="K59" s="2"/>
      <c r="L59" s="10"/>
      <c r="M59" s="9" t="str">
        <f ca="1">IFERROR(__xludf.DUMMYFUNCTION("""COMPUTED_VALUE"""),"katia.duarte2012@gmail.com")</f>
        <v>katia.duarte2012@gmail.com</v>
      </c>
      <c r="N59" s="2" t="str">
        <f ca="1">IFERROR(__xludf.DUMMYFUNCTION("""COMPUTED_VALUE"""),"katia.duarte2012@gmail.com")</f>
        <v>katia.duarte2012@gmail.com</v>
      </c>
      <c r="O59" s="2" t="str">
        <f ca="1">IFERROR(__xludf.DUMMYFUNCTION("""COMPUTED_VALUE"""),"(83)99801-6060")</f>
        <v>(83)99801-6060</v>
      </c>
      <c r="P59" s="2" t="str">
        <f ca="1">IFERROR(__xludf.DUMMYFUNCTION("""COMPUTED_VALUE"""),"(83)99801-6060")</f>
        <v>(83)99801-6060</v>
      </c>
      <c r="Q59" s="50"/>
      <c r="R59" s="50"/>
      <c r="S59" s="2" t="str">
        <f ca="1">IFERROR(VLOOKUP(A59,IMPORT_DESISTENCIA!$A$2:$Q2273,14,0),"NÃO")</f>
        <v>NÃO</v>
      </c>
      <c r="T59" s="35"/>
    </row>
    <row r="60" spans="1:20" ht="45" customHeight="1" x14ac:dyDescent="0.25">
      <c r="A60" s="2" t="str">
        <f t="shared" ca="1" si="1"/>
        <v>004/2025/067.088.194-57</v>
      </c>
      <c r="B60" s="2" t="str">
        <f ca="1">IFERROR(__xludf.DUMMYFUNCTION("""COMPUTED_VALUE"""),"067.088.194-57")</f>
        <v>067.088.194-57</v>
      </c>
      <c r="C60" s="43" t="str">
        <f ca="1">IFERROR(__xludf.DUMMYFUNCTION("""COMPUTED_VALUE"""),"ELIONALDO PEREIRA DA SILVA")</f>
        <v>ELIONALDO PEREIRA DA SILVA</v>
      </c>
      <c r="D60" s="2" t="str">
        <f ca="1">IFERROR(__xludf.DUMMYFUNCTION("""COMPUTED_VALUE"""),"SUPERVISOR")</f>
        <v>SUPERVISOR</v>
      </c>
      <c r="E60" s="2" t="str">
        <f ca="1">IFERROR(__xludf.DUMMYFUNCTION("""COMPUTED_VALUE"""),"004/2025")</f>
        <v>004/2025</v>
      </c>
      <c r="F60" s="2" t="str">
        <f ca="1">IFERROR(__xludf.DUMMYFUNCTION("""COMPUTED_VALUE"""),"PATOS")</f>
        <v>PATOS</v>
      </c>
      <c r="G60" s="11"/>
      <c r="H60" s="11" t="str">
        <f ca="1">IFERROR(__xludf.DUMMYFUNCTION("""COMPUTED_VALUE"""),"PRESIDIO REGIONAL FEMININO DE PATOS")</f>
        <v>PRESIDIO REGIONAL FEMININO DE PATOS</v>
      </c>
      <c r="I60" s="2" t="str">
        <f ca="1">IFERROR(__xludf.DUMMYFUNCTION("""COMPUTED_VALUE"""),"TARDE")</f>
        <v>TARDE</v>
      </c>
      <c r="J60" s="47">
        <f ca="1">IFERROR(__xludf.DUMMYFUNCTION("""COMPUTED_VALUE"""),3)</f>
        <v>3</v>
      </c>
      <c r="K60" s="2"/>
      <c r="L60" s="10"/>
      <c r="M60" s="9" t="str">
        <f ca="1">IFERROR(__xludf.DUMMYFUNCTION("""COMPUTED_VALUE"""),"elionaldo.silva.0657.pbtec23@escola.pb.gov.br")</f>
        <v>elionaldo.silva.0657.pbtec23@escola.pb.gov.br</v>
      </c>
      <c r="N60" s="2" t="str">
        <f ca="1">IFERROR(__xludf.DUMMYFUNCTION("""COMPUTED_VALUE"""),"elionaldo.silva.0657.pbtec23@escola.pb.gov.br")</f>
        <v>elionaldo.silva.0657.pbtec23@escola.pb.gov.br</v>
      </c>
      <c r="O60" s="2" t="str">
        <f ca="1">IFERROR(__xludf.DUMMYFUNCTION("""COMPUTED_VALUE"""),"(83)993741721")</f>
        <v>(83)993741721</v>
      </c>
      <c r="P60" s="2" t="str">
        <f ca="1">IFERROR(__xludf.DUMMYFUNCTION("""COMPUTED_VALUE"""),"(83)993741721")</f>
        <v>(83)993741721</v>
      </c>
      <c r="Q60" s="50"/>
      <c r="R60" s="50"/>
      <c r="S60" s="2" t="str">
        <f ca="1">IFERROR(VLOOKUP(A60,IMPORT_DESISTENCIA!$A$2:$Q2273,14,0),"NÃO")</f>
        <v>NÃO</v>
      </c>
      <c r="T60" s="35"/>
    </row>
    <row r="61" spans="1:20" ht="45" customHeight="1" x14ac:dyDescent="0.25">
      <c r="A61" s="2" t="str">
        <f t="shared" ca="1" si="1"/>
        <v>004/2025/090.455.104-05</v>
      </c>
      <c r="B61" s="2" t="str">
        <f ca="1">IFERROR(__xludf.DUMMYFUNCTION("""COMPUTED_VALUE"""),"090.455.104-05")</f>
        <v>090.455.104-05</v>
      </c>
      <c r="C61" s="43" t="str">
        <f ca="1">IFERROR(__xludf.DUMMYFUNCTION("""COMPUTED_VALUE"""),"JOAO HELVIS RODRIGUES DE FREITAS")</f>
        <v>JOAO HELVIS RODRIGUES DE FREITAS</v>
      </c>
      <c r="D61" s="2" t="str">
        <f ca="1">IFERROR(__xludf.DUMMYFUNCTION("""COMPUTED_VALUE"""),"SUPERVISOR")</f>
        <v>SUPERVISOR</v>
      </c>
      <c r="E61" s="2" t="str">
        <f ca="1">IFERROR(__xludf.DUMMYFUNCTION("""COMPUTED_VALUE"""),"004/2025")</f>
        <v>004/2025</v>
      </c>
      <c r="F61" s="2" t="str">
        <f ca="1">IFERROR(__xludf.DUMMYFUNCTION("""COMPUTED_VALUE"""),"PILOES")</f>
        <v>PILOES</v>
      </c>
      <c r="G61" s="11"/>
      <c r="H61" s="11" t="str">
        <f ca="1">IFERROR(__xludf.DUMMYFUNCTION("""COMPUTED_VALUE"""),"EMEF BRAZ BARACUHY")</f>
        <v>EMEF BRAZ BARACUHY</v>
      </c>
      <c r="I61" s="2" t="str">
        <f ca="1">IFERROR(__xludf.DUMMYFUNCTION("""COMPUTED_VALUE"""),"NOITE")</f>
        <v>NOITE</v>
      </c>
      <c r="J61" s="47">
        <f ca="1">IFERROR(__xludf.DUMMYFUNCTION("""COMPUTED_VALUE"""),1)</f>
        <v>1</v>
      </c>
      <c r="K61" s="2"/>
      <c r="L61" s="10"/>
      <c r="M61" s="9" t="str">
        <f ca="1">IFERROR(__xludf.DUMMYFUNCTION("""COMPUTED_VALUE"""),"j.helvis@hotmail.com")</f>
        <v>j.helvis@hotmail.com</v>
      </c>
      <c r="N61" s="2" t="str">
        <f ca="1">IFERROR(__xludf.DUMMYFUNCTION("""COMPUTED_VALUE"""),"admhelvis@gmail.com")</f>
        <v>admhelvis@gmail.com</v>
      </c>
      <c r="O61" s="2" t="str">
        <f ca="1">IFERROR(__xludf.DUMMYFUNCTION("""COMPUTED_VALUE"""),"(83)98832-1149")</f>
        <v>(83)98832-1149</v>
      </c>
      <c r="P61" s="2" t="str">
        <f ca="1">IFERROR(__xludf.DUMMYFUNCTION("""COMPUTED_VALUE"""),"(83)98832-1149")</f>
        <v>(83)98832-1149</v>
      </c>
      <c r="Q61" s="50"/>
      <c r="R61" s="50"/>
      <c r="S61" s="2" t="str">
        <f ca="1">IFERROR(VLOOKUP(A61,IMPORT_DESISTENCIA!$A$2:$Q2273,14,0),"NÃO")</f>
        <v>NÃO</v>
      </c>
      <c r="T61" s="35"/>
    </row>
    <row r="62" spans="1:20" ht="45" customHeight="1" x14ac:dyDescent="0.25">
      <c r="A62" s="2" t="str">
        <f t="shared" ca="1" si="1"/>
        <v>004/2025/070.339.554-80</v>
      </c>
      <c r="B62" s="2" t="str">
        <f ca="1">IFERROR(__xludf.DUMMYFUNCTION("""COMPUTED_VALUE"""),"070.339.554-80")</f>
        <v>070.339.554-80</v>
      </c>
      <c r="C62" s="43" t="str">
        <f ca="1">IFERROR(__xludf.DUMMYFUNCTION("""COMPUTED_VALUE"""),"CASSIANO JOSE DE SALES FRANÇA")</f>
        <v>CASSIANO JOSE DE SALES FRANÇA</v>
      </c>
      <c r="D62" s="2" t="str">
        <f ca="1">IFERROR(__xludf.DUMMYFUNCTION("""COMPUTED_VALUE"""),"SUPERVISOR")</f>
        <v>SUPERVISOR</v>
      </c>
      <c r="E62" s="2" t="str">
        <f ca="1">IFERROR(__xludf.DUMMYFUNCTION("""COMPUTED_VALUE"""),"004/2025")</f>
        <v>004/2025</v>
      </c>
      <c r="F62" s="2" t="str">
        <f ca="1">IFERROR(__xludf.DUMMYFUNCTION("""COMPUTED_VALUE"""),"PILOES")</f>
        <v>PILOES</v>
      </c>
      <c r="G62" s="11"/>
      <c r="H62" s="11" t="str">
        <f ca="1">IFERROR(__xludf.DUMMYFUNCTION("""COMPUTED_VALUE"""),"EMEF BRAZ BARACUHY")</f>
        <v>EMEF BRAZ BARACUHY</v>
      </c>
      <c r="I62" s="2" t="str">
        <f ca="1">IFERROR(__xludf.DUMMYFUNCTION("""COMPUTED_VALUE"""),"NOITE")</f>
        <v>NOITE</v>
      </c>
      <c r="J62" s="47">
        <f ca="1">IFERROR(__xludf.DUMMYFUNCTION("""COMPUTED_VALUE"""),2)</f>
        <v>2</v>
      </c>
      <c r="K62" s="2" t="str">
        <f ca="1">IFERROR(__xludf.DUMMYFUNCTION("""COMPUTED_VALUE"""),"POSSE VALIDADA")</f>
        <v>POSSE VALIDADA</v>
      </c>
      <c r="L62" s="10"/>
      <c r="M62" s="9" t="str">
        <f ca="1">IFERROR(__xludf.DUMMYFUNCTION("""COMPUTED_VALUE"""),"cassiano.franca@professor.pb.gov.br")</f>
        <v>cassiano.franca@professor.pb.gov.br</v>
      </c>
      <c r="N62" s="2" t="str">
        <f ca="1">IFERROR(__xludf.DUMMYFUNCTION("""COMPUTED_VALUE"""),"rclima329@gmail.com")</f>
        <v>rclima329@gmail.com</v>
      </c>
      <c r="O62" s="2" t="str">
        <f ca="1">IFERROR(__xludf.DUMMYFUNCTION("""COMPUTED_VALUE"""),"(83)99850-9108")</f>
        <v>(83)99850-9108</v>
      </c>
      <c r="P62" s="2" t="str">
        <f ca="1">IFERROR(__xludf.DUMMYFUNCTION("""COMPUTED_VALUE"""),"(83)99863-2911")</f>
        <v>(83)99863-2911</v>
      </c>
      <c r="Q62" s="50" t="str">
        <f ca="1">IFERROR(__xludf.DUMMYFUNCTION("""COMPUTED_VALUE"""),"05/05/2025")</f>
        <v>05/05/2025</v>
      </c>
      <c r="R62" s="50" t="str">
        <f ca="1">IFERROR(__xludf.DUMMYFUNCTION("""COMPUTED_VALUE"""),"08/05/2025")</f>
        <v>08/05/2025</v>
      </c>
      <c r="S62" s="2" t="str">
        <f ca="1">IFERROR(VLOOKUP(A62,IMPORT_DESISTENCIA!$A$2:$Q2273,14,0),"NÃO")</f>
        <v>DESISTIU</v>
      </c>
      <c r="T62" s="35"/>
    </row>
    <row r="63" spans="1:20" ht="45" customHeight="1" x14ac:dyDescent="0.25">
      <c r="A63" s="2" t="str">
        <f t="shared" ca="1" si="1"/>
        <v>004/2025/101.710.274-00</v>
      </c>
      <c r="B63" s="2" t="str">
        <f ca="1">IFERROR(__xludf.DUMMYFUNCTION("""COMPUTED_VALUE"""),"101.710.274-00")</f>
        <v>101.710.274-00</v>
      </c>
      <c r="C63" s="43" t="str">
        <f ca="1">IFERROR(__xludf.DUMMYFUNCTION("""COMPUTED_VALUE"""),"ANA PAULA DA SILVA SALES")</f>
        <v>ANA PAULA DA SILVA SALES</v>
      </c>
      <c r="D63" s="2" t="str">
        <f ca="1">IFERROR(__xludf.DUMMYFUNCTION("""COMPUTED_VALUE"""),"SUPERVISOR")</f>
        <v>SUPERVISOR</v>
      </c>
      <c r="E63" s="2" t="str">
        <f ca="1">IFERROR(__xludf.DUMMYFUNCTION("""COMPUTED_VALUE"""),"004/2025")</f>
        <v>004/2025</v>
      </c>
      <c r="F63" s="2" t="str">
        <f ca="1">IFERROR(__xludf.DUMMYFUNCTION("""COMPUTED_VALUE"""),"PILOES")</f>
        <v>PILOES</v>
      </c>
      <c r="G63" s="11"/>
      <c r="H63" s="11" t="str">
        <f ca="1">IFERROR(__xludf.DUMMYFUNCTION("""COMPUTED_VALUE"""),"EMEF BRAZ BARACUHY")</f>
        <v>EMEF BRAZ BARACUHY</v>
      </c>
      <c r="I63" s="2" t="str">
        <f ca="1">IFERROR(__xludf.DUMMYFUNCTION("""COMPUTED_VALUE"""),"NOITE")</f>
        <v>NOITE</v>
      </c>
      <c r="J63" s="47">
        <f ca="1">IFERROR(__xludf.DUMMYFUNCTION("""COMPUTED_VALUE"""),3)</f>
        <v>3</v>
      </c>
      <c r="K63" s="2"/>
      <c r="L63" s="10"/>
      <c r="M63" s="9" t="str">
        <f ca="1">IFERROR(__xludf.DUMMYFUNCTION("""COMPUTED_VALUE"""),"sales312915@gmail.com")</f>
        <v>sales312915@gmail.com</v>
      </c>
      <c r="N63" s="2" t="str">
        <f ca="1">IFERROR(__xludf.DUMMYFUNCTION("""COMPUTED_VALUE"""),"paulinhasalesps@hotmail.com")</f>
        <v>paulinhasalesps@hotmail.com</v>
      </c>
      <c r="O63" s="2" t="str">
        <f ca="1">IFERROR(__xludf.DUMMYFUNCTION("""COMPUTED_VALUE"""),"(83)99608-1837")</f>
        <v>(83)99608-1837</v>
      </c>
      <c r="P63" s="2" t="str">
        <f ca="1">IFERROR(__xludf.DUMMYFUNCTION("""COMPUTED_VALUE"""),"(83)982061983")</f>
        <v>(83)982061983</v>
      </c>
      <c r="Q63" s="50"/>
      <c r="R63" s="50"/>
      <c r="S63" s="2" t="str">
        <f ca="1">IFERROR(VLOOKUP(A63,IMPORT_DESISTENCIA!$A$2:$Q2273,14,0),"NÃO")</f>
        <v>NÃO</v>
      </c>
      <c r="T63" s="35"/>
    </row>
    <row r="64" spans="1:20" ht="45" customHeight="1" x14ac:dyDescent="0.25">
      <c r="A64" s="2" t="str">
        <f t="shared" ca="1" si="1"/>
        <v>004/2025/707.824.424-98</v>
      </c>
      <c r="B64" s="2" t="str">
        <f ca="1">IFERROR(__xludf.DUMMYFUNCTION("""COMPUTED_VALUE"""),"707.824.424-98")</f>
        <v>707.824.424-98</v>
      </c>
      <c r="C64" s="43" t="str">
        <f ca="1">IFERROR(__xludf.DUMMYFUNCTION("""COMPUTED_VALUE"""),"RAFAELA GOMES FERREIRA")</f>
        <v>RAFAELA GOMES FERREIRA</v>
      </c>
      <c r="D64" s="2" t="str">
        <f ca="1">IFERROR(__xludf.DUMMYFUNCTION("""COMPUTED_VALUE"""),"SUPERVISOR")</f>
        <v>SUPERVISOR</v>
      </c>
      <c r="E64" s="2" t="str">
        <f ca="1">IFERROR(__xludf.DUMMYFUNCTION("""COMPUTED_VALUE"""),"004/2025")</f>
        <v>004/2025</v>
      </c>
      <c r="F64" s="2" t="str">
        <f ca="1">IFERROR(__xludf.DUMMYFUNCTION("""COMPUTED_VALUE"""),"PILOES")</f>
        <v>PILOES</v>
      </c>
      <c r="G64" s="11"/>
      <c r="H64" s="11" t="str">
        <f ca="1">IFERROR(__xludf.DUMMYFUNCTION("""COMPUTED_VALUE"""),"EMEF BRAZ BARACUHY")</f>
        <v>EMEF BRAZ BARACUHY</v>
      </c>
      <c r="I64" s="2" t="str">
        <f ca="1">IFERROR(__xludf.DUMMYFUNCTION("""COMPUTED_VALUE"""),"NOITE")</f>
        <v>NOITE</v>
      </c>
      <c r="J64" s="47">
        <f ca="1">IFERROR(__xludf.DUMMYFUNCTION("""COMPUTED_VALUE"""),4)</f>
        <v>4</v>
      </c>
      <c r="K64" s="2"/>
      <c r="L64" s="10"/>
      <c r="M64" s="9" t="str">
        <f ca="1">IFERROR(__xludf.DUMMYFUNCTION("""COMPUTED_VALUE"""),"rafaellaoooo5@gmail.com")</f>
        <v>rafaellaoooo5@gmail.com</v>
      </c>
      <c r="N64" s="2" t="str">
        <f ca="1">IFERROR(__xludf.DUMMYFUNCTION("""COMPUTED_VALUE"""),"Rafaellaa04@outlook.com")</f>
        <v>Rafaellaa04@outlook.com</v>
      </c>
      <c r="O64" s="2" t="str">
        <f ca="1">IFERROR(__xludf.DUMMYFUNCTION("""COMPUTED_VALUE"""),"(83)98656-5686")</f>
        <v>(83)98656-5686</v>
      </c>
      <c r="P64" s="2" t="str">
        <f ca="1">IFERROR(__xludf.DUMMYFUNCTION("""COMPUTED_VALUE"""),"(83)98656-5686")</f>
        <v>(83)98656-5686</v>
      </c>
      <c r="Q64" s="50"/>
      <c r="R64" s="50"/>
      <c r="S64" s="2" t="str">
        <f ca="1">IFERROR(VLOOKUP(A64,IMPORT_DESISTENCIA!$A$2:$Q2273,14,0),"NÃO")</f>
        <v>NÃO</v>
      </c>
      <c r="T64" s="35"/>
    </row>
    <row r="65" spans="1:20" ht="45" customHeight="1" x14ac:dyDescent="0.25">
      <c r="A65" s="2" t="str">
        <f t="shared" ca="1" si="1"/>
        <v>004/2025/081.438.934-13</v>
      </c>
      <c r="B65" s="2" t="str">
        <f ca="1">IFERROR(__xludf.DUMMYFUNCTION("""COMPUTED_VALUE"""),"081.438.934-13")</f>
        <v>081.438.934-13</v>
      </c>
      <c r="C65" s="43" t="str">
        <f ca="1">IFERROR(__xludf.DUMMYFUNCTION("""COMPUTED_VALUE"""),"NISIA REBECA MELO SILVA")</f>
        <v>NISIA REBECA MELO SILVA</v>
      </c>
      <c r="D65" s="2" t="str">
        <f ca="1">IFERROR(__xludf.DUMMYFUNCTION("""COMPUTED_VALUE"""),"SUPERVISOR")</f>
        <v>SUPERVISOR</v>
      </c>
      <c r="E65" s="2" t="str">
        <f ca="1">IFERROR(__xludf.DUMMYFUNCTION("""COMPUTED_VALUE"""),"004/2025")</f>
        <v>004/2025</v>
      </c>
      <c r="F65" s="2" t="str">
        <f ca="1">IFERROR(__xludf.DUMMYFUNCTION("""COMPUTED_VALUE"""),"QUEIMADAS")</f>
        <v>QUEIMADAS</v>
      </c>
      <c r="G65" s="11"/>
      <c r="H65" s="11" t="str">
        <f ca="1">IFERROR(__xludf.DUMMYFUNCTION("""COMPUTED_VALUE"""),"ECIT FRANCISCO ERNESTO DO REGO")</f>
        <v>ECIT FRANCISCO ERNESTO DO REGO</v>
      </c>
      <c r="I65" s="2" t="str">
        <f ca="1">IFERROR(__xludf.DUMMYFUNCTION("""COMPUTED_VALUE"""),"TARDE")</f>
        <v>TARDE</v>
      </c>
      <c r="J65" s="47">
        <f ca="1">IFERROR(__xludf.DUMMYFUNCTION("""COMPUTED_VALUE"""),1)</f>
        <v>1</v>
      </c>
      <c r="K65" s="2"/>
      <c r="L65" s="10"/>
      <c r="M65" s="9" t="str">
        <f ca="1">IFERROR(__xludf.DUMMYFUNCTION("""COMPUTED_VALUE"""),"nrebecamelosilva@gmail.com")</f>
        <v>nrebecamelosilva@gmail.com</v>
      </c>
      <c r="N65" s="2" t="str">
        <f ca="1">IFERROR(__xludf.DUMMYFUNCTION("""COMPUTED_VALUE"""),"nisia.silva.0813.pbtec22@escola.pb.gov.br")</f>
        <v>nisia.silva.0813.pbtec22@escola.pb.gov.br</v>
      </c>
      <c r="O65" s="2" t="str">
        <f ca="1">IFERROR(__xludf.DUMMYFUNCTION("""COMPUTED_VALUE"""),"(83)99306-9357")</f>
        <v>(83)99306-9357</v>
      </c>
      <c r="P65" s="2"/>
      <c r="Q65" s="50"/>
      <c r="R65" s="50"/>
      <c r="S65" s="2" t="str">
        <f ca="1">IFERROR(VLOOKUP(A65,IMPORT_DESISTENCIA!$A$2:$Q2273,14,0),"NÃO")</f>
        <v>NÃO</v>
      </c>
      <c r="T65" s="35"/>
    </row>
    <row r="66" spans="1:20" ht="45" customHeight="1" x14ac:dyDescent="0.25">
      <c r="A66" s="2" t="str">
        <f t="shared" ca="1" si="1"/>
        <v>004/2025/067.587.754-70</v>
      </c>
      <c r="B66" s="2" t="str">
        <f ca="1">IFERROR(__xludf.DUMMYFUNCTION("""COMPUTED_VALUE"""),"067.587.754-70")</f>
        <v>067.587.754-70</v>
      </c>
      <c r="C66" s="43" t="str">
        <f ca="1">IFERROR(__xludf.DUMMYFUNCTION("""COMPUTED_VALUE"""),"JOSELIA DIAS DE ARAUJO")</f>
        <v>JOSELIA DIAS DE ARAUJO</v>
      </c>
      <c r="D66" s="2" t="str">
        <f ca="1">IFERROR(__xludf.DUMMYFUNCTION("""COMPUTED_VALUE"""),"SUPERVISOR")</f>
        <v>SUPERVISOR</v>
      </c>
      <c r="E66" s="2" t="str">
        <f ca="1">IFERROR(__xludf.DUMMYFUNCTION("""COMPUTED_VALUE"""),"004/2025")</f>
        <v>004/2025</v>
      </c>
      <c r="F66" s="2" t="str">
        <f ca="1">IFERROR(__xludf.DUMMYFUNCTION("""COMPUTED_VALUE"""),"QUEIMADAS")</f>
        <v>QUEIMADAS</v>
      </c>
      <c r="G66" s="11"/>
      <c r="H66" s="11" t="str">
        <f ca="1">IFERROR(__xludf.DUMMYFUNCTION("""COMPUTED_VALUE"""),"ECIT FRANCISCO ERNESTO DO REGO")</f>
        <v>ECIT FRANCISCO ERNESTO DO REGO</v>
      </c>
      <c r="I66" s="2" t="str">
        <f ca="1">IFERROR(__xludf.DUMMYFUNCTION("""COMPUTED_VALUE"""),"TARDE")</f>
        <v>TARDE</v>
      </c>
      <c r="J66" s="47">
        <f ca="1">IFERROR(__xludf.DUMMYFUNCTION("""COMPUTED_VALUE"""),2)</f>
        <v>2</v>
      </c>
      <c r="K66" s="2"/>
      <c r="L66" s="10"/>
      <c r="M66" s="9" t="str">
        <f ca="1">IFERROR(__xludf.DUMMYFUNCTION("""COMPUTED_VALUE"""),"joselia.araujo.0670.pbtec23@professor.pb.gov.br")</f>
        <v>joselia.araujo.0670.pbtec23@professor.pb.gov.br</v>
      </c>
      <c r="N66" s="2" t="str">
        <f ca="1">IFERROR(__xludf.DUMMYFUNCTION("""COMPUTED_VALUE"""),"joseliacec85@gmail.com")</f>
        <v>joseliacec85@gmail.com</v>
      </c>
      <c r="O66" s="2" t="str">
        <f ca="1">IFERROR(__xludf.DUMMYFUNCTION("""COMPUTED_VALUE"""),"(83)98105-7964")</f>
        <v>(83)98105-7964</v>
      </c>
      <c r="P66" s="2" t="str">
        <f ca="1">IFERROR(__xludf.DUMMYFUNCTION("""COMPUTED_VALUE"""),"(83)98105-7964")</f>
        <v>(83)98105-7964</v>
      </c>
      <c r="Q66" s="50"/>
      <c r="R66" s="50"/>
      <c r="S66" s="2" t="str">
        <f ca="1">IFERROR(VLOOKUP(A66,IMPORT_DESISTENCIA!$A$2:$Q2273,14,0),"NÃO")</f>
        <v>NÃO</v>
      </c>
      <c r="T66" s="35"/>
    </row>
    <row r="67" spans="1:20" ht="45" customHeight="1" x14ac:dyDescent="0.25">
      <c r="A67" s="2" t="str">
        <f t="shared" ca="1" si="1"/>
        <v>004/2025/089.784.124-75</v>
      </c>
      <c r="B67" s="2" t="str">
        <f ca="1">IFERROR(__xludf.DUMMYFUNCTION("""COMPUTED_VALUE"""),"089.784.124-75")</f>
        <v>089.784.124-75</v>
      </c>
      <c r="C67" s="43" t="str">
        <f ca="1">IFERROR(__xludf.DUMMYFUNCTION("""COMPUTED_VALUE"""),"MAYARA PINHEIRO DA COSTA")</f>
        <v>MAYARA PINHEIRO DA COSTA</v>
      </c>
      <c r="D67" s="2" t="str">
        <f ca="1">IFERROR(__xludf.DUMMYFUNCTION("""COMPUTED_VALUE"""),"SUPERVISOR")</f>
        <v>SUPERVISOR</v>
      </c>
      <c r="E67" s="2" t="str">
        <f ca="1">IFERROR(__xludf.DUMMYFUNCTION("""COMPUTED_VALUE"""),"004/2025")</f>
        <v>004/2025</v>
      </c>
      <c r="F67" s="2" t="str">
        <f ca="1">IFERROR(__xludf.DUMMYFUNCTION("""COMPUTED_VALUE"""),"UIRAUNA")</f>
        <v>UIRAUNA</v>
      </c>
      <c r="G67" s="11"/>
      <c r="H67" s="11" t="str">
        <f ca="1">IFERROR(__xludf.DUMMYFUNCTION("""COMPUTED_VALUE"""),"ECIT DR. JOSE DUARTE FILHO")</f>
        <v>ECIT DR. JOSE DUARTE FILHO</v>
      </c>
      <c r="I67" s="2" t="str">
        <f ca="1">IFERROR(__xludf.DUMMYFUNCTION("""COMPUTED_VALUE"""),"NOITE")</f>
        <v>NOITE</v>
      </c>
      <c r="J67" s="47">
        <f ca="1">IFERROR(__xludf.DUMMYFUNCTION("""COMPUTED_VALUE"""),1)</f>
        <v>1</v>
      </c>
      <c r="K67" s="2" t="str">
        <f ca="1">IFERROR(__xludf.DUMMYFUNCTION("""COMPUTED_VALUE"""),"POSSE VALIDADA")</f>
        <v>POSSE VALIDADA</v>
      </c>
      <c r="L67" s="10"/>
      <c r="M67" s="9" t="str">
        <f ca="1">IFERROR(__xludf.DUMMYFUNCTION("""COMPUTED_VALUE"""),"larinha.una@gmail.com")</f>
        <v>larinha.una@gmail.com</v>
      </c>
      <c r="N67" s="2" t="str">
        <f ca="1">IFERROR(__xludf.DUMMYFUNCTION("""COMPUTED_VALUE"""),"larinha_una@hotmail.com")</f>
        <v>larinha_una@hotmail.com</v>
      </c>
      <c r="O67" s="2" t="str">
        <f ca="1">IFERROR(__xludf.DUMMYFUNCTION("""COMPUTED_VALUE"""),"(83)99188-0093")</f>
        <v>(83)99188-0093</v>
      </c>
      <c r="P67" s="2" t="str">
        <f ca="1">IFERROR(__xludf.DUMMYFUNCTION("""COMPUTED_VALUE"""),"(83)99322-8450")</f>
        <v>(83)99322-8450</v>
      </c>
      <c r="Q67" s="50" t="str">
        <f ca="1">IFERROR(__xludf.DUMMYFUNCTION("""COMPUTED_VALUE"""),"17/04/2025")</f>
        <v>17/04/2025</v>
      </c>
      <c r="R67" s="50"/>
      <c r="S67" s="2" t="str">
        <f ca="1">IFERROR(VLOOKUP(A67,IMPORT_DESISTENCIA!$A$2:$Q2273,14,0),"NÃO")</f>
        <v>NÃO</v>
      </c>
      <c r="T67" s="35"/>
    </row>
    <row r="68" spans="1:20" ht="45" customHeight="1" x14ac:dyDescent="0.25">
      <c r="A68" s="2" t="str">
        <f t="shared" ca="1" si="1"/>
        <v>004/2025/047.275.284-79</v>
      </c>
      <c r="B68" s="2" t="str">
        <f ca="1">IFERROR(__xludf.DUMMYFUNCTION("""COMPUTED_VALUE"""),"047.275.284-79")</f>
        <v>047.275.284-79</v>
      </c>
      <c r="C68" s="43" t="str">
        <f ca="1">IFERROR(__xludf.DUMMYFUNCTION("""COMPUTED_VALUE"""),"ELISIANNE DA COSTA FLORENCIO ALVES")</f>
        <v>ELISIANNE DA COSTA FLORENCIO ALVES</v>
      </c>
      <c r="D68" s="2" t="str">
        <f ca="1">IFERROR(__xludf.DUMMYFUNCTION("""COMPUTED_VALUE"""),"ORIENTADOR")</f>
        <v>ORIENTADOR</v>
      </c>
      <c r="E68" s="2" t="str">
        <f ca="1">IFERROR(__xludf.DUMMYFUNCTION("""COMPUTED_VALUE"""),"004/2025")</f>
        <v>004/2025</v>
      </c>
      <c r="F68" s="2" t="str">
        <f ca="1">IFERROR(__xludf.DUMMYFUNCTION("""COMPUTED_VALUE"""),"AREIA")</f>
        <v>AREIA</v>
      </c>
      <c r="G68" s="11"/>
      <c r="H68" s="11" t="str">
        <f ca="1">IFERROR(__xludf.DUMMYFUNCTION("""COMPUTED_VALUE"""),"ASSENTAMENTO UNIAO")</f>
        <v>ASSENTAMENTO UNIAO</v>
      </c>
      <c r="I68" s="2" t="str">
        <f ca="1">IFERROR(__xludf.DUMMYFUNCTION("""COMPUTED_VALUE"""),"TARDE")</f>
        <v>TARDE</v>
      </c>
      <c r="J68" s="47">
        <f ca="1">IFERROR(__xludf.DUMMYFUNCTION("""COMPUTED_VALUE"""),1)</f>
        <v>1</v>
      </c>
      <c r="K68" s="2" t="str">
        <f ca="1">IFERROR(__xludf.DUMMYFUNCTION("""COMPUTED_VALUE"""),"POSSE VALIDADA")</f>
        <v>POSSE VALIDADA</v>
      </c>
      <c r="L68" s="10"/>
      <c r="M68" s="9" t="str">
        <f ca="1">IFERROR(__xludf.DUMMYFUNCTION("""COMPUTED_VALUE"""),"elisiannecosta@gmail.com")</f>
        <v>elisiannecosta@gmail.com</v>
      </c>
      <c r="N68" s="2" t="str">
        <f ca="1">IFERROR(__xludf.DUMMYFUNCTION("""COMPUTED_VALUE"""),"marciojas1975@gmail.com")</f>
        <v>marciojas1975@gmail.com</v>
      </c>
      <c r="O68" s="2" t="str">
        <f ca="1">IFERROR(__xludf.DUMMYFUNCTION("""COMPUTED_VALUE"""),"(83)988411001")</f>
        <v>(83)988411001</v>
      </c>
      <c r="P68" s="2" t="str">
        <f ca="1">IFERROR(__xludf.DUMMYFUNCTION("""COMPUTED_VALUE"""),"(83)988124777")</f>
        <v>(83)988124777</v>
      </c>
      <c r="Q68" s="50" t="str">
        <f ca="1">IFERROR(__xludf.DUMMYFUNCTION("""COMPUTED_VALUE"""),"23/04/2025")</f>
        <v>23/04/2025</v>
      </c>
      <c r="R68" s="50"/>
      <c r="S68" s="2" t="str">
        <f ca="1">IFERROR(VLOOKUP(A68,IMPORT_DESISTENCIA!$A$2:$Q2273,14,0),"NÃO")</f>
        <v>NÃO</v>
      </c>
      <c r="T68" s="35"/>
    </row>
    <row r="69" spans="1:20" ht="45" customHeight="1" x14ac:dyDescent="0.25">
      <c r="A69" s="2" t="str">
        <f t="shared" ca="1" si="1"/>
        <v>004/2025/051.074.324-25</v>
      </c>
      <c r="B69" s="2" t="str">
        <f ca="1">IFERROR(__xludf.DUMMYFUNCTION("""COMPUTED_VALUE"""),"051.074.324-25")</f>
        <v>051.074.324-25</v>
      </c>
      <c r="C69" s="43" t="str">
        <f ca="1">IFERROR(__xludf.DUMMYFUNCTION("""COMPUTED_VALUE"""),"CLIVANIA RAMOS DE BRITO ARAUJO")</f>
        <v>CLIVANIA RAMOS DE BRITO ARAUJO</v>
      </c>
      <c r="D69" s="2" t="str">
        <f ca="1">IFERROR(__xludf.DUMMYFUNCTION("""COMPUTED_VALUE"""),"ORIENTADOR")</f>
        <v>ORIENTADOR</v>
      </c>
      <c r="E69" s="2" t="str">
        <f ca="1">IFERROR(__xludf.DUMMYFUNCTION("""COMPUTED_VALUE"""),"004/2025")</f>
        <v>004/2025</v>
      </c>
      <c r="F69" s="2" t="str">
        <f ca="1">IFERROR(__xludf.DUMMYFUNCTION("""COMPUTED_VALUE"""),"AREIA")</f>
        <v>AREIA</v>
      </c>
      <c r="G69" s="11"/>
      <c r="H69" s="11" t="str">
        <f ca="1">IFERROR(__xludf.DUMMYFUNCTION("""COMPUTED_VALUE"""),"ASSENTAMENTO UNIAO")</f>
        <v>ASSENTAMENTO UNIAO</v>
      </c>
      <c r="I69" s="2" t="str">
        <f ca="1">IFERROR(__xludf.DUMMYFUNCTION("""COMPUTED_VALUE"""),"TARDE")</f>
        <v>TARDE</v>
      </c>
      <c r="J69" s="47">
        <f ca="1">IFERROR(__xludf.DUMMYFUNCTION("""COMPUTED_VALUE"""),2)</f>
        <v>2</v>
      </c>
      <c r="K69" s="2"/>
      <c r="L69" s="10"/>
      <c r="M69" s="9" t="str">
        <f ca="1">IFERROR(__xludf.DUMMYFUNCTION("""COMPUTED_VALUE"""),"pedroeclivania@gmail.com")</f>
        <v>pedroeclivania@gmail.com</v>
      </c>
      <c r="N69" s="2" t="str">
        <f ca="1">IFERROR(__xludf.DUMMYFUNCTION("""COMPUTED_VALUE"""),"pedro.silva@ee.ufcg.edu.br")</f>
        <v>pedro.silva@ee.ufcg.edu.br</v>
      </c>
      <c r="O69" s="2" t="str">
        <f ca="1">IFERROR(__xludf.DUMMYFUNCTION("""COMPUTED_VALUE"""),"(83)98117-3165")</f>
        <v>(83)98117-3165</v>
      </c>
      <c r="P69" s="2" t="str">
        <f ca="1">IFERROR(__xludf.DUMMYFUNCTION("""COMPUTED_VALUE"""),"(83)98161-3165")</f>
        <v>(83)98161-3165</v>
      </c>
      <c r="Q69" s="50"/>
      <c r="R69" s="50"/>
      <c r="S69" s="2" t="str">
        <f ca="1">IFERROR(VLOOKUP(A69,IMPORT_DESISTENCIA!$A$2:$Q2273,14,0),"NÃO")</f>
        <v>NÃO</v>
      </c>
      <c r="T69" s="35"/>
    </row>
    <row r="70" spans="1:20" ht="45" customHeight="1" x14ac:dyDescent="0.25">
      <c r="A70" s="2" t="str">
        <f t="shared" ca="1" si="1"/>
        <v>004/2025/001.286.744-66</v>
      </c>
      <c r="B70" s="2" t="str">
        <f ca="1">IFERROR(__xludf.DUMMYFUNCTION("""COMPUTED_VALUE"""),"001.286.744-66")</f>
        <v>001.286.744-66</v>
      </c>
      <c r="C70" s="43" t="str">
        <f ca="1">IFERROR(__xludf.DUMMYFUNCTION("""COMPUTED_VALUE"""),"MARCIO JOSE ALVES DE SOUSA")</f>
        <v>MARCIO JOSE ALVES DE SOUSA</v>
      </c>
      <c r="D70" s="2" t="str">
        <f ca="1">IFERROR(__xludf.DUMMYFUNCTION("""COMPUTED_VALUE"""),"ORIENTADOR")</f>
        <v>ORIENTADOR</v>
      </c>
      <c r="E70" s="2" t="str">
        <f ca="1">IFERROR(__xludf.DUMMYFUNCTION("""COMPUTED_VALUE"""),"004/2025")</f>
        <v>004/2025</v>
      </c>
      <c r="F70" s="2" t="str">
        <f ca="1">IFERROR(__xludf.DUMMYFUNCTION("""COMPUTED_VALUE"""),"AREIA")</f>
        <v>AREIA</v>
      </c>
      <c r="G70" s="11"/>
      <c r="H70" s="11" t="str">
        <f ca="1">IFERROR(__xludf.DUMMYFUNCTION("""COMPUTED_VALUE"""),"ASSENTAMENTO MULHERES EM ACAO")</f>
        <v>ASSENTAMENTO MULHERES EM ACAO</v>
      </c>
      <c r="I70" s="2" t="str">
        <f ca="1">IFERROR(__xludf.DUMMYFUNCTION("""COMPUTED_VALUE"""),"TARDE")</f>
        <v>TARDE</v>
      </c>
      <c r="J70" s="47">
        <f ca="1">IFERROR(__xludf.DUMMYFUNCTION("""COMPUTED_VALUE"""),1)</f>
        <v>1</v>
      </c>
      <c r="K70" s="2" t="str">
        <f ca="1">IFERROR(__xludf.DUMMYFUNCTION("""COMPUTED_VALUE"""),"POSSE VALIDADA")</f>
        <v>POSSE VALIDADA</v>
      </c>
      <c r="L70" s="10"/>
      <c r="M70" s="9" t="str">
        <f ca="1">IFERROR(__xludf.DUMMYFUNCTION("""COMPUTED_VALUE"""),"marciojas1975@gmail.com")</f>
        <v>marciojas1975@gmail.com</v>
      </c>
      <c r="N70" s="2"/>
      <c r="O70" s="2" t="str">
        <f ca="1">IFERROR(__xludf.DUMMYFUNCTION("""COMPUTED_VALUE"""),"(83)98812-4777")</f>
        <v>(83)98812-4777</v>
      </c>
      <c r="P70" s="2"/>
      <c r="Q70" s="50" t="str">
        <f ca="1">IFERROR(__xludf.DUMMYFUNCTION("""COMPUTED_VALUE"""),"23/04/2025")</f>
        <v>23/04/2025</v>
      </c>
      <c r="R70" s="50"/>
      <c r="S70" s="2" t="str">
        <f ca="1">IFERROR(VLOOKUP(A70,IMPORT_DESISTENCIA!$A$2:$Q2273,14,0),"NÃO")</f>
        <v>NÃO</v>
      </c>
      <c r="T70" s="35"/>
    </row>
    <row r="71" spans="1:20" ht="45" customHeight="1" x14ac:dyDescent="0.25">
      <c r="A71" s="2" t="str">
        <f t="shared" ca="1" si="1"/>
        <v>004/2025/976.986.604-00</v>
      </c>
      <c r="B71" s="2" t="str">
        <f ca="1">IFERROR(__xludf.DUMMYFUNCTION("""COMPUTED_VALUE"""),"976.986.604-00")</f>
        <v>976.986.604-00</v>
      </c>
      <c r="C71" s="43" t="str">
        <f ca="1">IFERROR(__xludf.DUMMYFUNCTION("""COMPUTED_VALUE"""),"JOSELENE BARBOSA LINHARES")</f>
        <v>JOSELENE BARBOSA LINHARES</v>
      </c>
      <c r="D71" s="2" t="str">
        <f ca="1">IFERROR(__xludf.DUMMYFUNCTION("""COMPUTED_VALUE"""),"ORIENTADOR")</f>
        <v>ORIENTADOR</v>
      </c>
      <c r="E71" s="2" t="str">
        <f ca="1">IFERROR(__xludf.DUMMYFUNCTION("""COMPUTED_VALUE"""),"004/2025")</f>
        <v>004/2025</v>
      </c>
      <c r="F71" s="2" t="str">
        <f ca="1">IFERROR(__xludf.DUMMYFUNCTION("""COMPUTED_VALUE"""),"AREIA")</f>
        <v>AREIA</v>
      </c>
      <c r="G71" s="11"/>
      <c r="H71" s="11" t="str">
        <f ca="1">IFERROR(__xludf.DUMMYFUNCTION("""COMPUTED_VALUE"""),"ASSENTAMENTO MULHERES EM ACAO")</f>
        <v>ASSENTAMENTO MULHERES EM ACAO</v>
      </c>
      <c r="I71" s="2" t="str">
        <f ca="1">IFERROR(__xludf.DUMMYFUNCTION("""COMPUTED_VALUE"""),"TARDE")</f>
        <v>TARDE</v>
      </c>
      <c r="J71" s="47">
        <f ca="1">IFERROR(__xludf.DUMMYFUNCTION("""COMPUTED_VALUE"""),2)</f>
        <v>2</v>
      </c>
      <c r="K71" s="2"/>
      <c r="L71" s="10"/>
      <c r="M71" s="9" t="str">
        <f ca="1">IFERROR(__xludf.DUMMYFUNCTION("""COMPUTED_VALUE"""),"linharesjoselenejr@gmail.com")</f>
        <v>linharesjoselenejr@gmail.com</v>
      </c>
      <c r="N71" s="2" t="str">
        <f ca="1">IFERROR(__xludf.DUMMYFUNCTION("""COMPUTED_VALUE"""),"joselenerscj@gmail.com")</f>
        <v>joselenerscj@gmail.com</v>
      </c>
      <c r="O71" s="2" t="str">
        <f ca="1">IFERROR(__xludf.DUMMYFUNCTION("""COMPUTED_VALUE"""),"(83)991540770")</f>
        <v>(83)991540770</v>
      </c>
      <c r="P71" s="2"/>
      <c r="Q71" s="50"/>
      <c r="R71" s="50"/>
      <c r="S71" s="2" t="str">
        <f ca="1">IFERROR(VLOOKUP(A71,IMPORT_DESISTENCIA!$A$2:$Q2273,14,0),"NÃO")</f>
        <v>NÃO</v>
      </c>
      <c r="T71" s="35"/>
    </row>
    <row r="72" spans="1:20" ht="45" customHeight="1" x14ac:dyDescent="0.25">
      <c r="A72" s="2" t="str">
        <f t="shared" ca="1" si="1"/>
        <v>004/2025/054.820.574-45</v>
      </c>
      <c r="B72" s="2" t="str">
        <f ca="1">IFERROR(__xludf.DUMMYFUNCTION("""COMPUTED_VALUE"""),"054.820.574-45")</f>
        <v>054.820.574-45</v>
      </c>
      <c r="C72" s="43" t="str">
        <f ca="1">IFERROR(__xludf.DUMMYFUNCTION("""COMPUTED_VALUE"""),"MARCIA KELLY GABRIEL DE OLIVEIRA")</f>
        <v>MARCIA KELLY GABRIEL DE OLIVEIRA</v>
      </c>
      <c r="D72" s="2" t="str">
        <f ca="1">IFERROR(__xludf.DUMMYFUNCTION("""COMPUTED_VALUE"""),"ORIENTADOR")</f>
        <v>ORIENTADOR</v>
      </c>
      <c r="E72" s="2" t="str">
        <f ca="1">IFERROR(__xludf.DUMMYFUNCTION("""COMPUTED_VALUE"""),"004/2025")</f>
        <v>004/2025</v>
      </c>
      <c r="F72" s="2" t="str">
        <f ca="1">IFERROR(__xludf.DUMMYFUNCTION("""COMPUTED_VALUE"""),"BAYEUX")</f>
        <v>BAYEUX</v>
      </c>
      <c r="G72" s="11"/>
      <c r="H72" s="11" t="str">
        <f ca="1">IFERROR(__xludf.DUMMYFUNCTION("""COMPUTED_VALUE"""),"CENTRO DE CONVIVENCIA DOM HELDER")</f>
        <v>CENTRO DE CONVIVENCIA DOM HELDER</v>
      </c>
      <c r="I72" s="2" t="str">
        <f ca="1">IFERROR(__xludf.DUMMYFUNCTION("""COMPUTED_VALUE"""),"TARDE")</f>
        <v>TARDE</v>
      </c>
      <c r="J72" s="47">
        <f ca="1">IFERROR(__xludf.DUMMYFUNCTION("""COMPUTED_VALUE"""),1)</f>
        <v>1</v>
      </c>
      <c r="K72" s="2" t="str">
        <f ca="1">IFERROR(__xludf.DUMMYFUNCTION("""COMPUTED_VALUE"""),"POSSE VALIDADA")</f>
        <v>POSSE VALIDADA</v>
      </c>
      <c r="L72" s="10"/>
      <c r="M72" s="9" t="str">
        <f ca="1">IFERROR(__xludf.DUMMYFUNCTION("""COMPUTED_VALUE"""),"marciakellyoliveira@icloud.com")</f>
        <v>marciakellyoliveira@icloud.com</v>
      </c>
      <c r="N72" s="2"/>
      <c r="O72" s="2" t="str">
        <f ca="1">IFERROR(__xludf.DUMMYFUNCTION("""COMPUTED_VALUE"""),"(83)988299393")</f>
        <v>(83)988299393</v>
      </c>
      <c r="P72" s="2"/>
      <c r="Q72" s="50" t="str">
        <f ca="1">IFERROR(__xludf.DUMMYFUNCTION("""COMPUTED_VALUE"""),"22/04/2025")</f>
        <v>22/04/2025</v>
      </c>
      <c r="R72" s="50"/>
      <c r="S72" s="2" t="str">
        <f ca="1">IFERROR(VLOOKUP(A72,IMPORT_DESISTENCIA!$A$2:$Q2273,14,0),"NÃO")</f>
        <v>NÃO</v>
      </c>
      <c r="T72" s="35"/>
    </row>
    <row r="73" spans="1:20" ht="45" customHeight="1" x14ac:dyDescent="0.25">
      <c r="A73" s="2" t="str">
        <f t="shared" ca="1" si="1"/>
        <v>004/2025/701.044.064-61</v>
      </c>
      <c r="B73" s="2" t="str">
        <f ca="1">IFERROR(__xludf.DUMMYFUNCTION("""COMPUTED_VALUE"""),"701.044.064-61")</f>
        <v>701.044.064-61</v>
      </c>
      <c r="C73" s="43" t="str">
        <f ca="1">IFERROR(__xludf.DUMMYFUNCTION("""COMPUTED_VALUE"""),"GLABELLE MARIA FREIRE PAULINO")</f>
        <v>GLABELLE MARIA FREIRE PAULINO</v>
      </c>
      <c r="D73" s="2" t="str">
        <f ca="1">IFERROR(__xludf.DUMMYFUNCTION("""COMPUTED_VALUE"""),"ORIENTADOR")</f>
        <v>ORIENTADOR</v>
      </c>
      <c r="E73" s="2" t="str">
        <f ca="1">IFERROR(__xludf.DUMMYFUNCTION("""COMPUTED_VALUE"""),"004/2025")</f>
        <v>004/2025</v>
      </c>
      <c r="F73" s="2" t="str">
        <f ca="1">IFERROR(__xludf.DUMMYFUNCTION("""COMPUTED_VALUE"""),"BAYEUX")</f>
        <v>BAYEUX</v>
      </c>
      <c r="G73" s="11"/>
      <c r="H73" s="11" t="str">
        <f ca="1">IFERROR(__xludf.DUMMYFUNCTION("""COMPUTED_VALUE"""),"CENTRO DE CONVIVENCIA DOM HELDER")</f>
        <v>CENTRO DE CONVIVENCIA DOM HELDER</v>
      </c>
      <c r="I73" s="2" t="str">
        <f ca="1">IFERROR(__xludf.DUMMYFUNCTION("""COMPUTED_VALUE"""),"TARDE")</f>
        <v>TARDE</v>
      </c>
      <c r="J73" s="47">
        <f ca="1">IFERROR(__xludf.DUMMYFUNCTION("""COMPUTED_VALUE"""),2)</f>
        <v>2</v>
      </c>
      <c r="K73" s="2"/>
      <c r="L73" s="10"/>
      <c r="M73" s="9" t="str">
        <f ca="1">IFERROR(__xludf.DUMMYFUNCTION("""COMPUTED_VALUE"""),"glabellepaulino.adv@gmail.com")</f>
        <v>glabellepaulino.adv@gmail.com</v>
      </c>
      <c r="N73" s="2"/>
      <c r="O73" s="2" t="str">
        <f ca="1">IFERROR(__xludf.DUMMYFUNCTION("""COMPUTED_VALUE"""),"(83)99642-3088")</f>
        <v>(83)99642-3088</v>
      </c>
      <c r="P73" s="2"/>
      <c r="Q73" s="50"/>
      <c r="R73" s="50"/>
      <c r="S73" s="2" t="str">
        <f ca="1">IFERROR(VLOOKUP(A73,IMPORT_DESISTENCIA!$A$2:$Q2273,14,0),"NÃO")</f>
        <v>NÃO</v>
      </c>
      <c r="T73" s="35"/>
    </row>
    <row r="74" spans="1:20" ht="45" customHeight="1" x14ac:dyDescent="0.25">
      <c r="A74" s="2" t="str">
        <f t="shared" ca="1" si="1"/>
        <v>004/2025/700.207.774-00</v>
      </c>
      <c r="B74" s="2" t="str">
        <f ca="1">IFERROR(__xludf.DUMMYFUNCTION("""COMPUTED_VALUE"""),"700.207.774-00")</f>
        <v>700.207.774-00</v>
      </c>
      <c r="C74" s="43" t="str">
        <f ca="1">IFERROR(__xludf.DUMMYFUNCTION("""COMPUTED_VALUE"""),"WALLACY RODRIGUES FERREIRA")</f>
        <v>WALLACY RODRIGUES FERREIRA</v>
      </c>
      <c r="D74" s="2" t="str">
        <f ca="1">IFERROR(__xludf.DUMMYFUNCTION("""COMPUTED_VALUE"""),"ORIENTADOR")</f>
        <v>ORIENTADOR</v>
      </c>
      <c r="E74" s="2" t="str">
        <f ca="1">IFERROR(__xludf.DUMMYFUNCTION("""COMPUTED_VALUE"""),"004/2025")</f>
        <v>004/2025</v>
      </c>
      <c r="F74" s="2" t="str">
        <f ca="1">IFERROR(__xludf.DUMMYFUNCTION("""COMPUTED_VALUE"""),"BAYEUX")</f>
        <v>BAYEUX</v>
      </c>
      <c r="G74" s="11"/>
      <c r="H74" s="11" t="str">
        <f ca="1">IFERROR(__xludf.DUMMYFUNCTION("""COMPUTED_VALUE"""),"CENTRO DE CONVIVENCIA DOM HELDER")</f>
        <v>CENTRO DE CONVIVENCIA DOM HELDER</v>
      </c>
      <c r="I74" s="2" t="str">
        <f ca="1">IFERROR(__xludf.DUMMYFUNCTION("""COMPUTED_VALUE"""),"TARDE")</f>
        <v>TARDE</v>
      </c>
      <c r="J74" s="47">
        <f ca="1">IFERROR(__xludf.DUMMYFUNCTION("""COMPUTED_VALUE"""),3)</f>
        <v>3</v>
      </c>
      <c r="K74" s="2"/>
      <c r="L74" s="10"/>
      <c r="M74" s="9" t="str">
        <f ca="1">IFERROR(__xludf.DUMMYFUNCTION("""COMPUTED_VALUE"""),"wallacy_r@hotmail.com")</f>
        <v>wallacy_r@hotmail.com</v>
      </c>
      <c r="N74" s="2" t="str">
        <f ca="1">IFERROR(__xludf.DUMMYFUNCTION("""COMPUTED_VALUE"""),"wrjp09@gmail.com")</f>
        <v>wrjp09@gmail.com</v>
      </c>
      <c r="O74" s="2" t="str">
        <f ca="1">IFERROR(__xludf.DUMMYFUNCTION("""COMPUTED_VALUE"""),"(83)99102-4485")</f>
        <v>(83)99102-4485</v>
      </c>
      <c r="P74" s="2" t="str">
        <f ca="1">IFERROR(__xludf.DUMMYFUNCTION("""COMPUTED_VALUE"""),"(83)98619-7846")</f>
        <v>(83)98619-7846</v>
      </c>
      <c r="Q74" s="50"/>
      <c r="R74" s="50"/>
      <c r="S74" s="2" t="str">
        <f ca="1">IFERROR(VLOOKUP(A74,IMPORT_DESISTENCIA!$A$2:$Q2273,14,0),"NÃO")</f>
        <v>NÃO</v>
      </c>
      <c r="T74" s="35"/>
    </row>
    <row r="75" spans="1:20" ht="45" customHeight="1" x14ac:dyDescent="0.25">
      <c r="A75" s="2" t="str">
        <f t="shared" ca="1" si="1"/>
        <v>004/2025/118.939.294-18</v>
      </c>
      <c r="B75" s="2" t="str">
        <f ca="1">IFERROR(__xludf.DUMMYFUNCTION("""COMPUTED_VALUE"""),"118.939.294-18")</f>
        <v>118.939.294-18</v>
      </c>
      <c r="C75" s="43" t="str">
        <f ca="1">IFERROR(__xludf.DUMMYFUNCTION("""COMPUTED_VALUE"""),"AYZA LUZIA VIEIRA LINS")</f>
        <v>AYZA LUZIA VIEIRA LINS</v>
      </c>
      <c r="D75" s="2" t="str">
        <f ca="1">IFERROR(__xludf.DUMMYFUNCTION("""COMPUTED_VALUE"""),"ORIENTADOR")</f>
        <v>ORIENTADOR</v>
      </c>
      <c r="E75" s="2" t="str">
        <f ca="1">IFERROR(__xludf.DUMMYFUNCTION("""COMPUTED_VALUE"""),"004/2025")</f>
        <v>004/2025</v>
      </c>
      <c r="F75" s="2" t="str">
        <f ca="1">IFERROR(__xludf.DUMMYFUNCTION("""COMPUTED_VALUE"""),"BAYEUX")</f>
        <v>BAYEUX</v>
      </c>
      <c r="G75" s="11"/>
      <c r="H75" s="11" t="str">
        <f ca="1">IFERROR(__xludf.DUMMYFUNCTION("""COMPUTED_VALUE"""),"CENTRO DE CONVIVENCIA DOM HELDER")</f>
        <v>CENTRO DE CONVIVENCIA DOM HELDER</v>
      </c>
      <c r="I75" s="2" t="str">
        <f ca="1">IFERROR(__xludf.DUMMYFUNCTION("""COMPUTED_VALUE"""),"TARDE")</f>
        <v>TARDE</v>
      </c>
      <c r="J75" s="47">
        <f ca="1">IFERROR(__xludf.DUMMYFUNCTION("""COMPUTED_VALUE"""),4)</f>
        <v>4</v>
      </c>
      <c r="K75" s="2"/>
      <c r="L75" s="10"/>
      <c r="M75" s="9" t="str">
        <f ca="1">IFERROR(__xludf.DUMMYFUNCTION("""COMPUTED_VALUE"""),"ayza_lins@hotmail.com")</f>
        <v>ayza_lins@hotmail.com</v>
      </c>
      <c r="N75" s="2" t="str">
        <f ca="1">IFERROR(__xludf.DUMMYFUNCTION("""COMPUTED_VALUE"""),"ayza.lins.vieira@gmail.com")</f>
        <v>ayza.lins.vieira@gmail.com</v>
      </c>
      <c r="O75" s="2" t="str">
        <f ca="1">IFERROR(__xludf.DUMMYFUNCTION("""COMPUTED_VALUE"""),"(83)99366-0880")</f>
        <v>(83)99366-0880</v>
      </c>
      <c r="P75" s="2" t="str">
        <f ca="1">IFERROR(__xludf.DUMMYFUNCTION("""COMPUTED_VALUE"""),"(83)99366-0880")</f>
        <v>(83)99366-0880</v>
      </c>
      <c r="Q75" s="50"/>
      <c r="R75" s="50"/>
      <c r="S75" s="2" t="str">
        <f ca="1">IFERROR(VLOOKUP(A75,IMPORT_DESISTENCIA!$A$2:$Q2273,14,0),"NÃO")</f>
        <v>NÃO</v>
      </c>
      <c r="T75" s="35"/>
    </row>
    <row r="76" spans="1:20" ht="45" customHeight="1" x14ac:dyDescent="0.25">
      <c r="A76" s="2" t="str">
        <f t="shared" ca="1" si="1"/>
        <v>004/2025/122.022.484-71</v>
      </c>
      <c r="B76" s="2" t="str">
        <f ca="1">IFERROR(__xludf.DUMMYFUNCTION("""COMPUTED_VALUE"""),"122.022.484-71")</f>
        <v>122.022.484-71</v>
      </c>
      <c r="C76" s="43" t="str">
        <f ca="1">IFERROR(__xludf.DUMMYFUNCTION("""COMPUTED_VALUE"""),"JESSICA ANABELLE SILVA")</f>
        <v>JESSICA ANABELLE SILVA</v>
      </c>
      <c r="D76" s="2" t="str">
        <f ca="1">IFERROR(__xludf.DUMMYFUNCTION("""COMPUTED_VALUE"""),"ORIENTADOR")</f>
        <v>ORIENTADOR</v>
      </c>
      <c r="E76" s="2" t="str">
        <f ca="1">IFERROR(__xludf.DUMMYFUNCTION("""COMPUTED_VALUE"""),"004/2025")</f>
        <v>004/2025</v>
      </c>
      <c r="F76" s="2" t="str">
        <f ca="1">IFERROR(__xludf.DUMMYFUNCTION("""COMPUTED_VALUE"""),"BAYEUX")</f>
        <v>BAYEUX</v>
      </c>
      <c r="G76" s="11"/>
      <c r="H76" s="11" t="str">
        <f ca="1">IFERROR(__xludf.DUMMYFUNCTION("""COMPUTED_VALUE"""),"CENTRO DE CONVIVENCIA DOM HELDER")</f>
        <v>CENTRO DE CONVIVENCIA DOM HELDER</v>
      </c>
      <c r="I76" s="2" t="str">
        <f ca="1">IFERROR(__xludf.DUMMYFUNCTION("""COMPUTED_VALUE"""),"TARDE")</f>
        <v>TARDE</v>
      </c>
      <c r="J76" s="47">
        <f ca="1">IFERROR(__xludf.DUMMYFUNCTION("""COMPUTED_VALUE"""),5)</f>
        <v>5</v>
      </c>
      <c r="K76" s="2"/>
      <c r="L76" s="10"/>
      <c r="M76" s="9" t="str">
        <f ca="1">IFERROR(__xludf.DUMMYFUNCTION("""COMPUTED_VALUE"""),"jessica.anabelle1@gmail.com")</f>
        <v>jessica.anabelle1@gmail.com</v>
      </c>
      <c r="N76" s="2" t="str">
        <f ca="1">IFERROR(__xludf.DUMMYFUNCTION("""COMPUTED_VALUE"""),"psi.anabelljessica@outlook.com")</f>
        <v>psi.anabelljessica@outlook.com</v>
      </c>
      <c r="O76" s="2" t="str">
        <f ca="1">IFERROR(__xludf.DUMMYFUNCTION("""COMPUTED_VALUE"""),"(83)98792-9777")</f>
        <v>(83)98792-9777</v>
      </c>
      <c r="P76" s="2" t="str">
        <f ca="1">IFERROR(__xludf.DUMMYFUNCTION("""COMPUTED_VALUE"""),"(83)988962795")</f>
        <v>(83)988962795</v>
      </c>
      <c r="Q76" s="50"/>
      <c r="R76" s="50"/>
      <c r="S76" s="2" t="str">
        <f ca="1">IFERROR(VLOOKUP(A76,IMPORT_DESISTENCIA!$A$2:$Q2273,14,0),"NÃO")</f>
        <v>NÃO</v>
      </c>
      <c r="T76" s="35"/>
    </row>
    <row r="77" spans="1:20" ht="45" customHeight="1" x14ac:dyDescent="0.25">
      <c r="A77" s="2" t="str">
        <f t="shared" ca="1" si="1"/>
        <v>004/2025/001.248.244-71</v>
      </c>
      <c r="B77" s="2" t="str">
        <f ca="1">IFERROR(__xludf.DUMMYFUNCTION("""COMPUTED_VALUE"""),"001.248.244-71")</f>
        <v>001.248.244-71</v>
      </c>
      <c r="C77" s="43" t="str">
        <f ca="1">IFERROR(__xludf.DUMMYFUNCTION("""COMPUTED_VALUE"""),"ANDREA ANDRADE SILVA")</f>
        <v>ANDREA ANDRADE SILVA</v>
      </c>
      <c r="D77" s="2" t="str">
        <f ca="1">IFERROR(__xludf.DUMMYFUNCTION("""COMPUTED_VALUE"""),"ORIENTADOR")</f>
        <v>ORIENTADOR</v>
      </c>
      <c r="E77" s="2" t="str">
        <f ca="1">IFERROR(__xludf.DUMMYFUNCTION("""COMPUTED_VALUE"""),"004/2025")</f>
        <v>004/2025</v>
      </c>
      <c r="F77" s="2" t="str">
        <f ca="1">IFERROR(__xludf.DUMMYFUNCTION("""COMPUTED_VALUE"""),"CAJAZEIRAS")</f>
        <v>CAJAZEIRAS</v>
      </c>
      <c r="G77" s="11"/>
      <c r="H77" s="11" t="str">
        <f ca="1">IFERROR(__xludf.DUMMYFUNCTION("""COMPUTED_VALUE"""),"CADEIA PUBLICA FEMININA DE CAJAZEIRAS")</f>
        <v>CADEIA PUBLICA FEMININA DE CAJAZEIRAS</v>
      </c>
      <c r="I77" s="2" t="str">
        <f ca="1">IFERROR(__xludf.DUMMYFUNCTION("""COMPUTED_VALUE"""),"TARDE")</f>
        <v>TARDE</v>
      </c>
      <c r="J77" s="47">
        <f ca="1">IFERROR(__xludf.DUMMYFUNCTION("""COMPUTED_VALUE"""),1)</f>
        <v>1</v>
      </c>
      <c r="K77" s="2" t="str">
        <f ca="1">IFERROR(__xludf.DUMMYFUNCTION("""COMPUTED_VALUE"""),"POSSE VALIDADA")</f>
        <v>POSSE VALIDADA</v>
      </c>
      <c r="L77" s="10"/>
      <c r="M77" s="9" t="str">
        <f ca="1">IFERROR(__xludf.DUMMYFUNCTION("""COMPUTED_VALUE"""),"andreaandradetrabalho7@gmail.com")</f>
        <v>andreaandradetrabalho7@gmail.com</v>
      </c>
      <c r="N77" s="2"/>
      <c r="O77" s="2" t="str">
        <f ca="1">IFERROR(__xludf.DUMMYFUNCTION("""COMPUTED_VALUE"""),"(83)99403-9059")</f>
        <v>(83)99403-9059</v>
      </c>
      <c r="P77" s="2"/>
      <c r="Q77" s="50" t="str">
        <f ca="1">IFERROR(__xludf.DUMMYFUNCTION("""COMPUTED_VALUE"""),"19/04/2025")</f>
        <v>19/04/2025</v>
      </c>
      <c r="R77" s="50"/>
      <c r="S77" s="2" t="str">
        <f ca="1">IFERROR(VLOOKUP(A77,IMPORT_DESISTENCIA!$A$2:$Q2273,14,0),"NÃO")</f>
        <v>NÃO</v>
      </c>
      <c r="T77" s="35"/>
    </row>
    <row r="78" spans="1:20" ht="45" customHeight="1" x14ac:dyDescent="0.25">
      <c r="A78" s="2" t="str">
        <f t="shared" ca="1" si="1"/>
        <v>004/2025/060.918.044-48</v>
      </c>
      <c r="B78" s="2" t="str">
        <f ca="1">IFERROR(__xludf.DUMMYFUNCTION("""COMPUTED_VALUE"""),"060.918.044-48")</f>
        <v>060.918.044-48</v>
      </c>
      <c r="C78" s="43" t="str">
        <f ca="1">IFERROR(__xludf.DUMMYFUNCTION("""COMPUTED_VALUE"""),"DAPHNNE BERNADETY FARIAS ROLIM")</f>
        <v>DAPHNNE BERNADETY FARIAS ROLIM</v>
      </c>
      <c r="D78" s="2" t="str">
        <f ca="1">IFERROR(__xludf.DUMMYFUNCTION("""COMPUTED_VALUE"""),"ORIENTADOR")</f>
        <v>ORIENTADOR</v>
      </c>
      <c r="E78" s="2" t="str">
        <f ca="1">IFERROR(__xludf.DUMMYFUNCTION("""COMPUTED_VALUE"""),"004/2025")</f>
        <v>004/2025</v>
      </c>
      <c r="F78" s="2" t="str">
        <f ca="1">IFERROR(__xludf.DUMMYFUNCTION("""COMPUTED_VALUE"""),"CAJAZEIRAS")</f>
        <v>CAJAZEIRAS</v>
      </c>
      <c r="G78" s="11"/>
      <c r="H78" s="11" t="str">
        <f ca="1">IFERROR(__xludf.DUMMYFUNCTION("""COMPUTED_VALUE"""),"CADEIA PUBLICA FEMININA DE CAJAZEIRAS")</f>
        <v>CADEIA PUBLICA FEMININA DE CAJAZEIRAS</v>
      </c>
      <c r="I78" s="2" t="str">
        <f ca="1">IFERROR(__xludf.DUMMYFUNCTION("""COMPUTED_VALUE"""),"TARDE")</f>
        <v>TARDE</v>
      </c>
      <c r="J78" s="47">
        <f ca="1">IFERROR(__xludf.DUMMYFUNCTION("""COMPUTED_VALUE"""),2)</f>
        <v>2</v>
      </c>
      <c r="K78" s="2"/>
      <c r="L78" s="10"/>
      <c r="M78" s="9" t="str">
        <f ca="1">IFERROR(__xludf.DUMMYFUNCTION("""COMPUTED_VALUE"""),"daynha.farias@gmail.com")</f>
        <v>daynha.farias@gmail.com</v>
      </c>
      <c r="N78" s="2"/>
      <c r="O78" s="2" t="str">
        <f ca="1">IFERROR(__xludf.DUMMYFUNCTION("""COMPUTED_VALUE"""),"(83)991060418")</f>
        <v>(83)991060418</v>
      </c>
      <c r="P78" s="2"/>
      <c r="Q78" s="50"/>
      <c r="R78" s="50"/>
      <c r="S78" s="2" t="str">
        <f ca="1">IFERROR(VLOOKUP(A78,IMPORT_DESISTENCIA!$A$2:$Q2273,14,0),"NÃO")</f>
        <v>NÃO</v>
      </c>
      <c r="T78" s="35"/>
    </row>
    <row r="79" spans="1:20" ht="45" customHeight="1" x14ac:dyDescent="0.25">
      <c r="A79" s="2" t="str">
        <f t="shared" ca="1" si="1"/>
        <v>004/2025/108.422.494-19</v>
      </c>
      <c r="B79" s="2" t="str">
        <f ca="1">IFERROR(__xludf.DUMMYFUNCTION("""COMPUTED_VALUE"""),"108.422.494-19")</f>
        <v>108.422.494-19</v>
      </c>
      <c r="C79" s="43" t="str">
        <f ca="1">IFERROR(__xludf.DUMMYFUNCTION("""COMPUTED_VALUE"""),"KERCIA VIEIRA DE LIMA")</f>
        <v>KERCIA VIEIRA DE LIMA</v>
      </c>
      <c r="D79" s="2" t="str">
        <f ca="1">IFERROR(__xludf.DUMMYFUNCTION("""COMPUTED_VALUE"""),"ORIENTADOR")</f>
        <v>ORIENTADOR</v>
      </c>
      <c r="E79" s="2" t="str">
        <f ca="1">IFERROR(__xludf.DUMMYFUNCTION("""COMPUTED_VALUE"""),"004/2025")</f>
        <v>004/2025</v>
      </c>
      <c r="F79" s="2" t="str">
        <f ca="1">IFERROR(__xludf.DUMMYFUNCTION("""COMPUTED_VALUE"""),"CAJAZEIRAS")</f>
        <v>CAJAZEIRAS</v>
      </c>
      <c r="G79" s="11"/>
      <c r="H79" s="11" t="str">
        <f ca="1">IFERROR(__xludf.DUMMYFUNCTION("""COMPUTED_VALUE"""),"CADEIA PUBLICA FEMININA DE CAJAZEIRAS")</f>
        <v>CADEIA PUBLICA FEMININA DE CAJAZEIRAS</v>
      </c>
      <c r="I79" s="2" t="str">
        <f ca="1">IFERROR(__xludf.DUMMYFUNCTION("""COMPUTED_VALUE"""),"TARDE")</f>
        <v>TARDE</v>
      </c>
      <c r="J79" s="47">
        <f ca="1">IFERROR(__xludf.DUMMYFUNCTION("""COMPUTED_VALUE"""),3)</f>
        <v>3</v>
      </c>
      <c r="K79" s="2"/>
      <c r="L79" s="10"/>
      <c r="M79" s="9" t="str">
        <f ca="1">IFERROR(__xludf.DUMMYFUNCTION("""COMPUTED_VALUE"""),"advkercialima@gmail.com")</f>
        <v>advkercialima@gmail.com</v>
      </c>
      <c r="N79" s="2" t="str">
        <f ca="1">IFERROR(__xludf.DUMMYFUNCTION("""COMPUTED_VALUE"""),"irla200.im@hotmail.com")</f>
        <v>irla200.im@hotmail.com</v>
      </c>
      <c r="O79" s="2" t="str">
        <f ca="1">IFERROR(__xludf.DUMMYFUNCTION("""COMPUTED_VALUE"""),"(83)99831-2334")</f>
        <v>(83)99831-2334</v>
      </c>
      <c r="P79" s="2" t="str">
        <f ca="1">IFERROR(__xludf.DUMMYFUNCTION("""COMPUTED_VALUE"""),"(83)99641-0732")</f>
        <v>(83)99641-0732</v>
      </c>
      <c r="Q79" s="50"/>
      <c r="R79" s="50"/>
      <c r="S79" s="2" t="str">
        <f ca="1">IFERROR(VLOOKUP(A79,IMPORT_DESISTENCIA!$A$2:$Q2273,14,0),"NÃO")</f>
        <v>NÃO</v>
      </c>
      <c r="T79" s="35"/>
    </row>
    <row r="80" spans="1:20" ht="45" customHeight="1" x14ac:dyDescent="0.25">
      <c r="A80" s="2" t="str">
        <f t="shared" ca="1" si="1"/>
        <v>004/2025/703.368.254-98</v>
      </c>
      <c r="B80" s="2" t="str">
        <f ca="1">IFERROR(__xludf.DUMMYFUNCTION("""COMPUTED_VALUE"""),"703.368.254-98")</f>
        <v>703.368.254-98</v>
      </c>
      <c r="C80" s="43" t="str">
        <f ca="1">IFERROR(__xludf.DUMMYFUNCTION("""COMPUTED_VALUE"""),"KALLINY SARAIVA LACERDA")</f>
        <v>KALLINY SARAIVA LACERDA</v>
      </c>
      <c r="D80" s="2" t="str">
        <f ca="1">IFERROR(__xludf.DUMMYFUNCTION("""COMPUTED_VALUE"""),"ORIENTADOR")</f>
        <v>ORIENTADOR</v>
      </c>
      <c r="E80" s="2" t="str">
        <f ca="1">IFERROR(__xludf.DUMMYFUNCTION("""COMPUTED_VALUE"""),"004/2025")</f>
        <v>004/2025</v>
      </c>
      <c r="F80" s="2" t="str">
        <f ca="1">IFERROR(__xludf.DUMMYFUNCTION("""COMPUTED_VALUE"""),"CAJAZEIRAS")</f>
        <v>CAJAZEIRAS</v>
      </c>
      <c r="G80" s="11"/>
      <c r="H80" s="11" t="str">
        <f ca="1">IFERROR(__xludf.DUMMYFUNCTION("""COMPUTED_VALUE"""),"CADEIA PUBLICA FEMININA DE CAJAZEIRAS")</f>
        <v>CADEIA PUBLICA FEMININA DE CAJAZEIRAS</v>
      </c>
      <c r="I80" s="2" t="str">
        <f ca="1">IFERROR(__xludf.DUMMYFUNCTION("""COMPUTED_VALUE"""),"TARDE")</f>
        <v>TARDE</v>
      </c>
      <c r="J80" s="47">
        <f ca="1">IFERROR(__xludf.DUMMYFUNCTION("""COMPUTED_VALUE"""),4)</f>
        <v>4</v>
      </c>
      <c r="K80" s="2"/>
      <c r="L80" s="10"/>
      <c r="M80" s="9" t="str">
        <f ca="1">IFERROR(__xludf.DUMMYFUNCTION("""COMPUTED_VALUE"""),"kallinylacerda17@gmail.com")</f>
        <v>kallinylacerda17@gmail.com</v>
      </c>
      <c r="N80" s="2" t="str">
        <f ca="1">IFERROR(__xludf.DUMMYFUNCTION("""COMPUTED_VALUE"""),"kalliny.saraiva@estudante.ufcg.edu.br")</f>
        <v>kalliny.saraiva@estudante.ufcg.edu.br</v>
      </c>
      <c r="O80" s="2" t="str">
        <f ca="1">IFERROR(__xludf.DUMMYFUNCTION("""COMPUTED_VALUE"""),"(83)996525646")</f>
        <v>(83)996525646</v>
      </c>
      <c r="P80" s="2"/>
      <c r="Q80" s="50"/>
      <c r="R80" s="50"/>
      <c r="S80" s="2" t="str">
        <f ca="1">IFERROR(VLOOKUP(A80,IMPORT_DESISTENCIA!$A$2:$Q2273,14,0),"NÃO")</f>
        <v>NÃO</v>
      </c>
      <c r="T80" s="35"/>
    </row>
    <row r="81" spans="1:20" ht="45" customHeight="1" x14ac:dyDescent="0.25">
      <c r="A81" s="2" t="str">
        <f t="shared" ca="1" si="1"/>
        <v>004/2025/053.261.585-90</v>
      </c>
      <c r="B81" s="2" t="str">
        <f ca="1">IFERROR(__xludf.DUMMYFUNCTION("""COMPUTED_VALUE"""),"053.261.585-90")</f>
        <v>053.261.585-90</v>
      </c>
      <c r="C81" s="43" t="str">
        <f ca="1">IFERROR(__xludf.DUMMYFUNCTION("""COMPUTED_VALUE"""),"PRYSCILLA DA SILVA CABRAL")</f>
        <v>PRYSCILLA DA SILVA CABRAL</v>
      </c>
      <c r="D81" s="2" t="str">
        <f ca="1">IFERROR(__xludf.DUMMYFUNCTION("""COMPUTED_VALUE"""),"ORIENTADOR")</f>
        <v>ORIENTADOR</v>
      </c>
      <c r="E81" s="2" t="str">
        <f ca="1">IFERROR(__xludf.DUMMYFUNCTION("""COMPUTED_VALUE"""),"004/2025")</f>
        <v>004/2025</v>
      </c>
      <c r="F81" s="2" t="str">
        <f ca="1">IFERROR(__xludf.DUMMYFUNCTION("""COMPUTED_VALUE"""),"CAJAZEIRAS")</f>
        <v>CAJAZEIRAS</v>
      </c>
      <c r="G81" s="11"/>
      <c r="H81" s="11" t="str">
        <f ca="1">IFERROR(__xludf.DUMMYFUNCTION("""COMPUTED_VALUE"""),"CADEIA PUBLICA FEMININA DE CAJAZEIRAS")</f>
        <v>CADEIA PUBLICA FEMININA DE CAJAZEIRAS</v>
      </c>
      <c r="I81" s="2" t="str">
        <f ca="1">IFERROR(__xludf.DUMMYFUNCTION("""COMPUTED_VALUE"""),"TARDE")</f>
        <v>TARDE</v>
      </c>
      <c r="J81" s="47">
        <f ca="1">IFERROR(__xludf.DUMMYFUNCTION("""COMPUTED_VALUE"""),5)</f>
        <v>5</v>
      </c>
      <c r="K81" s="2"/>
      <c r="L81" s="10"/>
      <c r="M81" s="9" t="str">
        <f ca="1">IFERROR(__xludf.DUMMYFUNCTION("""COMPUTED_VALUE"""),"pryscillasilvac@gmail.com")</f>
        <v>pryscillasilvac@gmail.com</v>
      </c>
      <c r="N81" s="2"/>
      <c r="O81" s="2" t="str">
        <f ca="1">IFERROR(__xludf.DUMMYFUNCTION("""COMPUTED_VALUE"""),"(83)98172-9357")</f>
        <v>(83)98172-9357</v>
      </c>
      <c r="P81" s="2" t="str">
        <f ca="1">IFERROR(__xludf.DUMMYFUNCTION("""COMPUTED_VALUE"""),"(83)98132-1099")</f>
        <v>(83)98132-1099</v>
      </c>
      <c r="Q81" s="50"/>
      <c r="R81" s="50"/>
      <c r="S81" s="2" t="str">
        <f ca="1">IFERROR(VLOOKUP(A81,IMPORT_DESISTENCIA!$A$2:$Q2273,14,0),"NÃO")</f>
        <v>NÃO</v>
      </c>
      <c r="T81" s="35"/>
    </row>
    <row r="82" spans="1:20" ht="45" customHeight="1" x14ac:dyDescent="0.25">
      <c r="A82" s="2" t="str">
        <f t="shared" ca="1" si="1"/>
        <v>004/2025/088.780.204-43</v>
      </c>
      <c r="B82" s="2" t="str">
        <f ca="1">IFERROR(__xludf.DUMMYFUNCTION("""COMPUTED_VALUE"""),"088.780.204-43")</f>
        <v>088.780.204-43</v>
      </c>
      <c r="C82" s="43" t="str">
        <f ca="1">IFERROR(__xludf.DUMMYFUNCTION("""COMPUTED_VALUE"""),"ISIS HELLEN ALVES MACEDO")</f>
        <v>ISIS HELLEN ALVES MACEDO</v>
      </c>
      <c r="D82" s="2" t="str">
        <f ca="1">IFERROR(__xludf.DUMMYFUNCTION("""COMPUTED_VALUE"""),"ORIENTADOR")</f>
        <v>ORIENTADOR</v>
      </c>
      <c r="E82" s="2" t="str">
        <f ca="1">IFERROR(__xludf.DUMMYFUNCTION("""COMPUTED_VALUE"""),"004/2025")</f>
        <v>004/2025</v>
      </c>
      <c r="F82" s="2" t="str">
        <f ca="1">IFERROR(__xludf.DUMMYFUNCTION("""COMPUTED_VALUE"""),"CAJAZEIRAS")</f>
        <v>CAJAZEIRAS</v>
      </c>
      <c r="G82" s="11"/>
      <c r="H82" s="11" t="str">
        <f ca="1">IFERROR(__xludf.DUMMYFUNCTION("""COMPUTED_VALUE"""),"CADEIA PUBLICA FEMININA DE CAJAZEIRAS")</f>
        <v>CADEIA PUBLICA FEMININA DE CAJAZEIRAS</v>
      </c>
      <c r="I82" s="2" t="str">
        <f ca="1">IFERROR(__xludf.DUMMYFUNCTION("""COMPUTED_VALUE"""),"TARDE")</f>
        <v>TARDE</v>
      </c>
      <c r="J82" s="47">
        <f ca="1">IFERROR(__xludf.DUMMYFUNCTION("""COMPUTED_VALUE"""),6)</f>
        <v>6</v>
      </c>
      <c r="K82" s="2"/>
      <c r="L82" s="10"/>
      <c r="M82" s="9" t="str">
        <f ca="1">IFERROR(__xludf.DUMMYFUNCTION("""COMPUTED_VALUE"""),"isis_hellen@hotmail.com")</f>
        <v>isis_hellen@hotmail.com</v>
      </c>
      <c r="N82" s="2" t="str">
        <f ca="1">IFERROR(__xludf.DUMMYFUNCTION("""COMPUTED_VALUE"""),"isishellen1@gmail.com")</f>
        <v>isishellen1@gmail.com</v>
      </c>
      <c r="O82" s="2" t="str">
        <f ca="1">IFERROR(__xludf.DUMMYFUNCTION("""COMPUTED_VALUE"""),"(83)99158-5734")</f>
        <v>(83)99158-5734</v>
      </c>
      <c r="P82" s="2"/>
      <c r="Q82" s="50"/>
      <c r="R82" s="50"/>
      <c r="S82" s="2" t="str">
        <f ca="1">IFERROR(VLOOKUP(A82,IMPORT_DESISTENCIA!$A$2:$Q2273,14,0),"NÃO")</f>
        <v>NÃO</v>
      </c>
      <c r="T82" s="35"/>
    </row>
    <row r="83" spans="1:20" ht="45" customHeight="1" x14ac:dyDescent="0.25">
      <c r="A83" s="2" t="str">
        <f t="shared" ca="1" si="1"/>
        <v>004/2025/089.025.914-33</v>
      </c>
      <c r="B83" s="2" t="str">
        <f ca="1">IFERROR(__xludf.DUMMYFUNCTION("""COMPUTED_VALUE"""),"089.025.914-33")</f>
        <v>089.025.914-33</v>
      </c>
      <c r="C83" s="43" t="str">
        <f ca="1">IFERROR(__xludf.DUMMYFUNCTION("""COMPUTED_VALUE"""),"EMANUELLE GALDINO DE OLIVEIRA MOURA")</f>
        <v>EMANUELLE GALDINO DE OLIVEIRA MOURA</v>
      </c>
      <c r="D83" s="2" t="str">
        <f ca="1">IFERROR(__xludf.DUMMYFUNCTION("""COMPUTED_VALUE"""),"ORIENTADOR")</f>
        <v>ORIENTADOR</v>
      </c>
      <c r="E83" s="2" t="str">
        <f ca="1">IFERROR(__xludf.DUMMYFUNCTION("""COMPUTED_VALUE"""),"004/2025")</f>
        <v>004/2025</v>
      </c>
      <c r="F83" s="2" t="str">
        <f ca="1">IFERROR(__xludf.DUMMYFUNCTION("""COMPUTED_VALUE"""),"CAMPINA GRANDE")</f>
        <v>CAMPINA GRANDE</v>
      </c>
      <c r="G83" s="11"/>
      <c r="H83" s="11" t="str">
        <f ca="1">IFERROR(__xludf.DUMMYFUNCTION("""COMPUTED_VALUE"""),"PRESIDIO REGIONAL FEMININO DE CAMPINA GRANDE")</f>
        <v>PRESIDIO REGIONAL FEMININO DE CAMPINA GRANDE</v>
      </c>
      <c r="I83" s="2" t="str">
        <f ca="1">IFERROR(__xludf.DUMMYFUNCTION("""COMPUTED_VALUE"""),"TARDE")</f>
        <v>TARDE</v>
      </c>
      <c r="J83" s="47">
        <f ca="1">IFERROR(__xludf.DUMMYFUNCTION("""COMPUTED_VALUE"""),1)</f>
        <v>1</v>
      </c>
      <c r="K83" s="2"/>
      <c r="L83" s="10"/>
      <c r="M83" s="9" t="str">
        <f ca="1">IFERROR(__xludf.DUMMYFUNCTION("""COMPUTED_VALUE"""),"emanuelle_galdino@outlook.com")</f>
        <v>emanuelle_galdino@outlook.com</v>
      </c>
      <c r="N83" s="2" t="str">
        <f ca="1">IFERROR(__xludf.DUMMYFUNCTION("""COMPUTED_VALUE"""),"asemanuellegaldino@gmail.com")</f>
        <v>asemanuellegaldino@gmail.com</v>
      </c>
      <c r="O83" s="2" t="str">
        <f ca="1">IFERROR(__xludf.DUMMYFUNCTION("""COMPUTED_VALUE"""),"(83)98873-6648")</f>
        <v>(83)98873-6648</v>
      </c>
      <c r="P83" s="2" t="str">
        <f ca="1">IFERROR(__xludf.DUMMYFUNCTION("""COMPUTED_VALUE"""),"(83)99635-1995")</f>
        <v>(83)99635-1995</v>
      </c>
      <c r="Q83" s="50"/>
      <c r="R83" s="50"/>
      <c r="S83" s="2" t="str">
        <f ca="1">IFERROR(VLOOKUP(A83,IMPORT_DESISTENCIA!$A$2:$Q2273,14,0),"NÃO")</f>
        <v>NÃO</v>
      </c>
      <c r="T83" s="35"/>
    </row>
    <row r="84" spans="1:20" ht="45" customHeight="1" x14ac:dyDescent="0.25">
      <c r="A84" s="2" t="str">
        <f t="shared" ca="1" si="1"/>
        <v>004/2025/101.607.064-08</v>
      </c>
      <c r="B84" s="2" t="str">
        <f ca="1">IFERROR(__xludf.DUMMYFUNCTION("""COMPUTED_VALUE"""),"101.607.064-08")</f>
        <v>101.607.064-08</v>
      </c>
      <c r="C84" s="43" t="str">
        <f ca="1">IFERROR(__xludf.DUMMYFUNCTION("""COMPUTED_VALUE"""),"SUENIA DOS SANTOS VIANA")</f>
        <v>SUENIA DOS SANTOS VIANA</v>
      </c>
      <c r="D84" s="2" t="str">
        <f ca="1">IFERROR(__xludf.DUMMYFUNCTION("""COMPUTED_VALUE"""),"ORIENTADOR")</f>
        <v>ORIENTADOR</v>
      </c>
      <c r="E84" s="2" t="str">
        <f ca="1">IFERROR(__xludf.DUMMYFUNCTION("""COMPUTED_VALUE"""),"004/2025")</f>
        <v>004/2025</v>
      </c>
      <c r="F84" s="2" t="str">
        <f ca="1">IFERROR(__xludf.DUMMYFUNCTION("""COMPUTED_VALUE"""),"CAMPINA GRANDE")</f>
        <v>CAMPINA GRANDE</v>
      </c>
      <c r="G84" s="11"/>
      <c r="H84" s="11" t="str">
        <f ca="1">IFERROR(__xludf.DUMMYFUNCTION("""COMPUTED_VALUE"""),"PRESIDIO REGIONAL FEMININO DE CAMPINA GRANDE")</f>
        <v>PRESIDIO REGIONAL FEMININO DE CAMPINA GRANDE</v>
      </c>
      <c r="I84" s="2" t="str">
        <f ca="1">IFERROR(__xludf.DUMMYFUNCTION("""COMPUTED_VALUE"""),"TARDE")</f>
        <v>TARDE</v>
      </c>
      <c r="J84" s="47">
        <f ca="1">IFERROR(__xludf.DUMMYFUNCTION("""COMPUTED_VALUE"""),2)</f>
        <v>2</v>
      </c>
      <c r="K84" s="2"/>
      <c r="L84" s="10"/>
      <c r="M84" s="9" t="str">
        <f ca="1">IFERROR(__xludf.DUMMYFUNCTION("""COMPUTED_VALUE"""),"sueniaamaro2@gmail.com")</f>
        <v>sueniaamaro2@gmail.com</v>
      </c>
      <c r="N84" s="2"/>
      <c r="O84" s="2" t="str">
        <f ca="1">IFERROR(__xludf.DUMMYFUNCTION("""COMPUTED_VALUE"""),"(83)99315-7864")</f>
        <v>(83)99315-7864</v>
      </c>
      <c r="P84" s="2"/>
      <c r="Q84" s="50"/>
      <c r="R84" s="50"/>
      <c r="S84" s="2" t="str">
        <f ca="1">IFERROR(VLOOKUP(A84,IMPORT_DESISTENCIA!$A$2:$Q2273,14,0),"NÃO")</f>
        <v>NÃO</v>
      </c>
      <c r="T84" s="35"/>
    </row>
    <row r="85" spans="1:20" ht="45" customHeight="1" x14ac:dyDescent="0.25">
      <c r="A85" s="2" t="str">
        <f t="shared" ca="1" si="1"/>
        <v>004/2025/107.344.604-22</v>
      </c>
      <c r="B85" s="2" t="str">
        <f ca="1">IFERROR(__xludf.DUMMYFUNCTION("""COMPUTED_VALUE"""),"107.344.604-22")</f>
        <v>107.344.604-22</v>
      </c>
      <c r="C85" s="43" t="str">
        <f ca="1">IFERROR(__xludf.DUMMYFUNCTION("""COMPUTED_VALUE"""),"NAJILA LARISSA MARTINS PATRICIO")</f>
        <v>NAJILA LARISSA MARTINS PATRICIO</v>
      </c>
      <c r="D85" s="2" t="str">
        <f ca="1">IFERROR(__xludf.DUMMYFUNCTION("""COMPUTED_VALUE"""),"ORIENTADOR")</f>
        <v>ORIENTADOR</v>
      </c>
      <c r="E85" s="2" t="str">
        <f ca="1">IFERROR(__xludf.DUMMYFUNCTION("""COMPUTED_VALUE"""),"004/2025")</f>
        <v>004/2025</v>
      </c>
      <c r="F85" s="2" t="str">
        <f ca="1">IFERROR(__xludf.DUMMYFUNCTION("""COMPUTED_VALUE"""),"CAMPINA GRANDE")</f>
        <v>CAMPINA GRANDE</v>
      </c>
      <c r="G85" s="11"/>
      <c r="H85" s="11" t="str">
        <f ca="1">IFERROR(__xludf.DUMMYFUNCTION("""COMPUTED_VALUE"""),"PRESIDIO REGIONAL FEMININO DE CAMPINA GRANDE")</f>
        <v>PRESIDIO REGIONAL FEMININO DE CAMPINA GRANDE</v>
      </c>
      <c r="I85" s="2" t="str">
        <f ca="1">IFERROR(__xludf.DUMMYFUNCTION("""COMPUTED_VALUE"""),"TARDE")</f>
        <v>TARDE</v>
      </c>
      <c r="J85" s="47">
        <f ca="1">IFERROR(__xludf.DUMMYFUNCTION("""COMPUTED_VALUE"""),3)</f>
        <v>3</v>
      </c>
      <c r="K85" s="2"/>
      <c r="L85" s="10"/>
      <c r="M85" s="9" t="str">
        <f ca="1">IFERROR(__xludf.DUMMYFUNCTION("""COMPUTED_VALUE"""),"najilalarissam@gmail.com")</f>
        <v>najilalarissam@gmail.com</v>
      </c>
      <c r="N85" s="2" t="str">
        <f ca="1">IFERROR(__xludf.DUMMYFUNCTION("""COMPUTED_VALUE"""),"najilalarissam@outlook.com")</f>
        <v>najilalarissam@outlook.com</v>
      </c>
      <c r="O85" s="2" t="str">
        <f ca="1">IFERROR(__xludf.DUMMYFUNCTION("""COMPUTED_VALUE"""),"(83)99679-4638")</f>
        <v>(83)99679-4638</v>
      </c>
      <c r="P85" s="2" t="str">
        <f ca="1">IFERROR(__xludf.DUMMYFUNCTION("""COMPUTED_VALUE"""),"(83)98690-7939")</f>
        <v>(83)98690-7939</v>
      </c>
      <c r="Q85" s="50"/>
      <c r="R85" s="50"/>
      <c r="S85" s="2" t="str">
        <f ca="1">IFERROR(VLOOKUP(A85,IMPORT_DESISTENCIA!$A$2:$Q2273,14,0),"NÃO")</f>
        <v>NÃO</v>
      </c>
      <c r="T85" s="35"/>
    </row>
    <row r="86" spans="1:20" ht="45" customHeight="1" x14ac:dyDescent="0.25">
      <c r="A86" s="2" t="str">
        <f t="shared" ca="1" si="1"/>
        <v>004/2025/047.722.384-25</v>
      </c>
      <c r="B86" s="2" t="str">
        <f ca="1">IFERROR(__xludf.DUMMYFUNCTION("""COMPUTED_VALUE"""),"047.722.384-25")</f>
        <v>047.722.384-25</v>
      </c>
      <c r="C86" s="43" t="str">
        <f ca="1">IFERROR(__xludf.DUMMYFUNCTION("""COMPUTED_VALUE"""),"JUSSARA MILENA DE FRANÇA EUZEBIO")</f>
        <v>JUSSARA MILENA DE FRANÇA EUZEBIO</v>
      </c>
      <c r="D86" s="2" t="str">
        <f ca="1">IFERROR(__xludf.DUMMYFUNCTION("""COMPUTED_VALUE"""),"ORIENTADOR")</f>
        <v>ORIENTADOR</v>
      </c>
      <c r="E86" s="2" t="str">
        <f ca="1">IFERROR(__xludf.DUMMYFUNCTION("""COMPUTED_VALUE"""),"004/2025")</f>
        <v>004/2025</v>
      </c>
      <c r="F86" s="2" t="str">
        <f ca="1">IFERROR(__xludf.DUMMYFUNCTION("""COMPUTED_VALUE"""),"CAMPINA GRANDE")</f>
        <v>CAMPINA GRANDE</v>
      </c>
      <c r="G86" s="11"/>
      <c r="H86" s="11" t="str">
        <f ca="1">IFERROR(__xludf.DUMMYFUNCTION("""COMPUTED_VALUE"""),"PRESIDIO REGIONAL FEMININO DE CAMPINA GRANDE")</f>
        <v>PRESIDIO REGIONAL FEMININO DE CAMPINA GRANDE</v>
      </c>
      <c r="I86" s="2" t="str">
        <f ca="1">IFERROR(__xludf.DUMMYFUNCTION("""COMPUTED_VALUE"""),"TARDE")</f>
        <v>TARDE</v>
      </c>
      <c r="J86" s="47">
        <f ca="1">IFERROR(__xludf.DUMMYFUNCTION("""COMPUTED_VALUE"""),4)</f>
        <v>4</v>
      </c>
      <c r="K86" s="2"/>
      <c r="L86" s="10"/>
      <c r="M86" s="9" t="str">
        <f ca="1">IFERROR(__xludf.DUMMYFUNCTION("""COMPUTED_VALUE"""),"jussaraeuzebio39@gmail.com")</f>
        <v>jussaraeuzebio39@gmail.com</v>
      </c>
      <c r="N86" s="2" t="str">
        <f ca="1">IFERROR(__xludf.DUMMYFUNCTION("""COMPUTED_VALUE"""),"jussara_milena@hotmail.com")</f>
        <v>jussara_milena@hotmail.com</v>
      </c>
      <c r="O86" s="2" t="str">
        <f ca="1">IFERROR(__xludf.DUMMYFUNCTION("""COMPUTED_VALUE"""),"(83)98750-5106")</f>
        <v>(83)98750-5106</v>
      </c>
      <c r="P86" s="2"/>
      <c r="Q86" s="50"/>
      <c r="R86" s="50"/>
      <c r="S86" s="2" t="str">
        <f ca="1">IFERROR(VLOOKUP(A86,IMPORT_DESISTENCIA!$A$2:$Q2273,14,0),"NÃO")</f>
        <v>NÃO</v>
      </c>
      <c r="T86" s="35"/>
    </row>
    <row r="87" spans="1:20" ht="45" customHeight="1" x14ac:dyDescent="0.25">
      <c r="A87" s="2" t="str">
        <f t="shared" ca="1" si="1"/>
        <v>004/2025/047.359.634-21</v>
      </c>
      <c r="B87" s="2" t="str">
        <f ca="1">IFERROR(__xludf.DUMMYFUNCTION("""COMPUTED_VALUE"""),"047.359.634-21")</f>
        <v>047.359.634-21</v>
      </c>
      <c r="C87" s="43" t="str">
        <f ca="1">IFERROR(__xludf.DUMMYFUNCTION("""COMPUTED_VALUE"""),"LUCIANA BASILIO DA SILVA")</f>
        <v>LUCIANA BASILIO DA SILVA</v>
      </c>
      <c r="D87" s="2" t="str">
        <f ca="1">IFERROR(__xludf.DUMMYFUNCTION("""COMPUTED_VALUE"""),"ORIENTADOR")</f>
        <v>ORIENTADOR</v>
      </c>
      <c r="E87" s="2" t="str">
        <f ca="1">IFERROR(__xludf.DUMMYFUNCTION("""COMPUTED_VALUE"""),"004/2025")</f>
        <v>004/2025</v>
      </c>
      <c r="F87" s="2" t="str">
        <f ca="1">IFERROR(__xludf.DUMMYFUNCTION("""COMPUTED_VALUE"""),"CAMPINA GRANDE")</f>
        <v>CAMPINA GRANDE</v>
      </c>
      <c r="G87" s="11"/>
      <c r="H87" s="11" t="str">
        <f ca="1">IFERROR(__xludf.DUMMYFUNCTION("""COMPUTED_VALUE"""),"PRESIDIO REGIONAL FEMININO DE CAMPINA GRANDE")</f>
        <v>PRESIDIO REGIONAL FEMININO DE CAMPINA GRANDE</v>
      </c>
      <c r="I87" s="2" t="str">
        <f ca="1">IFERROR(__xludf.DUMMYFUNCTION("""COMPUTED_VALUE"""),"TARDE")</f>
        <v>TARDE</v>
      </c>
      <c r="J87" s="47">
        <f ca="1">IFERROR(__xludf.DUMMYFUNCTION("""COMPUTED_VALUE"""),5)</f>
        <v>5</v>
      </c>
      <c r="K87" s="2"/>
      <c r="L87" s="10"/>
      <c r="M87" s="9" t="str">
        <f ca="1">IFERROR(__xludf.DUMMYFUNCTION("""COMPUTED_VALUE"""),"lucianabasilio23@hotmail.com")</f>
        <v>lucianabasilio23@hotmail.com</v>
      </c>
      <c r="N87" s="2"/>
      <c r="O87" s="2" t="str">
        <f ca="1">IFERROR(__xludf.DUMMYFUNCTION("""COMPUTED_VALUE"""),"(83)988166319")</f>
        <v>(83)988166319</v>
      </c>
      <c r="P87" s="2" t="str">
        <f ca="1">IFERROR(__xludf.DUMMYFUNCTION("""COMPUTED_VALUE"""),"(83)988308256")</f>
        <v>(83)988308256</v>
      </c>
      <c r="Q87" s="50"/>
      <c r="R87" s="50"/>
      <c r="S87" s="2" t="str">
        <f ca="1">IFERROR(VLOOKUP(A87,IMPORT_DESISTENCIA!$A$2:$Q2273,14,0),"NÃO")</f>
        <v>NÃO</v>
      </c>
      <c r="T87" s="35"/>
    </row>
    <row r="88" spans="1:20" ht="45" customHeight="1" x14ac:dyDescent="0.25">
      <c r="A88" s="2" t="str">
        <f t="shared" ca="1" si="1"/>
        <v>004/2025/020.236.964-10</v>
      </c>
      <c r="B88" s="2" t="str">
        <f ca="1">IFERROR(__xludf.DUMMYFUNCTION("""COMPUTED_VALUE"""),"020.236.964-10")</f>
        <v>020.236.964-10</v>
      </c>
      <c r="C88" s="43" t="str">
        <f ca="1">IFERROR(__xludf.DUMMYFUNCTION("""COMPUTED_VALUE"""),"UELMA ALEXANDRE DO NASCIMENTO")</f>
        <v>UELMA ALEXANDRE DO NASCIMENTO</v>
      </c>
      <c r="D88" s="2" t="str">
        <f ca="1">IFERROR(__xludf.DUMMYFUNCTION("""COMPUTED_VALUE"""),"ORIENTADOR")</f>
        <v>ORIENTADOR</v>
      </c>
      <c r="E88" s="2" t="str">
        <f ca="1">IFERROR(__xludf.DUMMYFUNCTION("""COMPUTED_VALUE"""),"004/2025")</f>
        <v>004/2025</v>
      </c>
      <c r="F88" s="2" t="str">
        <f ca="1">IFERROR(__xludf.DUMMYFUNCTION("""COMPUTED_VALUE"""),"CAMPINA GRANDE")</f>
        <v>CAMPINA GRANDE</v>
      </c>
      <c r="G88" s="11"/>
      <c r="H88" s="11" t="str">
        <f ca="1">IFERROR(__xludf.DUMMYFUNCTION("""COMPUTED_VALUE"""),"PRESIDIO REGIONAL FEMININO DE CAMPINA GRANDE")</f>
        <v>PRESIDIO REGIONAL FEMININO DE CAMPINA GRANDE</v>
      </c>
      <c r="I88" s="2" t="str">
        <f ca="1">IFERROR(__xludf.DUMMYFUNCTION("""COMPUTED_VALUE"""),"TARDE")</f>
        <v>TARDE</v>
      </c>
      <c r="J88" s="47">
        <f ca="1">IFERROR(__xludf.DUMMYFUNCTION("""COMPUTED_VALUE"""),6)</f>
        <v>6</v>
      </c>
      <c r="K88" s="2"/>
      <c r="L88" s="10"/>
      <c r="M88" s="9" t="str">
        <f ca="1">IFERROR(__xludf.DUMMYFUNCTION("""COMPUTED_VALUE"""),"uelma.asocial@gmail.com")</f>
        <v>uelma.asocial@gmail.com</v>
      </c>
      <c r="N88" s="2" t="str">
        <f ca="1">IFERROR(__xludf.DUMMYFUNCTION("""COMPUTED_VALUE"""),"uel.nascimento29@gmail.com")</f>
        <v>uel.nascimento29@gmail.com</v>
      </c>
      <c r="O88" s="2" t="str">
        <f ca="1">IFERROR(__xludf.DUMMYFUNCTION("""COMPUTED_VALUE"""),"(83)99814-1707")</f>
        <v>(83)99814-1707</v>
      </c>
      <c r="P88" s="2"/>
      <c r="Q88" s="50"/>
      <c r="R88" s="50"/>
      <c r="S88" s="2" t="str">
        <f ca="1">IFERROR(VLOOKUP(A88,IMPORT_DESISTENCIA!$A$2:$Q2273,14,0),"NÃO")</f>
        <v>NÃO</v>
      </c>
      <c r="T88" s="35"/>
    </row>
    <row r="89" spans="1:20" ht="45" customHeight="1" x14ac:dyDescent="0.25">
      <c r="A89" s="2" t="str">
        <f t="shared" ca="1" si="1"/>
        <v>004/2025/028.508.104-79</v>
      </c>
      <c r="B89" s="2" t="str">
        <f ca="1">IFERROR(__xludf.DUMMYFUNCTION("""COMPUTED_VALUE"""),"028.508.104-79")</f>
        <v>028.508.104-79</v>
      </c>
      <c r="C89" s="43" t="str">
        <f ca="1">IFERROR(__xludf.DUMMYFUNCTION("""COMPUTED_VALUE"""),"VANESSA BELMIRO DOS SANTOS MEIRA")</f>
        <v>VANESSA BELMIRO DOS SANTOS MEIRA</v>
      </c>
      <c r="D89" s="2" t="str">
        <f ca="1">IFERROR(__xludf.DUMMYFUNCTION("""COMPUTED_VALUE"""),"ORIENTADOR")</f>
        <v>ORIENTADOR</v>
      </c>
      <c r="E89" s="2" t="str">
        <f ca="1">IFERROR(__xludf.DUMMYFUNCTION("""COMPUTED_VALUE"""),"004/2025")</f>
        <v>004/2025</v>
      </c>
      <c r="F89" s="2" t="str">
        <f ca="1">IFERROR(__xludf.DUMMYFUNCTION("""COMPUTED_VALUE"""),"CAMPINA GRANDE")</f>
        <v>CAMPINA GRANDE</v>
      </c>
      <c r="G89" s="11"/>
      <c r="H89" s="11" t="str">
        <f ca="1">IFERROR(__xludf.DUMMYFUNCTION("""COMPUTED_VALUE"""),"PRESIDIO REGIONAL FEMININO DE CAMPINA GRANDE")</f>
        <v>PRESIDIO REGIONAL FEMININO DE CAMPINA GRANDE</v>
      </c>
      <c r="I89" s="2" t="str">
        <f ca="1">IFERROR(__xludf.DUMMYFUNCTION("""COMPUTED_VALUE"""),"TARDE")</f>
        <v>TARDE</v>
      </c>
      <c r="J89" s="47">
        <f ca="1">IFERROR(__xludf.DUMMYFUNCTION("""COMPUTED_VALUE"""),7)</f>
        <v>7</v>
      </c>
      <c r="K89" s="2"/>
      <c r="L89" s="10"/>
      <c r="M89" s="9" t="str">
        <f ca="1">IFERROR(__xludf.DUMMYFUNCTION("""COMPUTED_VALUE"""),"esvazieamente@gmail.com")</f>
        <v>esvazieamente@gmail.com</v>
      </c>
      <c r="N89" s="2" t="str">
        <f ca="1">IFERROR(__xludf.DUMMYFUNCTION("""COMPUTED_VALUE"""),"vanessabelmiromeira@hotmail.com")</f>
        <v>vanessabelmiromeira@hotmail.com</v>
      </c>
      <c r="O89" s="2" t="str">
        <f ca="1">IFERROR(__xludf.DUMMYFUNCTION("""COMPUTED_VALUE"""),"(83)996752436")</f>
        <v>(83)996752436</v>
      </c>
      <c r="P89" s="2" t="str">
        <f ca="1">IFERROR(__xludf.DUMMYFUNCTION("""COMPUTED_VALUE"""),"(83)999493738")</f>
        <v>(83)999493738</v>
      </c>
      <c r="Q89" s="50"/>
      <c r="R89" s="50"/>
      <c r="S89" s="2" t="str">
        <f ca="1">IFERROR(VLOOKUP(A89,IMPORT_DESISTENCIA!$A$2:$Q2273,14,0),"NÃO")</f>
        <v>NÃO</v>
      </c>
      <c r="T89" s="35"/>
    </row>
    <row r="90" spans="1:20" ht="45" customHeight="1" x14ac:dyDescent="0.25">
      <c r="A90" s="2" t="str">
        <f t="shared" ca="1" si="1"/>
        <v>004/2025/108.961.834-40</v>
      </c>
      <c r="B90" s="2" t="str">
        <f ca="1">IFERROR(__xludf.DUMMYFUNCTION("""COMPUTED_VALUE"""),"108.961.834-40")</f>
        <v>108.961.834-40</v>
      </c>
      <c r="C90" s="43" t="str">
        <f ca="1">IFERROR(__xludf.DUMMYFUNCTION("""COMPUTED_VALUE"""),"IRIS VIEIRA DE FRANÇA")</f>
        <v>IRIS VIEIRA DE FRANÇA</v>
      </c>
      <c r="D90" s="2" t="str">
        <f ca="1">IFERROR(__xludf.DUMMYFUNCTION("""COMPUTED_VALUE"""),"ORIENTADOR")</f>
        <v>ORIENTADOR</v>
      </c>
      <c r="E90" s="2" t="str">
        <f ca="1">IFERROR(__xludf.DUMMYFUNCTION("""COMPUTED_VALUE"""),"004/2025")</f>
        <v>004/2025</v>
      </c>
      <c r="F90" s="2" t="str">
        <f ca="1">IFERROR(__xludf.DUMMYFUNCTION("""COMPUTED_VALUE"""),"CAMPINA GRANDE")</f>
        <v>CAMPINA GRANDE</v>
      </c>
      <c r="G90" s="11"/>
      <c r="H90" s="11" t="str">
        <f ca="1">IFERROR(__xludf.DUMMYFUNCTION("""COMPUTED_VALUE"""),"PRESIDIO REGIONAL FEMININO DE CAMPINA GRANDE")</f>
        <v>PRESIDIO REGIONAL FEMININO DE CAMPINA GRANDE</v>
      </c>
      <c r="I90" s="2" t="str">
        <f ca="1">IFERROR(__xludf.DUMMYFUNCTION("""COMPUTED_VALUE"""),"TARDE")</f>
        <v>TARDE</v>
      </c>
      <c r="J90" s="47">
        <f ca="1">IFERROR(__xludf.DUMMYFUNCTION("""COMPUTED_VALUE"""),8)</f>
        <v>8</v>
      </c>
      <c r="K90" s="2"/>
      <c r="L90" s="10"/>
      <c r="M90" s="9" t="str">
        <f ca="1">IFERROR(__xludf.DUMMYFUNCTION("""COMPUTED_VALUE"""),"psi.irisvfranca@gmail.com")</f>
        <v>psi.irisvfranca@gmail.com</v>
      </c>
      <c r="N90" s="2" t="str">
        <f ca="1">IFERROR(__xludf.DUMMYFUNCTION("""COMPUTED_VALUE"""),"irisvfranca@gmail.com")</f>
        <v>irisvfranca@gmail.com</v>
      </c>
      <c r="O90" s="2" t="str">
        <f ca="1">IFERROR(__xludf.DUMMYFUNCTION("""COMPUTED_VALUE"""),"(83)988107218")</f>
        <v>(83)988107218</v>
      </c>
      <c r="P90" s="2" t="str">
        <f ca="1">IFERROR(__xludf.DUMMYFUNCTION("""COMPUTED_VALUE"""),"(83)988554336")</f>
        <v>(83)988554336</v>
      </c>
      <c r="Q90" s="50"/>
      <c r="R90" s="50"/>
      <c r="S90" s="2" t="str">
        <f ca="1">IFERROR(VLOOKUP(A90,IMPORT_DESISTENCIA!$A$2:$Q2273,14,0),"NÃO")</f>
        <v>NÃO</v>
      </c>
      <c r="T90" s="35"/>
    </row>
    <row r="91" spans="1:20" ht="45" customHeight="1" x14ac:dyDescent="0.25">
      <c r="A91" s="2" t="str">
        <f t="shared" ca="1" si="1"/>
        <v>004/2025/017.065.664-09</v>
      </c>
      <c r="B91" s="2" t="str">
        <f ca="1">IFERROR(__xludf.DUMMYFUNCTION("""COMPUTED_VALUE"""),"017.065.664-09")</f>
        <v>017.065.664-09</v>
      </c>
      <c r="C91" s="43" t="str">
        <f ca="1">IFERROR(__xludf.DUMMYFUNCTION("""COMPUTED_VALUE"""),"THIAGO GOMES COSTA")</f>
        <v>THIAGO GOMES COSTA</v>
      </c>
      <c r="D91" s="2" t="str">
        <f ca="1">IFERROR(__xludf.DUMMYFUNCTION("""COMPUTED_VALUE"""),"ORIENTADOR")</f>
        <v>ORIENTADOR</v>
      </c>
      <c r="E91" s="2" t="str">
        <f ca="1">IFERROR(__xludf.DUMMYFUNCTION("""COMPUTED_VALUE"""),"004/2025")</f>
        <v>004/2025</v>
      </c>
      <c r="F91" s="2" t="str">
        <f ca="1">IFERROR(__xludf.DUMMYFUNCTION("""COMPUTED_VALUE"""),"CAMPINA GRANDE")</f>
        <v>CAMPINA GRANDE</v>
      </c>
      <c r="G91" s="11"/>
      <c r="H91" s="11" t="str">
        <f ca="1">IFERROR(__xludf.DUMMYFUNCTION("""COMPUTED_VALUE"""),"PRESIDIO REGIONAL FEMININO DE CAMPINA GRANDE")</f>
        <v>PRESIDIO REGIONAL FEMININO DE CAMPINA GRANDE</v>
      </c>
      <c r="I91" s="2" t="str">
        <f ca="1">IFERROR(__xludf.DUMMYFUNCTION("""COMPUTED_VALUE"""),"TARDE")</f>
        <v>TARDE</v>
      </c>
      <c r="J91" s="47">
        <f ca="1">IFERROR(__xludf.DUMMYFUNCTION("""COMPUTED_VALUE"""),9)</f>
        <v>9</v>
      </c>
      <c r="K91" s="2"/>
      <c r="L91" s="10"/>
      <c r="M91" s="9" t="str">
        <f ca="1">IFERROR(__xludf.DUMMYFUNCTION("""COMPUTED_VALUE"""),"thiagomesadvocacia@outlook.com")</f>
        <v>thiagomesadvocacia@outlook.com</v>
      </c>
      <c r="N91" s="2" t="str">
        <f ca="1">IFERROR(__xludf.DUMMYFUNCTION("""COMPUTED_VALUE"""),"thiagowitheer@gmail.com")</f>
        <v>thiagowitheer@gmail.com</v>
      </c>
      <c r="O91" s="2" t="str">
        <f ca="1">IFERROR(__xludf.DUMMYFUNCTION("""COMPUTED_VALUE"""),"(83)988554336")</f>
        <v>(83)988554336</v>
      </c>
      <c r="P91" s="2" t="str">
        <f ca="1">IFERROR(__xludf.DUMMYFUNCTION("""COMPUTED_VALUE"""),"(83)988107218")</f>
        <v>(83)988107218</v>
      </c>
      <c r="Q91" s="50"/>
      <c r="R91" s="50"/>
      <c r="S91" s="2" t="str">
        <f ca="1">IFERROR(VLOOKUP(A91,IMPORT_DESISTENCIA!$A$2:$Q2273,14,0),"NÃO")</f>
        <v>NÃO</v>
      </c>
      <c r="T91" s="35"/>
    </row>
    <row r="92" spans="1:20" ht="45" customHeight="1" x14ac:dyDescent="0.25">
      <c r="A92" s="2" t="str">
        <f t="shared" ca="1" si="1"/>
        <v>004/2025/040.551.964-82</v>
      </c>
      <c r="B92" s="2" t="str">
        <f ca="1">IFERROR(__xludf.DUMMYFUNCTION("""COMPUTED_VALUE"""),"040.551.964-82")</f>
        <v>040.551.964-82</v>
      </c>
      <c r="C92" s="43" t="str">
        <f ca="1">IFERROR(__xludf.DUMMYFUNCTION("""COMPUTED_VALUE"""),"GLAUCIA BARBOSA DE NEGREIROS")</f>
        <v>GLAUCIA BARBOSA DE NEGREIROS</v>
      </c>
      <c r="D92" s="2" t="str">
        <f ca="1">IFERROR(__xludf.DUMMYFUNCTION("""COMPUTED_VALUE"""),"ORIENTADOR")</f>
        <v>ORIENTADOR</v>
      </c>
      <c r="E92" s="2" t="str">
        <f ca="1">IFERROR(__xludf.DUMMYFUNCTION("""COMPUTED_VALUE"""),"004/2025")</f>
        <v>004/2025</v>
      </c>
      <c r="F92" s="2" t="str">
        <f ca="1">IFERROR(__xludf.DUMMYFUNCTION("""COMPUTED_VALUE"""),"CAMPINA GRANDE")</f>
        <v>CAMPINA GRANDE</v>
      </c>
      <c r="G92" s="11"/>
      <c r="H92" s="11" t="str">
        <f ca="1">IFERROR(__xludf.DUMMYFUNCTION("""COMPUTED_VALUE"""),"PRESIDIO REGIONAL FEMININO DE CAMPINA GRANDE")</f>
        <v>PRESIDIO REGIONAL FEMININO DE CAMPINA GRANDE</v>
      </c>
      <c r="I92" s="2" t="str">
        <f ca="1">IFERROR(__xludf.DUMMYFUNCTION("""COMPUTED_VALUE"""),"TARDE")</f>
        <v>TARDE</v>
      </c>
      <c r="J92" s="47">
        <f ca="1">IFERROR(__xludf.DUMMYFUNCTION("""COMPUTED_VALUE"""),10)</f>
        <v>10</v>
      </c>
      <c r="K92" s="2"/>
      <c r="L92" s="10"/>
      <c r="M92" s="9" t="str">
        <f ca="1">IFERROR(__xludf.DUMMYFUNCTION("""COMPUTED_VALUE"""),"glaucynegreiros@gmail.com")</f>
        <v>glaucynegreiros@gmail.com</v>
      </c>
      <c r="N92" s="2" t="str">
        <f ca="1">IFERROR(__xludf.DUMMYFUNCTION("""COMPUTED_VALUE"""),"glaucynegreiros@gmail.com")</f>
        <v>glaucynegreiros@gmail.com</v>
      </c>
      <c r="O92" s="2" t="str">
        <f ca="1">IFERROR(__xludf.DUMMYFUNCTION("""COMPUTED_VALUE"""),"(83)991285609")</f>
        <v>(83)991285609</v>
      </c>
      <c r="P92" s="2" t="str">
        <f ca="1">IFERROR(__xludf.DUMMYFUNCTION("""COMPUTED_VALUE"""),"(83)982136268")</f>
        <v>(83)982136268</v>
      </c>
      <c r="Q92" s="50"/>
      <c r="R92" s="50"/>
      <c r="S92" s="2" t="str">
        <f ca="1">IFERROR(VLOOKUP(A92,IMPORT_DESISTENCIA!$A$2:$Q2273,14,0),"NÃO")</f>
        <v>NÃO</v>
      </c>
      <c r="T92" s="35"/>
    </row>
    <row r="93" spans="1:20" ht="45" customHeight="1" x14ac:dyDescent="0.25">
      <c r="A93" s="2" t="str">
        <f t="shared" ca="1" si="1"/>
        <v>004/2025/009.421.024-10</v>
      </c>
      <c r="B93" s="2" t="str">
        <f ca="1">IFERROR(__xludf.DUMMYFUNCTION("""COMPUTED_VALUE"""),"009.421.024-10")</f>
        <v>009.421.024-10</v>
      </c>
      <c r="C93" s="43" t="str">
        <f ca="1">IFERROR(__xludf.DUMMYFUNCTION("""COMPUTED_VALUE"""),"AROLDO DO NASCIMENTO CABRAL FILHO")</f>
        <v>AROLDO DO NASCIMENTO CABRAL FILHO</v>
      </c>
      <c r="D93" s="2" t="str">
        <f ca="1">IFERROR(__xludf.DUMMYFUNCTION("""COMPUTED_VALUE"""),"ORIENTADOR")</f>
        <v>ORIENTADOR</v>
      </c>
      <c r="E93" s="2" t="str">
        <f ca="1">IFERROR(__xludf.DUMMYFUNCTION("""COMPUTED_VALUE"""),"004/2025")</f>
        <v>004/2025</v>
      </c>
      <c r="F93" s="2" t="str">
        <f ca="1">IFERROR(__xludf.DUMMYFUNCTION("""COMPUTED_VALUE"""),"CAMPINA GRANDE")</f>
        <v>CAMPINA GRANDE</v>
      </c>
      <c r="G93" s="11"/>
      <c r="H93" s="11" t="str">
        <f ca="1">IFERROR(__xludf.DUMMYFUNCTION("""COMPUTED_VALUE"""),"PRESIDIO REGIONAL FEMININO DE CAMPINA GRANDE")</f>
        <v>PRESIDIO REGIONAL FEMININO DE CAMPINA GRANDE</v>
      </c>
      <c r="I93" s="2" t="str">
        <f ca="1">IFERROR(__xludf.DUMMYFUNCTION("""COMPUTED_VALUE"""),"TARDE")</f>
        <v>TARDE</v>
      </c>
      <c r="J93" s="47">
        <f ca="1">IFERROR(__xludf.DUMMYFUNCTION("""COMPUTED_VALUE"""),11)</f>
        <v>11</v>
      </c>
      <c r="K93" s="2"/>
      <c r="L93" s="10"/>
      <c r="M93" s="9" t="str">
        <f ca="1">IFERROR(__xludf.DUMMYFUNCTION("""COMPUTED_VALUE"""),"aroldocabralfiho@gmail.com")</f>
        <v>aroldocabralfiho@gmail.com</v>
      </c>
      <c r="N93" s="2" t="str">
        <f ca="1">IFERROR(__xludf.DUMMYFUNCTION("""COMPUTED_VALUE"""),"aroldocabralfilho@hotmail.com")</f>
        <v>aroldocabralfilho@hotmail.com</v>
      </c>
      <c r="O93" s="2" t="str">
        <f ca="1">IFERROR(__xludf.DUMMYFUNCTION("""COMPUTED_VALUE"""),"(83)98724-7081")</f>
        <v>(83)98724-7081</v>
      </c>
      <c r="P93" s="2" t="str">
        <f ca="1">IFERROR(__xludf.DUMMYFUNCTION("""COMPUTED_VALUE"""),"(83)98822-2158")</f>
        <v>(83)98822-2158</v>
      </c>
      <c r="Q93" s="50"/>
      <c r="R93" s="50"/>
      <c r="S93" s="2" t="str">
        <f ca="1">IFERROR(VLOOKUP(A93,IMPORT_DESISTENCIA!$A$2:$Q2273,14,0),"NÃO")</f>
        <v>NÃO</v>
      </c>
      <c r="T93" s="35"/>
    </row>
    <row r="94" spans="1:20" ht="45" customHeight="1" x14ac:dyDescent="0.25">
      <c r="A94" s="2" t="str">
        <f t="shared" ca="1" si="1"/>
        <v>004/2025/107.633.024-06</v>
      </c>
      <c r="B94" s="2" t="str">
        <f ca="1">IFERROR(__xludf.DUMMYFUNCTION("""COMPUTED_VALUE"""),"107.633.024-06")</f>
        <v>107.633.024-06</v>
      </c>
      <c r="C94" s="43" t="str">
        <f ca="1">IFERROR(__xludf.DUMMYFUNCTION("""COMPUTED_VALUE"""),"MARINA DE OLIVEIRA MENDONÇA")</f>
        <v>MARINA DE OLIVEIRA MENDONÇA</v>
      </c>
      <c r="D94" s="2" t="str">
        <f ca="1">IFERROR(__xludf.DUMMYFUNCTION("""COMPUTED_VALUE"""),"ORIENTADOR")</f>
        <v>ORIENTADOR</v>
      </c>
      <c r="E94" s="2" t="str">
        <f ca="1">IFERROR(__xludf.DUMMYFUNCTION("""COMPUTED_VALUE"""),"004/2025")</f>
        <v>004/2025</v>
      </c>
      <c r="F94" s="2" t="str">
        <f ca="1">IFERROR(__xludf.DUMMYFUNCTION("""COMPUTED_VALUE"""),"CAMPINA GRANDE")</f>
        <v>CAMPINA GRANDE</v>
      </c>
      <c r="G94" s="11"/>
      <c r="H94" s="11" t="str">
        <f ca="1">IFERROR(__xludf.DUMMYFUNCTION("""COMPUTED_VALUE"""),"PRESIDIO REGIONAL FEMININO DE CAMPINA GRANDE")</f>
        <v>PRESIDIO REGIONAL FEMININO DE CAMPINA GRANDE</v>
      </c>
      <c r="I94" s="2" t="str">
        <f ca="1">IFERROR(__xludf.DUMMYFUNCTION("""COMPUTED_VALUE"""),"TARDE")</f>
        <v>TARDE</v>
      </c>
      <c r="J94" s="47">
        <f ca="1">IFERROR(__xludf.DUMMYFUNCTION("""COMPUTED_VALUE"""),12)</f>
        <v>12</v>
      </c>
      <c r="K94" s="2"/>
      <c r="L94" s="10"/>
      <c r="M94" s="9" t="str">
        <f ca="1">IFERROR(__xludf.DUMMYFUNCTION("""COMPUTED_VALUE"""),"marina.omendonca1@gmail.com")</f>
        <v>marina.omendonca1@gmail.com</v>
      </c>
      <c r="N94" s="2" t="str">
        <f ca="1">IFERROR(__xludf.DUMMYFUNCTION("""COMPUTED_VALUE"""),"marina.23sj2@gmail.com")</f>
        <v>marina.23sj2@gmail.com</v>
      </c>
      <c r="O94" s="2" t="str">
        <f ca="1">IFERROR(__xludf.DUMMYFUNCTION("""COMPUTED_VALUE"""),"(83)99120-9528")</f>
        <v>(83)99120-9528</v>
      </c>
      <c r="P94" s="2" t="str">
        <f ca="1">IFERROR(__xludf.DUMMYFUNCTION("""COMPUTED_VALUE"""),"(83)99807-4839")</f>
        <v>(83)99807-4839</v>
      </c>
      <c r="Q94" s="50"/>
      <c r="R94" s="50"/>
      <c r="S94" s="2" t="str">
        <f ca="1">IFERROR(VLOOKUP(A94,IMPORT_DESISTENCIA!$A$2:$Q2273,14,0),"NÃO")</f>
        <v>NÃO</v>
      </c>
      <c r="T94" s="35"/>
    </row>
    <row r="95" spans="1:20" ht="45" customHeight="1" x14ac:dyDescent="0.25">
      <c r="A95" s="2" t="str">
        <f t="shared" ca="1" si="1"/>
        <v>004/2025/044.898.544-63</v>
      </c>
      <c r="B95" s="2" t="str">
        <f ca="1">IFERROR(__xludf.DUMMYFUNCTION("""COMPUTED_VALUE"""),"044.898.544-63")</f>
        <v>044.898.544-63</v>
      </c>
      <c r="C95" s="43" t="str">
        <f ca="1">IFERROR(__xludf.DUMMYFUNCTION("""COMPUTED_VALUE"""),"MARIA NAYARA DA SILVA NEGREIROS CONGO")</f>
        <v>MARIA NAYARA DA SILVA NEGREIROS CONGO</v>
      </c>
      <c r="D95" s="2" t="str">
        <f ca="1">IFERROR(__xludf.DUMMYFUNCTION("""COMPUTED_VALUE"""),"ORIENTADOR")</f>
        <v>ORIENTADOR</v>
      </c>
      <c r="E95" s="2" t="str">
        <f ca="1">IFERROR(__xludf.DUMMYFUNCTION("""COMPUTED_VALUE"""),"004/2025")</f>
        <v>004/2025</v>
      </c>
      <c r="F95" s="2" t="str">
        <f ca="1">IFERROR(__xludf.DUMMYFUNCTION("""COMPUTED_VALUE"""),"CAMPINA GRANDE")</f>
        <v>CAMPINA GRANDE</v>
      </c>
      <c r="G95" s="11"/>
      <c r="H95" s="11" t="str">
        <f ca="1">IFERROR(__xludf.DUMMYFUNCTION("""COMPUTED_VALUE"""),"PRESIDIO REGIONAL FEMININO DE CAMPINA GRANDE")</f>
        <v>PRESIDIO REGIONAL FEMININO DE CAMPINA GRANDE</v>
      </c>
      <c r="I95" s="2" t="str">
        <f ca="1">IFERROR(__xludf.DUMMYFUNCTION("""COMPUTED_VALUE"""),"TARDE")</f>
        <v>TARDE</v>
      </c>
      <c r="J95" s="47">
        <f ca="1">IFERROR(__xludf.DUMMYFUNCTION("""COMPUTED_VALUE"""),13)</f>
        <v>13</v>
      </c>
      <c r="K95" s="2"/>
      <c r="L95" s="10"/>
      <c r="M95" s="9" t="str">
        <f ca="1">IFERROR(__xludf.DUMMYFUNCTION("""COMPUTED_VALUE"""),"congonegreiros@gmail.com")</f>
        <v>congonegreiros@gmail.com</v>
      </c>
      <c r="N95" s="2" t="str">
        <f ca="1">IFERROR(__xludf.DUMMYFUNCTION("""COMPUTED_VALUE"""),"negreirosnayara27@gmail.com")</f>
        <v>negreirosnayara27@gmail.com</v>
      </c>
      <c r="O95" s="2" t="str">
        <f ca="1">IFERROR(__xludf.DUMMYFUNCTION("""COMPUTED_VALUE"""),"(83)99623-8998")</f>
        <v>(83)99623-8998</v>
      </c>
      <c r="P95" s="2" t="str">
        <f ca="1">IFERROR(__xludf.DUMMYFUNCTION("""COMPUTED_VALUE"""),"(83)98747-1377")</f>
        <v>(83)98747-1377</v>
      </c>
      <c r="Q95" s="50"/>
      <c r="R95" s="50"/>
      <c r="S95" s="2" t="str">
        <f ca="1">IFERROR(VLOOKUP(A95,IMPORT_DESISTENCIA!$A$2:$Q2273,14,0),"NÃO")</f>
        <v>NÃO</v>
      </c>
      <c r="T95" s="35"/>
    </row>
    <row r="96" spans="1:20" ht="45" customHeight="1" x14ac:dyDescent="0.25">
      <c r="A96" s="2" t="str">
        <f t="shared" ca="1" si="1"/>
        <v>004/2025/012.916.504-23</v>
      </c>
      <c r="B96" s="2" t="str">
        <f ca="1">IFERROR(__xludf.DUMMYFUNCTION("""COMPUTED_VALUE"""),"012.916.504-23")</f>
        <v>012.916.504-23</v>
      </c>
      <c r="C96" s="43" t="str">
        <f ca="1">IFERROR(__xludf.DUMMYFUNCTION("""COMPUTED_VALUE"""),"BRUNO DANIEL FIGUEIREDO FERNANDES")</f>
        <v>BRUNO DANIEL FIGUEIREDO FERNANDES</v>
      </c>
      <c r="D96" s="2" t="str">
        <f ca="1">IFERROR(__xludf.DUMMYFUNCTION("""COMPUTED_VALUE"""),"ORIENTADOR")</f>
        <v>ORIENTADOR</v>
      </c>
      <c r="E96" s="2" t="str">
        <f ca="1">IFERROR(__xludf.DUMMYFUNCTION("""COMPUTED_VALUE"""),"004/2025")</f>
        <v>004/2025</v>
      </c>
      <c r="F96" s="2" t="str">
        <f ca="1">IFERROR(__xludf.DUMMYFUNCTION("""COMPUTED_VALUE"""),"CAMPINA GRANDE")</f>
        <v>CAMPINA GRANDE</v>
      </c>
      <c r="G96" s="11"/>
      <c r="H96" s="11" t="str">
        <f ca="1">IFERROR(__xludf.DUMMYFUNCTION("""COMPUTED_VALUE"""),"EEEFM SEN ARGEMIRO DE FIGUEIREDO")</f>
        <v>EEEFM SEN ARGEMIRO DE FIGUEIREDO</v>
      </c>
      <c r="I96" s="2" t="str">
        <f ca="1">IFERROR(__xludf.DUMMYFUNCTION("""COMPUTED_VALUE"""),"NOITE")</f>
        <v>NOITE</v>
      </c>
      <c r="J96" s="47">
        <f ca="1">IFERROR(__xludf.DUMMYFUNCTION("""COMPUTED_VALUE"""),1)</f>
        <v>1</v>
      </c>
      <c r="K96" s="2"/>
      <c r="L96" s="10"/>
      <c r="M96" s="9" t="str">
        <f ca="1">IFERROR(__xludf.DUMMYFUNCTION("""COMPUTED_VALUE"""),"bruno.fernandes1@professor.pb.gov.br")</f>
        <v>bruno.fernandes1@professor.pb.gov.br</v>
      </c>
      <c r="N96" s="2" t="str">
        <f ca="1">IFERROR(__xludf.DUMMYFUNCTION("""COMPUTED_VALUE"""),"bruno_ufcg2@hotmail.com")</f>
        <v>bruno_ufcg2@hotmail.com</v>
      </c>
      <c r="O96" s="2" t="str">
        <f ca="1">IFERROR(__xludf.DUMMYFUNCTION("""COMPUTED_VALUE"""),"(83)99991-5233")</f>
        <v>(83)99991-5233</v>
      </c>
      <c r="P96" s="2" t="str">
        <f ca="1">IFERROR(__xludf.DUMMYFUNCTION("""COMPUTED_VALUE"""),"(83)99116-9813")</f>
        <v>(83)99116-9813</v>
      </c>
      <c r="Q96" s="50"/>
      <c r="R96" s="50"/>
      <c r="S96" s="2" t="str">
        <f ca="1">IFERROR(VLOOKUP(A96,IMPORT_DESISTENCIA!$A$2:$Q2273,14,0),"NÃO")</f>
        <v>NÃO</v>
      </c>
      <c r="T96" s="35"/>
    </row>
    <row r="97" spans="1:20" ht="45" customHeight="1" x14ac:dyDescent="0.25">
      <c r="A97" s="2" t="str">
        <f t="shared" ca="1" si="1"/>
        <v>004/2025/107.276.104-14</v>
      </c>
      <c r="B97" s="2" t="str">
        <f ca="1">IFERROR(__xludf.DUMMYFUNCTION("""COMPUTED_VALUE"""),"107.276.104-14")</f>
        <v>107.276.104-14</v>
      </c>
      <c r="C97" s="43" t="str">
        <f ca="1">IFERROR(__xludf.DUMMYFUNCTION("""COMPUTED_VALUE"""),"REJANA SANTOS ARAUJO AMORIM")</f>
        <v>REJANA SANTOS ARAUJO AMORIM</v>
      </c>
      <c r="D97" s="2" t="str">
        <f ca="1">IFERROR(__xludf.DUMMYFUNCTION("""COMPUTED_VALUE"""),"ORIENTADOR")</f>
        <v>ORIENTADOR</v>
      </c>
      <c r="E97" s="2" t="str">
        <f ca="1">IFERROR(__xludf.DUMMYFUNCTION("""COMPUTED_VALUE"""),"004/2025")</f>
        <v>004/2025</v>
      </c>
      <c r="F97" s="2" t="str">
        <f ca="1">IFERROR(__xludf.DUMMYFUNCTION("""COMPUTED_VALUE"""),"CAMPINA GRANDE")</f>
        <v>CAMPINA GRANDE</v>
      </c>
      <c r="G97" s="11"/>
      <c r="H97" s="11" t="str">
        <f ca="1">IFERROR(__xludf.DUMMYFUNCTION("""COMPUTED_VALUE"""),"EEEFM SEN ARGEMIRO DE FIGUEIREDO")</f>
        <v>EEEFM SEN ARGEMIRO DE FIGUEIREDO</v>
      </c>
      <c r="I97" s="2" t="str">
        <f ca="1">IFERROR(__xludf.DUMMYFUNCTION("""COMPUTED_VALUE"""),"NOITE")</f>
        <v>NOITE</v>
      </c>
      <c r="J97" s="47">
        <f ca="1">IFERROR(__xludf.DUMMYFUNCTION("""COMPUTED_VALUE"""),2)</f>
        <v>2</v>
      </c>
      <c r="K97" s="2" t="str">
        <f ca="1">IFERROR(__xludf.DUMMYFUNCTION("""COMPUTED_VALUE"""),"POSSE VALIDADA")</f>
        <v>POSSE VALIDADA</v>
      </c>
      <c r="L97" s="10"/>
      <c r="M97" s="9" t="str">
        <f ca="1">IFERROR(__xludf.DUMMYFUNCTION("""COMPUTED_VALUE"""),"adv.rejanaamorim@gmail.com")</f>
        <v>adv.rejanaamorim@gmail.com</v>
      </c>
      <c r="N97" s="2" t="str">
        <f ca="1">IFERROR(__xludf.DUMMYFUNCTION("""COMPUTED_VALUE"""),"steferson1984@gmail.com")</f>
        <v>steferson1984@gmail.com</v>
      </c>
      <c r="O97" s="2" t="str">
        <f ca="1">IFERROR(__xludf.DUMMYFUNCTION("""COMPUTED_VALUE"""),"(83)99602-7468")</f>
        <v>(83)99602-7468</v>
      </c>
      <c r="P97" s="2" t="str">
        <f ca="1">IFERROR(__xludf.DUMMYFUNCTION("""COMPUTED_VALUE"""),"(83)99611-1950")</f>
        <v>(83)99611-1950</v>
      </c>
      <c r="Q97" s="50" t="str">
        <f ca="1">IFERROR(__xludf.DUMMYFUNCTION("""COMPUTED_VALUE"""),"05/05/2025")</f>
        <v>05/05/2025</v>
      </c>
      <c r="R97" s="50" t="str">
        <f ca="1">IFERROR(__xludf.DUMMYFUNCTION("""COMPUTED_VALUE"""),"13/05/2025")</f>
        <v>13/05/2025</v>
      </c>
      <c r="S97" s="2" t="str">
        <f ca="1">IFERROR(VLOOKUP(A97,IMPORT_DESISTENCIA!$A$2:$Q2273,14,0),"NÃO")</f>
        <v>DESISTIU</v>
      </c>
      <c r="T97" s="35"/>
    </row>
    <row r="98" spans="1:20" ht="45" customHeight="1" x14ac:dyDescent="0.25">
      <c r="A98" s="2" t="str">
        <f t="shared" ca="1" si="1"/>
        <v>004/2025/080.315.184-59</v>
      </c>
      <c r="B98" s="2" t="str">
        <f ca="1">IFERROR(__xludf.DUMMYFUNCTION("""COMPUTED_VALUE"""),"080.315.184-59")</f>
        <v>080.315.184-59</v>
      </c>
      <c r="C98" s="43" t="str">
        <f ca="1">IFERROR(__xludf.DUMMYFUNCTION("""COMPUTED_VALUE"""),"ELLANE DE LIMA SOUSA")</f>
        <v>ELLANE DE LIMA SOUSA</v>
      </c>
      <c r="D98" s="2" t="str">
        <f ca="1">IFERROR(__xludf.DUMMYFUNCTION("""COMPUTED_VALUE"""),"ORIENTADOR")</f>
        <v>ORIENTADOR</v>
      </c>
      <c r="E98" s="2" t="str">
        <f ca="1">IFERROR(__xludf.DUMMYFUNCTION("""COMPUTED_VALUE"""),"004/2025")</f>
        <v>004/2025</v>
      </c>
      <c r="F98" s="2" t="str">
        <f ca="1">IFERROR(__xludf.DUMMYFUNCTION("""COMPUTED_VALUE"""),"CAMPINA GRANDE")</f>
        <v>CAMPINA GRANDE</v>
      </c>
      <c r="G98" s="11"/>
      <c r="H98" s="11" t="str">
        <f ca="1">IFERROR(__xludf.DUMMYFUNCTION("""COMPUTED_VALUE"""),"EEEFM SEN ARGEMIRO DE FIGUEIREDO")</f>
        <v>EEEFM SEN ARGEMIRO DE FIGUEIREDO</v>
      </c>
      <c r="I98" s="2" t="str">
        <f ca="1">IFERROR(__xludf.DUMMYFUNCTION("""COMPUTED_VALUE"""),"NOITE")</f>
        <v>NOITE</v>
      </c>
      <c r="J98" s="47">
        <f ca="1">IFERROR(__xludf.DUMMYFUNCTION("""COMPUTED_VALUE"""),3)</f>
        <v>3</v>
      </c>
      <c r="K98" s="2"/>
      <c r="L98" s="10"/>
      <c r="M98" s="9" t="str">
        <f ca="1">IFERROR(__xludf.DUMMYFUNCTION("""COMPUTED_VALUE"""),"me.ellanesousa@gmail.com")</f>
        <v>me.ellanesousa@gmail.com</v>
      </c>
      <c r="N98" s="2" t="str">
        <f ca="1">IFERROR(__xludf.DUMMYFUNCTION("""COMPUTED_VALUE"""),"e.lima.sousa.tomaz@gmail.com")</f>
        <v>e.lima.sousa.tomaz@gmail.com</v>
      </c>
      <c r="O98" s="2" t="str">
        <f ca="1">IFERROR(__xludf.DUMMYFUNCTION("""COMPUTED_VALUE"""),"(83)99660-2914")</f>
        <v>(83)99660-2914</v>
      </c>
      <c r="P98" s="2" t="str">
        <f ca="1">IFERROR(__xludf.DUMMYFUNCTION("""COMPUTED_VALUE"""),"(83)99645-2082")</f>
        <v>(83)99645-2082</v>
      </c>
      <c r="Q98" s="50"/>
      <c r="R98" s="50"/>
      <c r="S98" s="2" t="str">
        <f ca="1">IFERROR(VLOOKUP(A98,IMPORT_DESISTENCIA!$A$2:$Q2273,14,0),"NÃO")</f>
        <v>NÃO</v>
      </c>
      <c r="T98" s="35"/>
    </row>
    <row r="99" spans="1:20" ht="45" customHeight="1" x14ac:dyDescent="0.25">
      <c r="A99" s="2" t="str">
        <f t="shared" ca="1" si="1"/>
        <v>004/2025/093.323.434-11</v>
      </c>
      <c r="B99" s="2" t="str">
        <f ca="1">IFERROR(__xludf.DUMMYFUNCTION("""COMPUTED_VALUE"""),"093.323.434-11")</f>
        <v>093.323.434-11</v>
      </c>
      <c r="C99" s="43" t="str">
        <f ca="1">IFERROR(__xludf.DUMMYFUNCTION("""COMPUTED_VALUE"""),"JOSILENE DO NASACIMENTO RODRIGUES")</f>
        <v>JOSILENE DO NASACIMENTO RODRIGUES</v>
      </c>
      <c r="D99" s="2" t="str">
        <f ca="1">IFERROR(__xludf.DUMMYFUNCTION("""COMPUTED_VALUE"""),"ORIENTADOR")</f>
        <v>ORIENTADOR</v>
      </c>
      <c r="E99" s="2" t="str">
        <f ca="1">IFERROR(__xludf.DUMMYFUNCTION("""COMPUTED_VALUE"""),"004/2025")</f>
        <v>004/2025</v>
      </c>
      <c r="F99" s="2" t="str">
        <f ca="1">IFERROR(__xludf.DUMMYFUNCTION("""COMPUTED_VALUE"""),"CAMPINA GRANDE")</f>
        <v>CAMPINA GRANDE</v>
      </c>
      <c r="G99" s="11"/>
      <c r="H99" s="11" t="str">
        <f ca="1">IFERROR(__xludf.DUMMYFUNCTION("""COMPUTED_VALUE"""),"EEEFM SEN ARGEMIRO DE FIGUEIREDO")</f>
        <v>EEEFM SEN ARGEMIRO DE FIGUEIREDO</v>
      </c>
      <c r="I99" s="2" t="str">
        <f ca="1">IFERROR(__xludf.DUMMYFUNCTION("""COMPUTED_VALUE"""),"NOITE")</f>
        <v>NOITE</v>
      </c>
      <c r="J99" s="47">
        <f ca="1">IFERROR(__xludf.DUMMYFUNCTION("""COMPUTED_VALUE"""),4)</f>
        <v>4</v>
      </c>
      <c r="K99" s="2"/>
      <c r="L99" s="10"/>
      <c r="M99" s="9" t="str">
        <f ca="1">IFERROR(__xludf.DUMMYFUNCTION("""COMPUTED_VALUE"""),"josykewe@gmail.com")</f>
        <v>josykewe@gmail.com</v>
      </c>
      <c r="N99" s="2" t="str">
        <f ca="1">IFERROR(__xludf.DUMMYFUNCTION("""COMPUTED_VALUE"""),"lene-nr@hotmail.com")</f>
        <v>lene-nr@hotmail.com</v>
      </c>
      <c r="O99" s="2" t="str">
        <f ca="1">IFERROR(__xludf.DUMMYFUNCTION("""COMPUTED_VALUE"""),"(83)99908-9018")</f>
        <v>(83)99908-9018</v>
      </c>
      <c r="P99" s="2"/>
      <c r="Q99" s="50"/>
      <c r="R99" s="50"/>
      <c r="S99" s="2" t="str">
        <f ca="1">IFERROR(VLOOKUP(A99,IMPORT_DESISTENCIA!$A$2:$Q2273,14,0),"NÃO")</f>
        <v>NÃO</v>
      </c>
      <c r="T99" s="35"/>
    </row>
    <row r="100" spans="1:20" ht="45" customHeight="1" x14ac:dyDescent="0.25">
      <c r="A100" s="2" t="str">
        <f t="shared" ca="1" si="1"/>
        <v>004/2025/119.289.594-07</v>
      </c>
      <c r="B100" s="2" t="str">
        <f ca="1">IFERROR(__xludf.DUMMYFUNCTION("""COMPUTED_VALUE"""),"119.289.594-07")</f>
        <v>119.289.594-07</v>
      </c>
      <c r="C100" s="43" t="str">
        <f ca="1">IFERROR(__xludf.DUMMYFUNCTION("""COMPUTED_VALUE"""),"MARIA ISABEL SOARES BARROS")</f>
        <v>MARIA ISABEL SOARES BARROS</v>
      </c>
      <c r="D100" s="2" t="str">
        <f ca="1">IFERROR(__xludf.DUMMYFUNCTION("""COMPUTED_VALUE"""),"ORIENTADOR")</f>
        <v>ORIENTADOR</v>
      </c>
      <c r="E100" s="2" t="str">
        <f ca="1">IFERROR(__xludf.DUMMYFUNCTION("""COMPUTED_VALUE"""),"004/2025")</f>
        <v>004/2025</v>
      </c>
      <c r="F100" s="2" t="str">
        <f ca="1">IFERROR(__xludf.DUMMYFUNCTION("""COMPUTED_VALUE"""),"CAMPINA GRANDE")</f>
        <v>CAMPINA GRANDE</v>
      </c>
      <c r="G100" s="11"/>
      <c r="H100" s="11" t="str">
        <f ca="1">IFERROR(__xludf.DUMMYFUNCTION("""COMPUTED_VALUE"""),"EEEFM SEN ARGEMIRO DE FIGUEIREDO")</f>
        <v>EEEFM SEN ARGEMIRO DE FIGUEIREDO</v>
      </c>
      <c r="I100" s="2" t="str">
        <f ca="1">IFERROR(__xludf.DUMMYFUNCTION("""COMPUTED_VALUE"""),"NOITE")</f>
        <v>NOITE</v>
      </c>
      <c r="J100" s="47">
        <f ca="1">IFERROR(__xludf.DUMMYFUNCTION("""COMPUTED_VALUE"""),5)</f>
        <v>5</v>
      </c>
      <c r="K100" s="2"/>
      <c r="L100" s="10"/>
      <c r="M100" s="9" t="str">
        <f ca="1">IFERROR(__xludf.DUMMYFUNCTION("""COMPUTED_VALUE"""),"mariaisabelbarros2133@gmail.com")</f>
        <v>mariaisabelbarros2133@gmail.com</v>
      </c>
      <c r="N100" s="2" t="str">
        <f ca="1">IFERROR(__xludf.DUMMYFUNCTION("""COMPUTED_VALUE"""),"maria.isabel@aluno.uepb.edu.br")</f>
        <v>maria.isabel@aluno.uepb.edu.br</v>
      </c>
      <c r="O100" s="2" t="str">
        <f ca="1">IFERROR(__xludf.DUMMYFUNCTION("""COMPUTED_VALUE"""),"(83)98697-6378")</f>
        <v>(83)98697-6378</v>
      </c>
      <c r="P100" s="2" t="str">
        <f ca="1">IFERROR(__xludf.DUMMYFUNCTION("""COMPUTED_VALUE"""),"(83)98834-0375")</f>
        <v>(83)98834-0375</v>
      </c>
      <c r="Q100" s="50"/>
      <c r="R100" s="50"/>
      <c r="S100" s="2" t="str">
        <f ca="1">IFERROR(VLOOKUP(A100,IMPORT_DESISTENCIA!$A$2:$Q2273,14,0),"NÃO")</f>
        <v>NÃO</v>
      </c>
      <c r="T100" s="35"/>
    </row>
    <row r="101" spans="1:20" ht="45" customHeight="1" x14ac:dyDescent="0.25">
      <c r="A101" s="2" t="str">
        <f t="shared" ca="1" si="1"/>
        <v>004/2025/008.375.504-75</v>
      </c>
      <c r="B101" s="2" t="str">
        <f ca="1">IFERROR(__xludf.DUMMYFUNCTION("""COMPUTED_VALUE"""),"008.375.504-75")</f>
        <v>008.375.504-75</v>
      </c>
      <c r="C101" s="43" t="str">
        <f ca="1">IFERROR(__xludf.DUMMYFUNCTION("""COMPUTED_VALUE"""),"VANYCLEIDE ARAUJO DA SILVA")</f>
        <v>VANYCLEIDE ARAUJO DA SILVA</v>
      </c>
      <c r="D101" s="2" t="str">
        <f ca="1">IFERROR(__xludf.DUMMYFUNCTION("""COMPUTED_VALUE"""),"ORIENTADOR")</f>
        <v>ORIENTADOR</v>
      </c>
      <c r="E101" s="2" t="str">
        <f ca="1">IFERROR(__xludf.DUMMYFUNCTION("""COMPUTED_VALUE"""),"004/2025")</f>
        <v>004/2025</v>
      </c>
      <c r="F101" s="2" t="str">
        <f ca="1">IFERROR(__xludf.DUMMYFUNCTION("""COMPUTED_VALUE"""),"CAMPINA GRANDE")</f>
        <v>CAMPINA GRANDE</v>
      </c>
      <c r="G101" s="11"/>
      <c r="H101" s="11" t="str">
        <f ca="1">IFERROR(__xludf.DUMMYFUNCTION("""COMPUTED_VALUE"""),"EEEFM SEN ARGEMIRO DE FIGUEIREDO")</f>
        <v>EEEFM SEN ARGEMIRO DE FIGUEIREDO</v>
      </c>
      <c r="I101" s="2" t="str">
        <f ca="1">IFERROR(__xludf.DUMMYFUNCTION("""COMPUTED_VALUE"""),"NOITE")</f>
        <v>NOITE</v>
      </c>
      <c r="J101" s="47">
        <f ca="1">IFERROR(__xludf.DUMMYFUNCTION("""COMPUTED_VALUE"""),6)</f>
        <v>6</v>
      </c>
      <c r="K101" s="2"/>
      <c r="L101" s="10"/>
      <c r="M101" s="9" t="str">
        <f ca="1">IFERROR(__xludf.DUMMYFUNCTION("""COMPUTED_VALUE"""),"adv.vanycleidearaujo@gmail.com")</f>
        <v>adv.vanycleidearaujo@gmail.com</v>
      </c>
      <c r="N101" s="2" t="str">
        <f ca="1">IFERROR(__xludf.DUMMYFUNCTION("""COMPUTED_VALUE"""),"vanycleidearaujo@yahoo.com")</f>
        <v>vanycleidearaujo@yahoo.com</v>
      </c>
      <c r="O101" s="2" t="str">
        <f ca="1">IFERROR(__xludf.DUMMYFUNCTION("""COMPUTED_VALUE"""),"(83)99368-1581")</f>
        <v>(83)99368-1581</v>
      </c>
      <c r="P101" s="2"/>
      <c r="Q101" s="50"/>
      <c r="R101" s="50"/>
      <c r="S101" s="2" t="str">
        <f ca="1">IFERROR(VLOOKUP(A101,IMPORT_DESISTENCIA!$A$2:$Q2273,14,0),"NÃO")</f>
        <v>NÃO</v>
      </c>
      <c r="T101" s="35"/>
    </row>
    <row r="102" spans="1:20" ht="45" customHeight="1" x14ac:dyDescent="0.25">
      <c r="A102" s="2" t="str">
        <f t="shared" ca="1" si="1"/>
        <v>004/2025/085.485.114-35</v>
      </c>
      <c r="B102" s="2" t="str">
        <f ca="1">IFERROR(__xludf.DUMMYFUNCTION("""COMPUTED_VALUE"""),"085.485.114-35")</f>
        <v>085.485.114-35</v>
      </c>
      <c r="C102" s="43" t="str">
        <f ca="1">IFERROR(__xludf.DUMMYFUNCTION("""COMPUTED_VALUE"""),"ROMILDO FERREIRA DA SILVA NETO")</f>
        <v>ROMILDO FERREIRA DA SILVA NETO</v>
      </c>
      <c r="D102" s="2" t="str">
        <f ca="1">IFERROR(__xludf.DUMMYFUNCTION("""COMPUTED_VALUE"""),"ORIENTADOR")</f>
        <v>ORIENTADOR</v>
      </c>
      <c r="E102" s="2" t="str">
        <f ca="1">IFERROR(__xludf.DUMMYFUNCTION("""COMPUTED_VALUE"""),"004/2025")</f>
        <v>004/2025</v>
      </c>
      <c r="F102" s="2" t="str">
        <f ca="1">IFERROR(__xludf.DUMMYFUNCTION("""COMPUTED_VALUE"""),"CAMPINA GRANDE")</f>
        <v>CAMPINA GRANDE</v>
      </c>
      <c r="G102" s="11"/>
      <c r="H102" s="11" t="str">
        <f ca="1">IFERROR(__xludf.DUMMYFUNCTION("""COMPUTED_VALUE"""),"EEEFM SEN ARGEMIRO DE FIGUEIREDO")</f>
        <v>EEEFM SEN ARGEMIRO DE FIGUEIREDO</v>
      </c>
      <c r="I102" s="2" t="str">
        <f ca="1">IFERROR(__xludf.DUMMYFUNCTION("""COMPUTED_VALUE"""),"NOITE")</f>
        <v>NOITE</v>
      </c>
      <c r="J102" s="47">
        <f ca="1">IFERROR(__xludf.DUMMYFUNCTION("""COMPUTED_VALUE"""),7)</f>
        <v>7</v>
      </c>
      <c r="K102" s="2"/>
      <c r="L102" s="10"/>
      <c r="M102" s="9" t="str">
        <f ca="1">IFERROR(__xludf.DUMMYFUNCTION("""COMPUTED_VALUE"""),"romildofneto@gmail.com")</f>
        <v>romildofneto@gmail.com</v>
      </c>
      <c r="N102" s="2" t="str">
        <f ca="1">IFERROR(__xludf.DUMMYFUNCTION("""COMPUTED_VALUE"""),"romildoneto.adv@gmail.com")</f>
        <v>romildoneto.adv@gmail.com</v>
      </c>
      <c r="O102" s="2" t="str">
        <f ca="1">IFERROR(__xludf.DUMMYFUNCTION("""COMPUTED_VALUE"""),"(83)99960-8143")</f>
        <v>(83)99960-8143</v>
      </c>
      <c r="P102" s="2" t="str">
        <f ca="1">IFERROR(__xludf.DUMMYFUNCTION("""COMPUTED_VALUE"""),"(83)98729-3317")</f>
        <v>(83)98729-3317</v>
      </c>
      <c r="Q102" s="50"/>
      <c r="R102" s="50"/>
      <c r="S102" s="2" t="str">
        <f ca="1">IFERROR(VLOOKUP(A102,IMPORT_DESISTENCIA!$A$2:$Q2273,14,0),"NÃO")</f>
        <v>NÃO</v>
      </c>
      <c r="T102" s="35"/>
    </row>
    <row r="103" spans="1:20" ht="45" customHeight="1" x14ac:dyDescent="0.25">
      <c r="A103" s="2" t="str">
        <f t="shared" ca="1" si="1"/>
        <v>004/2025/705.176.324-54</v>
      </c>
      <c r="B103" s="2" t="str">
        <f ca="1">IFERROR(__xludf.DUMMYFUNCTION("""COMPUTED_VALUE"""),"705.176.324-54")</f>
        <v>705.176.324-54</v>
      </c>
      <c r="C103" s="43" t="str">
        <f ca="1">IFERROR(__xludf.DUMMYFUNCTION("""COMPUTED_VALUE"""),"BEATRIZ HILARIO TOSCANO MENESES")</f>
        <v>BEATRIZ HILARIO TOSCANO MENESES</v>
      </c>
      <c r="D103" s="2" t="str">
        <f ca="1">IFERROR(__xludf.DUMMYFUNCTION("""COMPUTED_VALUE"""),"ORIENTADOR")</f>
        <v>ORIENTADOR</v>
      </c>
      <c r="E103" s="2" t="str">
        <f ca="1">IFERROR(__xludf.DUMMYFUNCTION("""COMPUTED_VALUE"""),"004/2025")</f>
        <v>004/2025</v>
      </c>
      <c r="F103" s="2" t="str">
        <f ca="1">IFERROR(__xludf.DUMMYFUNCTION("""COMPUTED_VALUE"""),"CAMPINA GRANDE")</f>
        <v>CAMPINA GRANDE</v>
      </c>
      <c r="G103" s="11"/>
      <c r="H103" s="11" t="str">
        <f ca="1">IFERROR(__xludf.DUMMYFUNCTION("""COMPUTED_VALUE"""),"EEEFM SEN ARGEMIRO DE FIGUEIREDO")</f>
        <v>EEEFM SEN ARGEMIRO DE FIGUEIREDO</v>
      </c>
      <c r="I103" s="2" t="str">
        <f ca="1">IFERROR(__xludf.DUMMYFUNCTION("""COMPUTED_VALUE"""),"NOITE")</f>
        <v>NOITE</v>
      </c>
      <c r="J103" s="47">
        <f ca="1">IFERROR(__xludf.DUMMYFUNCTION("""COMPUTED_VALUE"""),8)</f>
        <v>8</v>
      </c>
      <c r="K103" s="2"/>
      <c r="L103" s="10"/>
      <c r="M103" s="9" t="str">
        <f ca="1">IFERROR(__xludf.DUMMYFUNCTION("""COMPUTED_VALUE"""),"toscanobeatrizh@gmail.com")</f>
        <v>toscanobeatrizh@gmail.com</v>
      </c>
      <c r="N103" s="2" t="str">
        <f ca="1">IFERROR(__xludf.DUMMYFUNCTION("""COMPUTED_VALUE"""),"beatrizhtm@gmail.com")</f>
        <v>beatrizhtm@gmail.com</v>
      </c>
      <c r="O103" s="2" t="str">
        <f ca="1">IFERROR(__xludf.DUMMYFUNCTION("""COMPUTED_VALUE"""),"(83)99630-6367")</f>
        <v>(83)99630-6367</v>
      </c>
      <c r="P103" s="2" t="str">
        <f ca="1">IFERROR(__xludf.DUMMYFUNCTION("""COMPUTED_VALUE"""),"(83)99954-7605")</f>
        <v>(83)99954-7605</v>
      </c>
      <c r="Q103" s="50"/>
      <c r="R103" s="50"/>
      <c r="S103" s="2" t="str">
        <f ca="1">IFERROR(VLOOKUP(A103,IMPORT_DESISTENCIA!$A$2:$Q2273,14,0),"NÃO")</f>
        <v>NÃO</v>
      </c>
      <c r="T103" s="35"/>
    </row>
    <row r="104" spans="1:20" ht="45" customHeight="1" x14ac:dyDescent="0.25">
      <c r="A104" s="2" t="str">
        <f t="shared" ca="1" si="1"/>
        <v>004/2025/066.768.734-35</v>
      </c>
      <c r="B104" s="2" t="str">
        <f ca="1">IFERROR(__xludf.DUMMYFUNCTION("""COMPUTED_VALUE"""),"066.768.734-35")</f>
        <v>066.768.734-35</v>
      </c>
      <c r="C104" s="43" t="str">
        <f ca="1">IFERROR(__xludf.DUMMYFUNCTION("""COMPUTED_VALUE"""),"LIDIANY ACIOLE RODRIGUES LEITE")</f>
        <v>LIDIANY ACIOLE RODRIGUES LEITE</v>
      </c>
      <c r="D104" s="2" t="str">
        <f ca="1">IFERROR(__xludf.DUMMYFUNCTION("""COMPUTED_VALUE"""),"ORIENTADOR")</f>
        <v>ORIENTADOR</v>
      </c>
      <c r="E104" s="2" t="str">
        <f ca="1">IFERROR(__xludf.DUMMYFUNCTION("""COMPUTED_VALUE"""),"004/2025")</f>
        <v>004/2025</v>
      </c>
      <c r="F104" s="2" t="str">
        <f ca="1">IFERROR(__xludf.DUMMYFUNCTION("""COMPUTED_VALUE"""),"CAMPINA GRANDE")</f>
        <v>CAMPINA GRANDE</v>
      </c>
      <c r="G104" s="11"/>
      <c r="H104" s="11" t="str">
        <f ca="1">IFERROR(__xludf.DUMMYFUNCTION("""COMPUTED_VALUE"""),"EEEFM SEN ARGEMIRO DE FIGUEIREDO")</f>
        <v>EEEFM SEN ARGEMIRO DE FIGUEIREDO</v>
      </c>
      <c r="I104" s="2" t="str">
        <f ca="1">IFERROR(__xludf.DUMMYFUNCTION("""COMPUTED_VALUE"""),"NOITE")</f>
        <v>NOITE</v>
      </c>
      <c r="J104" s="47">
        <f ca="1">IFERROR(__xludf.DUMMYFUNCTION("""COMPUTED_VALUE"""),9)</f>
        <v>9</v>
      </c>
      <c r="K104" s="2"/>
      <c r="L104" s="10"/>
      <c r="M104" s="9" t="str">
        <f ca="1">IFERROR(__xludf.DUMMYFUNCTION("""COMPUTED_VALUE"""),"lidyaciole19@gmail.com")</f>
        <v>lidyaciole19@gmail.com</v>
      </c>
      <c r="N104" s="2" t="str">
        <f ca="1">IFERROR(__xludf.DUMMYFUNCTION("""COMPUTED_VALUE"""),"advlidianyaciole@gmail.com")</f>
        <v>advlidianyaciole@gmail.com</v>
      </c>
      <c r="O104" s="2" t="str">
        <f ca="1">IFERROR(__xludf.DUMMYFUNCTION("""COMPUTED_VALUE"""),"(83)991326152")</f>
        <v>(83)991326152</v>
      </c>
      <c r="P104" s="2" t="str">
        <f ca="1">IFERROR(__xludf.DUMMYFUNCTION("""COMPUTED_VALUE"""),"(83)988101234")</f>
        <v>(83)988101234</v>
      </c>
      <c r="Q104" s="50"/>
      <c r="R104" s="50"/>
      <c r="S104" s="2" t="str">
        <f ca="1">IFERROR(VLOOKUP(A104,IMPORT_DESISTENCIA!$A$2:$Q2273,14,0),"NÃO")</f>
        <v>NÃO</v>
      </c>
      <c r="T104" s="35"/>
    </row>
    <row r="105" spans="1:20" ht="45" customHeight="1" x14ac:dyDescent="0.25">
      <c r="A105" s="2" t="str">
        <f t="shared" ca="1" si="1"/>
        <v>004/2025/703.197.514-06</v>
      </c>
      <c r="B105" s="2" t="str">
        <f ca="1">IFERROR(__xludf.DUMMYFUNCTION("""COMPUTED_VALUE"""),"703.197.514-06")</f>
        <v>703.197.514-06</v>
      </c>
      <c r="C105" s="43" t="str">
        <f ca="1">IFERROR(__xludf.DUMMYFUNCTION("""COMPUTED_VALUE"""),"MARIA ROSSANA LAMEU DE LIMA")</f>
        <v>MARIA ROSSANA LAMEU DE LIMA</v>
      </c>
      <c r="D105" s="2" t="str">
        <f ca="1">IFERROR(__xludf.DUMMYFUNCTION("""COMPUTED_VALUE"""),"ORIENTADOR")</f>
        <v>ORIENTADOR</v>
      </c>
      <c r="E105" s="2" t="str">
        <f ca="1">IFERROR(__xludf.DUMMYFUNCTION("""COMPUTED_VALUE"""),"004/2025")</f>
        <v>004/2025</v>
      </c>
      <c r="F105" s="2" t="str">
        <f ca="1">IFERROR(__xludf.DUMMYFUNCTION("""COMPUTED_VALUE"""),"CAMPINA GRANDE")</f>
        <v>CAMPINA GRANDE</v>
      </c>
      <c r="G105" s="11"/>
      <c r="H105" s="11" t="str">
        <f ca="1">IFERROR(__xludf.DUMMYFUNCTION("""COMPUTED_VALUE"""),"EEEFM SEN ARGEMIRO DE FIGUEIREDO")</f>
        <v>EEEFM SEN ARGEMIRO DE FIGUEIREDO</v>
      </c>
      <c r="I105" s="2" t="str">
        <f ca="1">IFERROR(__xludf.DUMMYFUNCTION("""COMPUTED_VALUE"""),"NOITE")</f>
        <v>NOITE</v>
      </c>
      <c r="J105" s="47">
        <f ca="1">IFERROR(__xludf.DUMMYFUNCTION("""COMPUTED_VALUE"""),10)</f>
        <v>10</v>
      </c>
      <c r="K105" s="2"/>
      <c r="L105" s="10"/>
      <c r="M105" s="9" t="str">
        <f ca="1">IFERROR(__xludf.DUMMYFUNCTION("""COMPUTED_VALUE"""),"mrossana717@gmail.com")</f>
        <v>mrossana717@gmail.com</v>
      </c>
      <c r="N105" s="2" t="str">
        <f ca="1">IFERROR(__xludf.DUMMYFUNCTION("""COMPUTED_VALUE"""),"mrossana717@hotmail.com")</f>
        <v>mrossana717@hotmail.com</v>
      </c>
      <c r="O105" s="2" t="str">
        <f ca="1">IFERROR(__xludf.DUMMYFUNCTION("""COMPUTED_VALUE"""),"(83)999924969")</f>
        <v>(83)999924969</v>
      </c>
      <c r="P105" s="2"/>
      <c r="Q105" s="50"/>
      <c r="R105" s="50"/>
      <c r="S105" s="2" t="str">
        <f ca="1">IFERROR(VLOOKUP(A105,IMPORT_DESISTENCIA!$A$2:$Q2273,14,0),"NÃO")</f>
        <v>NÃO</v>
      </c>
      <c r="T105" s="35"/>
    </row>
    <row r="106" spans="1:20" ht="45" customHeight="1" x14ac:dyDescent="0.25">
      <c r="A106" s="2" t="str">
        <f t="shared" ca="1" si="1"/>
        <v>004/2025/094.983.364-90</v>
      </c>
      <c r="B106" s="2" t="str">
        <f ca="1">IFERROR(__xludf.DUMMYFUNCTION("""COMPUTED_VALUE"""),"094.983.364-90")</f>
        <v>094.983.364-90</v>
      </c>
      <c r="C106" s="43" t="str">
        <f ca="1">IFERROR(__xludf.DUMMYFUNCTION("""COMPUTED_VALUE"""),"PAULIENE ROBERTA DA SILVA PAIVA LEITE")</f>
        <v>PAULIENE ROBERTA DA SILVA PAIVA LEITE</v>
      </c>
      <c r="D106" s="2" t="str">
        <f ca="1">IFERROR(__xludf.DUMMYFUNCTION("""COMPUTED_VALUE"""),"ORIENTADOR")</f>
        <v>ORIENTADOR</v>
      </c>
      <c r="E106" s="2" t="str">
        <f ca="1">IFERROR(__xludf.DUMMYFUNCTION("""COMPUTED_VALUE"""),"004/2025")</f>
        <v>004/2025</v>
      </c>
      <c r="F106" s="2" t="str">
        <f ca="1">IFERROR(__xludf.DUMMYFUNCTION("""COMPUTED_VALUE"""),"GURINHEM")</f>
        <v>GURINHEM</v>
      </c>
      <c r="G106" s="11"/>
      <c r="H106" s="11" t="str">
        <f ca="1">IFERROR(__xludf.DUMMYFUNCTION("""COMPUTED_VALUE"""),"SINDICATO DOS TRABALHADORES RURAIS AGRICULTORES E AGRICULTORAS FAMILIARES DE GURINHEM")</f>
        <v>SINDICATO DOS TRABALHADORES RURAIS AGRICULTORES E AGRICULTORAS FAMILIARES DE GURINHEM</v>
      </c>
      <c r="I106" s="2" t="str">
        <f ca="1">IFERROR(__xludf.DUMMYFUNCTION("""COMPUTED_VALUE"""),"MANHA")</f>
        <v>MANHA</v>
      </c>
      <c r="J106" s="47">
        <f ca="1">IFERROR(__xludf.DUMMYFUNCTION("""COMPUTED_VALUE"""),1)</f>
        <v>1</v>
      </c>
      <c r="K106" s="2" t="str">
        <f ca="1">IFERROR(__xludf.DUMMYFUNCTION("""COMPUTED_VALUE"""),"POSSE VALIDADA")</f>
        <v>POSSE VALIDADA</v>
      </c>
      <c r="L106" s="10"/>
      <c r="M106" s="9" t="str">
        <f ca="1">IFERROR(__xludf.DUMMYFUNCTION("""COMPUTED_VALUE"""),"psicologapaulienepleite@gmial.com")</f>
        <v>psicologapaulienepleite@gmial.com</v>
      </c>
      <c r="N106" s="2" t="str">
        <f ca="1">IFERROR(__xludf.DUMMYFUNCTION("""COMPUTED_VALUE"""),"leideflc@hotmail.com")</f>
        <v>leideflc@hotmail.com</v>
      </c>
      <c r="O106" s="2" t="str">
        <f ca="1">IFERROR(__xludf.DUMMYFUNCTION("""COMPUTED_VALUE"""),"(83)99684-9781")</f>
        <v>(83)99684-9781</v>
      </c>
      <c r="P106" s="2" t="str">
        <f ca="1">IFERROR(__xludf.DUMMYFUNCTION("""COMPUTED_VALUE"""),"(83)996384742")</f>
        <v>(83)996384742</v>
      </c>
      <c r="Q106" s="50" t="str">
        <f ca="1">IFERROR(__xludf.DUMMYFUNCTION("""COMPUTED_VALUE"""),"23/04/2025")</f>
        <v>23/04/2025</v>
      </c>
      <c r="R106" s="50"/>
      <c r="S106" s="2" t="str">
        <f ca="1">IFERROR(VLOOKUP(A106,IMPORT_DESISTENCIA!$A$2:$Q2273,14,0),"NÃO")</f>
        <v>NÃO</v>
      </c>
      <c r="T106" s="35"/>
    </row>
    <row r="107" spans="1:20" ht="45" customHeight="1" x14ac:dyDescent="0.25">
      <c r="A107" s="2" t="str">
        <f t="shared" ca="1" si="1"/>
        <v>004/2025/099.116.024-00</v>
      </c>
      <c r="B107" s="2" t="str">
        <f ca="1">IFERROR(__xludf.DUMMYFUNCTION("""COMPUTED_VALUE"""),"099.116.024-00")</f>
        <v>099.116.024-00</v>
      </c>
      <c r="C107" s="43" t="str">
        <f ca="1">IFERROR(__xludf.DUMMYFUNCTION("""COMPUTED_VALUE"""),"DIULIA DANTAS DE ANDRADE")</f>
        <v>DIULIA DANTAS DE ANDRADE</v>
      </c>
      <c r="D107" s="2" t="str">
        <f ca="1">IFERROR(__xludf.DUMMYFUNCTION("""COMPUTED_VALUE"""),"ORIENTADOR")</f>
        <v>ORIENTADOR</v>
      </c>
      <c r="E107" s="2" t="str">
        <f ca="1">IFERROR(__xludf.DUMMYFUNCTION("""COMPUTED_VALUE"""),"004/2025")</f>
        <v>004/2025</v>
      </c>
      <c r="F107" s="2" t="str">
        <f ca="1">IFERROR(__xludf.DUMMYFUNCTION("""COMPUTED_VALUE"""),"GURINHEM")</f>
        <v>GURINHEM</v>
      </c>
      <c r="G107" s="11"/>
      <c r="H107" s="11" t="str">
        <f ca="1">IFERROR(__xludf.DUMMYFUNCTION("""COMPUTED_VALUE"""),"SINDICATO DOS TRABALHADORES RURAIS AGRICULTORES E AGRICULTORAS FAMILIARES DE GURINHEM")</f>
        <v>SINDICATO DOS TRABALHADORES RURAIS AGRICULTORES E AGRICULTORAS FAMILIARES DE GURINHEM</v>
      </c>
      <c r="I107" s="2" t="str">
        <f ca="1">IFERROR(__xludf.DUMMYFUNCTION("""COMPUTED_VALUE"""),"MANHA")</f>
        <v>MANHA</v>
      </c>
      <c r="J107" s="47">
        <f ca="1">IFERROR(__xludf.DUMMYFUNCTION("""COMPUTED_VALUE"""),2)</f>
        <v>2</v>
      </c>
      <c r="K107" s="2" t="str">
        <f ca="1">IFERROR(__xludf.DUMMYFUNCTION("""COMPUTED_VALUE"""),"POSSE INVALIDADA")</f>
        <v>POSSE INVALIDADA</v>
      </c>
      <c r="L107" s="10"/>
      <c r="M107" s="9" t="str">
        <f ca="1">IFERROR(__xludf.DUMMYFUNCTION("""COMPUTED_VALUE"""),"dantasdiulia@gmail.com")</f>
        <v>dantasdiulia@gmail.com</v>
      </c>
      <c r="N107" s="2" t="str">
        <f ca="1">IFERROR(__xludf.DUMMYFUNCTION("""COMPUTED_VALUE"""),"diuliadantas@hotmail.com")</f>
        <v>diuliadantas@hotmail.com</v>
      </c>
      <c r="O107" s="2" t="str">
        <f ca="1">IFERROR(__xludf.DUMMYFUNCTION("""COMPUTED_VALUE"""),"(83)987075583")</f>
        <v>(83)987075583</v>
      </c>
      <c r="P107" s="2"/>
      <c r="Q107" s="50"/>
      <c r="R107" s="50"/>
      <c r="S107" s="2" t="str">
        <f ca="1">IFERROR(VLOOKUP(A107,IMPORT_DESISTENCIA!$A$2:$Q2273,14,0),"NÃO")</f>
        <v>NÃO</v>
      </c>
      <c r="T107" s="35"/>
    </row>
    <row r="108" spans="1:20" ht="45" customHeight="1" x14ac:dyDescent="0.25">
      <c r="A108" s="2" t="str">
        <f t="shared" ca="1" si="1"/>
        <v>004/2025/011.590.354-23</v>
      </c>
      <c r="B108" s="2" t="str">
        <f ca="1">IFERROR(__xludf.DUMMYFUNCTION("""COMPUTED_VALUE"""),"011.590.354-23")</f>
        <v>011.590.354-23</v>
      </c>
      <c r="C108" s="43" t="str">
        <f ca="1">IFERROR(__xludf.DUMMYFUNCTION("""COMPUTED_VALUE"""),"LEILANE SOARES DE LIMA")</f>
        <v>LEILANE SOARES DE LIMA</v>
      </c>
      <c r="D108" s="2" t="str">
        <f ca="1">IFERROR(__xludf.DUMMYFUNCTION("""COMPUTED_VALUE"""),"ORIENTADOR")</f>
        <v>ORIENTADOR</v>
      </c>
      <c r="E108" s="2" t="str">
        <f ca="1">IFERROR(__xludf.DUMMYFUNCTION("""COMPUTED_VALUE"""),"004/2025")</f>
        <v>004/2025</v>
      </c>
      <c r="F108" s="2" t="str">
        <f ca="1">IFERROR(__xludf.DUMMYFUNCTION("""COMPUTED_VALUE"""),"JOAO PESSOA")</f>
        <v>JOAO PESSOA</v>
      </c>
      <c r="G108" s="11"/>
      <c r="H108" s="11" t="str">
        <f ca="1">IFERROR(__xludf.DUMMYFUNCTION("""COMPUTED_VALUE"""),"GERENCIA EXECUTIVA DE RESSOCIALIZACAO ( SEAP)")</f>
        <v>GERENCIA EXECUTIVA DE RESSOCIALIZACAO ( SEAP)</v>
      </c>
      <c r="I108" s="2" t="str">
        <f ca="1">IFERROR(__xludf.DUMMYFUNCTION("""COMPUTED_VALUE"""),"TARDE")</f>
        <v>TARDE</v>
      </c>
      <c r="J108" s="47">
        <f ca="1">IFERROR(__xludf.DUMMYFUNCTION("""COMPUTED_VALUE"""),1)</f>
        <v>1</v>
      </c>
      <c r="K108" s="2" t="str">
        <f ca="1">IFERROR(__xludf.DUMMYFUNCTION("""COMPUTED_VALUE"""),"POSSE VALIDADA")</f>
        <v>POSSE VALIDADA</v>
      </c>
      <c r="L108" s="10"/>
      <c r="M108" s="9" t="str">
        <f ca="1">IFERROR(__xludf.DUMMYFUNCTION("""COMPUTED_VALUE"""),"leilanesoares.adv@hotmail.com")</f>
        <v>leilanesoares.adv@hotmail.com</v>
      </c>
      <c r="N108" s="2" t="str">
        <f ca="1">IFERROR(__xludf.DUMMYFUNCTION("""COMPUTED_VALUE"""),"leilanesoares.adv@gmail.com")</f>
        <v>leilanesoares.adv@gmail.com</v>
      </c>
      <c r="O108" s="2" t="str">
        <f ca="1">IFERROR(__xludf.DUMMYFUNCTION("""COMPUTED_VALUE"""),"(83)99835-8079")</f>
        <v>(83)99835-8079</v>
      </c>
      <c r="P108" s="2"/>
      <c r="Q108" s="50" t="str">
        <f ca="1">IFERROR(__xludf.DUMMYFUNCTION("""COMPUTED_VALUE"""),"25/04/2025")</f>
        <v>25/04/2025</v>
      </c>
      <c r="R108" s="50"/>
      <c r="S108" s="2" t="str">
        <f ca="1">IFERROR(VLOOKUP(A108,IMPORT_DESISTENCIA!$A$2:$Q2273,14,0),"NÃO")</f>
        <v>NÃO</v>
      </c>
      <c r="T108" s="35"/>
    </row>
    <row r="109" spans="1:20" ht="45" customHeight="1" x14ac:dyDescent="0.25">
      <c r="A109" s="2" t="str">
        <f t="shared" ca="1" si="1"/>
        <v>004/2025/798.659.174-91</v>
      </c>
      <c r="B109" s="2" t="str">
        <f ca="1">IFERROR(__xludf.DUMMYFUNCTION("""COMPUTED_VALUE"""),"798.659.174-91")</f>
        <v>798.659.174-91</v>
      </c>
      <c r="C109" s="43" t="str">
        <f ca="1">IFERROR(__xludf.DUMMYFUNCTION("""COMPUTED_VALUE"""),"OLINALDO DE OLIVEIRA BARACHO")</f>
        <v>OLINALDO DE OLIVEIRA BARACHO</v>
      </c>
      <c r="D109" s="2" t="str">
        <f ca="1">IFERROR(__xludf.DUMMYFUNCTION("""COMPUTED_VALUE"""),"ORIENTADOR")</f>
        <v>ORIENTADOR</v>
      </c>
      <c r="E109" s="2" t="str">
        <f ca="1">IFERROR(__xludf.DUMMYFUNCTION("""COMPUTED_VALUE"""),"004/2025")</f>
        <v>004/2025</v>
      </c>
      <c r="F109" s="2" t="str">
        <f ca="1">IFERROR(__xludf.DUMMYFUNCTION("""COMPUTED_VALUE"""),"JOAO PESSOA")</f>
        <v>JOAO PESSOA</v>
      </c>
      <c r="G109" s="11"/>
      <c r="H109" s="11" t="str">
        <f ca="1">IFERROR(__xludf.DUMMYFUNCTION("""COMPUTED_VALUE"""),"GERENCIA EXECUTIVA DE RESSOCIALIZACAO ( SEAP)")</f>
        <v>GERENCIA EXECUTIVA DE RESSOCIALIZACAO ( SEAP)</v>
      </c>
      <c r="I109" s="2" t="str">
        <f ca="1">IFERROR(__xludf.DUMMYFUNCTION("""COMPUTED_VALUE"""),"TARDE")</f>
        <v>TARDE</v>
      </c>
      <c r="J109" s="47">
        <f ca="1">IFERROR(__xludf.DUMMYFUNCTION("""COMPUTED_VALUE"""),2)</f>
        <v>2</v>
      </c>
      <c r="K109" s="2"/>
      <c r="L109" s="10"/>
      <c r="M109" s="9" t="str">
        <f ca="1">IFERROR(__xludf.DUMMYFUNCTION("""COMPUTED_VALUE"""),"oolinaldo@gmail.com")</f>
        <v>oolinaldo@gmail.com</v>
      </c>
      <c r="N109" s="2" t="str">
        <f ca="1">IFERROR(__xludf.DUMMYFUNCTION("""COMPUTED_VALUE"""),"olinaldo@outlook.com.br")</f>
        <v>olinaldo@outlook.com.br</v>
      </c>
      <c r="O109" s="2" t="str">
        <f ca="1">IFERROR(__xludf.DUMMYFUNCTION("""COMPUTED_VALUE"""),"(83)986184573")</f>
        <v>(83)986184573</v>
      </c>
      <c r="P109" s="2" t="str">
        <f ca="1">IFERROR(__xludf.DUMMYFUNCTION("""COMPUTED_VALUE"""),"(83)991634573")</f>
        <v>(83)991634573</v>
      </c>
      <c r="Q109" s="50"/>
      <c r="R109" s="50"/>
      <c r="S109" s="2" t="str">
        <f ca="1">IFERROR(VLOOKUP(A109,IMPORT_DESISTENCIA!$A$2:$Q2273,14,0),"NÃO")</f>
        <v>NÃO</v>
      </c>
      <c r="T109" s="35"/>
    </row>
    <row r="110" spans="1:20" ht="45" customHeight="1" x14ac:dyDescent="0.25">
      <c r="A110" s="2" t="str">
        <f t="shared" ca="1" si="1"/>
        <v>004/2025/027.930.564-80</v>
      </c>
      <c r="B110" s="2" t="str">
        <f ca="1">IFERROR(__xludf.DUMMYFUNCTION("""COMPUTED_VALUE"""),"027.930.564-80")</f>
        <v>027.930.564-80</v>
      </c>
      <c r="C110" s="43" t="str">
        <f ca="1">IFERROR(__xludf.DUMMYFUNCTION("""COMPUTED_VALUE"""),"RENILDO LUCIO DE MORAES")</f>
        <v>RENILDO LUCIO DE MORAES</v>
      </c>
      <c r="D110" s="2" t="str">
        <f ca="1">IFERROR(__xludf.DUMMYFUNCTION("""COMPUTED_VALUE"""),"ORIENTADOR")</f>
        <v>ORIENTADOR</v>
      </c>
      <c r="E110" s="2" t="str">
        <f ca="1">IFERROR(__xludf.DUMMYFUNCTION("""COMPUTED_VALUE"""),"004/2025")</f>
        <v>004/2025</v>
      </c>
      <c r="F110" s="2" t="str">
        <f ca="1">IFERROR(__xludf.DUMMYFUNCTION("""COMPUTED_VALUE"""),"JOAO PESSOA")</f>
        <v>JOAO PESSOA</v>
      </c>
      <c r="G110" s="11"/>
      <c r="H110" s="11" t="str">
        <f ca="1">IFERROR(__xludf.DUMMYFUNCTION("""COMPUTED_VALUE"""),"GERENCIA EXECUTIVA DE RESSOCIALIZACAO ( SEAP)")</f>
        <v>GERENCIA EXECUTIVA DE RESSOCIALIZACAO ( SEAP)</v>
      </c>
      <c r="I110" s="2" t="str">
        <f ca="1">IFERROR(__xludf.DUMMYFUNCTION("""COMPUTED_VALUE"""),"TARDE")</f>
        <v>TARDE</v>
      </c>
      <c r="J110" s="47">
        <f ca="1">IFERROR(__xludf.DUMMYFUNCTION("""COMPUTED_VALUE"""),3)</f>
        <v>3</v>
      </c>
      <c r="K110" s="2" t="str">
        <f ca="1">IFERROR(__xludf.DUMMYFUNCTION("""COMPUTED_VALUE"""),"POSSE VALIDADA")</f>
        <v>POSSE VALIDADA</v>
      </c>
      <c r="L110" s="10"/>
      <c r="M110" s="9" t="str">
        <f ca="1">IFERROR(__xludf.DUMMYFUNCTION("""COMPUTED_VALUE"""),"renildolmoraes@gmail.com")</f>
        <v>renildolmoraes@gmail.com</v>
      </c>
      <c r="N110" s="2" t="str">
        <f ca="1">IFERROR(__xludf.DUMMYFUNCTION("""COMPUTED_VALUE"""),"renildolmoraes@yahoo.com.br")</f>
        <v>renildolmoraes@yahoo.com.br</v>
      </c>
      <c r="O110" s="2" t="str">
        <f ca="1">IFERROR(__xludf.DUMMYFUNCTION("""COMPUTED_VALUE"""),"(83)98835-0343")</f>
        <v>(83)98835-0343</v>
      </c>
      <c r="P110" s="2"/>
      <c r="Q110" s="50" t="str">
        <f ca="1">IFERROR(__xludf.DUMMYFUNCTION("""COMPUTED_VALUE"""),"08/05/2025")</f>
        <v>08/05/2025</v>
      </c>
      <c r="R110" s="50"/>
      <c r="S110" s="2" t="str">
        <f ca="1">IFERROR(VLOOKUP(A110,IMPORT_DESISTENCIA!$A$2:$Q2273,14,0),"NÃO")</f>
        <v>NÃO</v>
      </c>
      <c r="T110" s="35"/>
    </row>
    <row r="111" spans="1:20" ht="45" customHeight="1" x14ac:dyDescent="0.25">
      <c r="A111" s="2" t="str">
        <f t="shared" ca="1" si="1"/>
        <v>004/2025/090.130.354-26</v>
      </c>
      <c r="B111" s="2" t="str">
        <f ca="1">IFERROR(__xludf.DUMMYFUNCTION("""COMPUTED_VALUE"""),"090.130.354-26")</f>
        <v>090.130.354-26</v>
      </c>
      <c r="C111" s="43" t="str">
        <f ca="1">IFERROR(__xludf.DUMMYFUNCTION("""COMPUTED_VALUE"""),"RAYANE PEREIRA DOS SANTOS SILVA")</f>
        <v>RAYANE PEREIRA DOS SANTOS SILVA</v>
      </c>
      <c r="D111" s="2" t="str">
        <f ca="1">IFERROR(__xludf.DUMMYFUNCTION("""COMPUTED_VALUE"""),"ORIENTADOR")</f>
        <v>ORIENTADOR</v>
      </c>
      <c r="E111" s="2" t="str">
        <f ca="1">IFERROR(__xludf.DUMMYFUNCTION("""COMPUTED_VALUE"""),"004/2025")</f>
        <v>004/2025</v>
      </c>
      <c r="F111" s="2" t="str">
        <f ca="1">IFERROR(__xludf.DUMMYFUNCTION("""COMPUTED_VALUE"""),"JOAO PESSOA")</f>
        <v>JOAO PESSOA</v>
      </c>
      <c r="G111" s="11"/>
      <c r="H111" s="11" t="str">
        <f ca="1">IFERROR(__xludf.DUMMYFUNCTION("""COMPUTED_VALUE"""),"GERENCIA EXECUTIVA DE RESSOCIALIZACAO ( SEAP)")</f>
        <v>GERENCIA EXECUTIVA DE RESSOCIALIZACAO ( SEAP)</v>
      </c>
      <c r="I111" s="2" t="str">
        <f ca="1">IFERROR(__xludf.DUMMYFUNCTION("""COMPUTED_VALUE"""),"TARDE")</f>
        <v>TARDE</v>
      </c>
      <c r="J111" s="47">
        <f ca="1">IFERROR(__xludf.DUMMYFUNCTION("""COMPUTED_VALUE"""),4)</f>
        <v>4</v>
      </c>
      <c r="K111" s="2"/>
      <c r="L111" s="10"/>
      <c r="M111" s="9" t="str">
        <f ca="1">IFERROR(__xludf.DUMMYFUNCTION("""COMPUTED_VALUE"""),"rayalencar2@gamail.com")</f>
        <v>rayalencar2@gamail.com</v>
      </c>
      <c r="N111" s="2" t="str">
        <f ca="1">IFERROR(__xludf.DUMMYFUNCTION("""COMPUTED_VALUE"""),"rayannnepereira@hotmail.com")</f>
        <v>rayannnepereira@hotmail.com</v>
      </c>
      <c r="O111" s="2" t="str">
        <f ca="1">IFERROR(__xludf.DUMMYFUNCTION("""COMPUTED_VALUE"""),"(83)98682-5291")</f>
        <v>(83)98682-5291</v>
      </c>
      <c r="P111" s="2"/>
      <c r="Q111" s="50"/>
      <c r="R111" s="50"/>
      <c r="S111" s="2" t="str">
        <f ca="1">IFERROR(VLOOKUP(A111,IMPORT_DESISTENCIA!$A$2:$Q2273,14,0),"NÃO")</f>
        <v>NÃO</v>
      </c>
      <c r="T111" s="35"/>
    </row>
    <row r="112" spans="1:20" ht="45" customHeight="1" x14ac:dyDescent="0.25">
      <c r="A112" s="2" t="str">
        <f t="shared" ca="1" si="1"/>
        <v>004/2025/091.093.424-00</v>
      </c>
      <c r="B112" s="2" t="str">
        <f ca="1">IFERROR(__xludf.DUMMYFUNCTION("""COMPUTED_VALUE"""),"091.093.424-00")</f>
        <v>091.093.424-00</v>
      </c>
      <c r="C112" s="43" t="str">
        <f ca="1">IFERROR(__xludf.DUMMYFUNCTION("""COMPUTED_VALUE"""),"NAYARA RAYANE DO NASCIMENTO EPAMINONDAS")</f>
        <v>NAYARA RAYANE DO NASCIMENTO EPAMINONDAS</v>
      </c>
      <c r="D112" s="2" t="str">
        <f ca="1">IFERROR(__xludf.DUMMYFUNCTION("""COMPUTED_VALUE"""),"ORIENTADOR")</f>
        <v>ORIENTADOR</v>
      </c>
      <c r="E112" s="2" t="str">
        <f ca="1">IFERROR(__xludf.DUMMYFUNCTION("""COMPUTED_VALUE"""),"004/2025")</f>
        <v>004/2025</v>
      </c>
      <c r="F112" s="2" t="str">
        <f ca="1">IFERROR(__xludf.DUMMYFUNCTION("""COMPUTED_VALUE"""),"JOAO PESSOA")</f>
        <v>JOAO PESSOA</v>
      </c>
      <c r="G112" s="11"/>
      <c r="H112" s="11" t="str">
        <f ca="1">IFERROR(__xludf.DUMMYFUNCTION("""COMPUTED_VALUE"""),"GERENCIA EXECUTIVA DE RESSOCIALIZACAO ( SEAP)")</f>
        <v>GERENCIA EXECUTIVA DE RESSOCIALIZACAO ( SEAP)</v>
      </c>
      <c r="I112" s="2" t="str">
        <f ca="1">IFERROR(__xludf.DUMMYFUNCTION("""COMPUTED_VALUE"""),"TARDE")</f>
        <v>TARDE</v>
      </c>
      <c r="J112" s="47">
        <f ca="1">IFERROR(__xludf.DUMMYFUNCTION("""COMPUTED_VALUE"""),5)</f>
        <v>5</v>
      </c>
      <c r="K112" s="2"/>
      <c r="L112" s="10"/>
      <c r="M112" s="9" t="str">
        <f ca="1">IFERROR(__xludf.DUMMYFUNCTION("""COMPUTED_VALUE"""),"nayaraepaminondas@gmail.com")</f>
        <v>nayaraepaminondas@gmail.com</v>
      </c>
      <c r="N112" s="2" t="str">
        <f ca="1">IFERROR(__xludf.DUMMYFUNCTION("""COMPUTED_VALUE"""),"nayaraepaminondasadv@gmail.com")</f>
        <v>nayaraepaminondasadv@gmail.com</v>
      </c>
      <c r="O112" s="2" t="str">
        <f ca="1">IFERROR(__xludf.DUMMYFUNCTION("""COMPUTED_VALUE"""),"(83)99869-9057")</f>
        <v>(83)99869-9057</v>
      </c>
      <c r="P112" s="2" t="str">
        <f ca="1">IFERROR(__xludf.DUMMYFUNCTION("""COMPUTED_VALUE"""),"(83)99825-0809")</f>
        <v>(83)99825-0809</v>
      </c>
      <c r="Q112" s="50"/>
      <c r="R112" s="50"/>
      <c r="S112" s="2" t="str">
        <f ca="1">IFERROR(VLOOKUP(A112,IMPORT_DESISTENCIA!$A$2:$Q2273,14,0),"NÃO")</f>
        <v>NÃO</v>
      </c>
      <c r="T112" s="35"/>
    </row>
    <row r="113" spans="1:20" ht="45" customHeight="1" x14ac:dyDescent="0.25">
      <c r="A113" s="2" t="str">
        <f t="shared" ca="1" si="1"/>
        <v>004/2025/091.447.454-51</v>
      </c>
      <c r="B113" s="2" t="str">
        <f ca="1">IFERROR(__xludf.DUMMYFUNCTION("""COMPUTED_VALUE"""),"091.447.454-51")</f>
        <v>091.447.454-51</v>
      </c>
      <c r="C113" s="43" t="str">
        <f ca="1">IFERROR(__xludf.DUMMYFUNCTION("""COMPUTED_VALUE"""),"ALINE GRISI DE LACERDA")</f>
        <v>ALINE GRISI DE LACERDA</v>
      </c>
      <c r="D113" s="2" t="str">
        <f ca="1">IFERROR(__xludf.DUMMYFUNCTION("""COMPUTED_VALUE"""),"ORIENTADOR")</f>
        <v>ORIENTADOR</v>
      </c>
      <c r="E113" s="2" t="str">
        <f ca="1">IFERROR(__xludf.DUMMYFUNCTION("""COMPUTED_VALUE"""),"004/2025")</f>
        <v>004/2025</v>
      </c>
      <c r="F113" s="2" t="str">
        <f ca="1">IFERROR(__xludf.DUMMYFUNCTION("""COMPUTED_VALUE"""),"JOAO PESSOA")</f>
        <v>JOAO PESSOA</v>
      </c>
      <c r="G113" s="11"/>
      <c r="H113" s="11" t="str">
        <f ca="1">IFERROR(__xludf.DUMMYFUNCTION("""COMPUTED_VALUE"""),"GERENCIA EXECUTIVA DE RESSOCIALIZACAO ( SEAP)")</f>
        <v>GERENCIA EXECUTIVA DE RESSOCIALIZACAO ( SEAP)</v>
      </c>
      <c r="I113" s="2" t="str">
        <f ca="1">IFERROR(__xludf.DUMMYFUNCTION("""COMPUTED_VALUE"""),"TARDE")</f>
        <v>TARDE</v>
      </c>
      <c r="J113" s="47">
        <f ca="1">IFERROR(__xludf.DUMMYFUNCTION("""COMPUTED_VALUE"""),6)</f>
        <v>6</v>
      </c>
      <c r="K113" s="2"/>
      <c r="L113" s="10"/>
      <c r="M113" s="9" t="str">
        <f ca="1">IFERROR(__xludf.DUMMYFUNCTION("""COMPUTED_VALUE"""),"alinegrisi.psi@gmail.com")</f>
        <v>alinegrisi.psi@gmail.com</v>
      </c>
      <c r="N113" s="2" t="str">
        <f ca="1">IFERROR(__xludf.DUMMYFUNCTION("""COMPUTED_VALUE"""),"alinegrisi@hotmail.com")</f>
        <v>alinegrisi@hotmail.com</v>
      </c>
      <c r="O113" s="2" t="str">
        <f ca="1">IFERROR(__xludf.DUMMYFUNCTION("""COMPUTED_VALUE"""),"(83)98737-3231")</f>
        <v>(83)98737-3231</v>
      </c>
      <c r="P113" s="2" t="str">
        <f ca="1">IFERROR(__xludf.DUMMYFUNCTION("""COMPUTED_VALUE"""),"(83)98826-6221")</f>
        <v>(83)98826-6221</v>
      </c>
      <c r="Q113" s="50"/>
      <c r="R113" s="50"/>
      <c r="S113" s="2" t="str">
        <f ca="1">IFERROR(VLOOKUP(A113,IMPORT_DESISTENCIA!$A$2:$Q2273,14,0),"NÃO")</f>
        <v>NÃO</v>
      </c>
      <c r="T113" s="35"/>
    </row>
    <row r="114" spans="1:20" ht="45" customHeight="1" x14ac:dyDescent="0.25">
      <c r="A114" s="2" t="str">
        <f t="shared" ca="1" si="1"/>
        <v>004/2025/052.064.024-19</v>
      </c>
      <c r="B114" s="2" t="str">
        <f ca="1">IFERROR(__xludf.DUMMYFUNCTION("""COMPUTED_VALUE"""),"052.064.024-19")</f>
        <v>052.064.024-19</v>
      </c>
      <c r="C114" s="43" t="str">
        <f ca="1">IFERROR(__xludf.DUMMYFUNCTION("""COMPUTED_VALUE"""),"SIMONE RACHEL GUEDESDA SILVA SANTOS")</f>
        <v>SIMONE RACHEL GUEDESDA SILVA SANTOS</v>
      </c>
      <c r="D114" s="2" t="str">
        <f ca="1">IFERROR(__xludf.DUMMYFUNCTION("""COMPUTED_VALUE"""),"ORIENTADOR")</f>
        <v>ORIENTADOR</v>
      </c>
      <c r="E114" s="2" t="str">
        <f ca="1">IFERROR(__xludf.DUMMYFUNCTION("""COMPUTED_VALUE"""),"004/2025")</f>
        <v>004/2025</v>
      </c>
      <c r="F114" s="2" t="str">
        <f ca="1">IFERROR(__xludf.DUMMYFUNCTION("""COMPUTED_VALUE"""),"JOAO PESSOA")</f>
        <v>JOAO PESSOA</v>
      </c>
      <c r="G114" s="11"/>
      <c r="H114" s="11" t="str">
        <f ca="1">IFERROR(__xludf.DUMMYFUNCTION("""COMPUTED_VALUE"""),"PENITENCIARIA DE REEDUCACAO FEMININA MARIA JULIA MARANHAO")</f>
        <v>PENITENCIARIA DE REEDUCACAO FEMININA MARIA JULIA MARANHAO</v>
      </c>
      <c r="I114" s="2" t="str">
        <f ca="1">IFERROR(__xludf.DUMMYFUNCTION("""COMPUTED_VALUE"""),"TARDE")</f>
        <v>TARDE</v>
      </c>
      <c r="J114" s="47">
        <f ca="1">IFERROR(__xludf.DUMMYFUNCTION("""COMPUTED_VALUE"""),1)</f>
        <v>1</v>
      </c>
      <c r="K114" s="2" t="str">
        <f ca="1">IFERROR(__xludf.DUMMYFUNCTION("""COMPUTED_VALUE"""),"POSSE INVALIDADA")</f>
        <v>POSSE INVALIDADA</v>
      </c>
      <c r="L114" s="10" t="str">
        <f ca="1">IFERROR(__xludf.DUMMYFUNCTION("""COMPUTED_VALUE"""),"OPTOU POR OUTRO VINCULO")</f>
        <v>OPTOU POR OUTRO VINCULO</v>
      </c>
      <c r="M114" s="9" t="str">
        <f ca="1">IFERROR(__xludf.DUMMYFUNCTION("""COMPUTED_VALUE"""),"sr4ch3l@hotmail.com")</f>
        <v>sr4ch3l@hotmail.com</v>
      </c>
      <c r="N114" s="2" t="str">
        <f ca="1">IFERROR(__xludf.DUMMYFUNCTION("""COMPUTED_VALUE"""),"sr4ch3l3@gmail.com")</f>
        <v>sr4ch3l3@gmail.com</v>
      </c>
      <c r="O114" s="2" t="str">
        <f ca="1">IFERROR(__xludf.DUMMYFUNCTION("""COMPUTED_VALUE"""),"(83)98838-3086")</f>
        <v>(83)98838-3086</v>
      </c>
      <c r="P114" s="2" t="str">
        <f ca="1">IFERROR(__xludf.DUMMYFUNCTION("""COMPUTED_VALUE"""),"(83)98228-8415")</f>
        <v>(83)98228-8415</v>
      </c>
      <c r="Q114" s="50"/>
      <c r="R114" s="50"/>
      <c r="S114" s="2" t="str">
        <f ca="1">IFERROR(VLOOKUP(A114,IMPORT_DESISTENCIA!$A$2:$Q2273,14,0),"NÃO")</f>
        <v>NÃO</v>
      </c>
      <c r="T114" s="35"/>
    </row>
    <row r="115" spans="1:20" ht="45" customHeight="1" x14ac:dyDescent="0.25">
      <c r="A115" s="2" t="str">
        <f t="shared" ca="1" si="1"/>
        <v>004/2025/013.240.214-97</v>
      </c>
      <c r="B115" s="2" t="str">
        <f ca="1">IFERROR(__xludf.DUMMYFUNCTION("""COMPUTED_VALUE"""),"013.240.214-97")</f>
        <v>013.240.214-97</v>
      </c>
      <c r="C115" s="43" t="str">
        <f ca="1">IFERROR(__xludf.DUMMYFUNCTION("""COMPUTED_VALUE"""),"GIOVANNA BARROCA DE MOURA")</f>
        <v>GIOVANNA BARROCA DE MOURA</v>
      </c>
      <c r="D115" s="2" t="str">
        <f ca="1">IFERROR(__xludf.DUMMYFUNCTION("""COMPUTED_VALUE"""),"ORIENTADOR")</f>
        <v>ORIENTADOR</v>
      </c>
      <c r="E115" s="2" t="str">
        <f ca="1">IFERROR(__xludf.DUMMYFUNCTION("""COMPUTED_VALUE"""),"004/2025")</f>
        <v>004/2025</v>
      </c>
      <c r="F115" s="2" t="str">
        <f ca="1">IFERROR(__xludf.DUMMYFUNCTION("""COMPUTED_VALUE"""),"JOAO PESSOA")</f>
        <v>JOAO PESSOA</v>
      </c>
      <c r="G115" s="11"/>
      <c r="H115" s="11" t="str">
        <f ca="1">IFERROR(__xludf.DUMMYFUNCTION("""COMPUTED_VALUE"""),"PENITENCIARIA DE REEDUCACAO FEMININA MARIA JULIA MARANHAO")</f>
        <v>PENITENCIARIA DE REEDUCACAO FEMININA MARIA JULIA MARANHAO</v>
      </c>
      <c r="I115" s="2" t="str">
        <f ca="1">IFERROR(__xludf.DUMMYFUNCTION("""COMPUTED_VALUE"""),"TARDE")</f>
        <v>TARDE</v>
      </c>
      <c r="J115" s="47">
        <f ca="1">IFERROR(__xludf.DUMMYFUNCTION("""COMPUTED_VALUE"""),2)</f>
        <v>2</v>
      </c>
      <c r="K115" s="2" t="str">
        <f ca="1">IFERROR(__xludf.DUMMYFUNCTION("""COMPUTED_VALUE"""),"POSSE VALIDADA")</f>
        <v>POSSE VALIDADA</v>
      </c>
      <c r="L115" s="10"/>
      <c r="M115" s="9" t="str">
        <f ca="1">IFERROR(__xludf.DUMMYFUNCTION("""COMPUTED_VALUE"""),"giovannabarroca@gmail.com")</f>
        <v>giovannabarroca@gmail.com</v>
      </c>
      <c r="N115" s="2" t="str">
        <f ca="1">IFERROR(__xludf.DUMMYFUNCTION("""COMPUTED_VALUE"""),"giovannabm@hotmail.com")</f>
        <v>giovannabm@hotmail.com</v>
      </c>
      <c r="O115" s="2" t="str">
        <f ca="1">IFERROR(__xludf.DUMMYFUNCTION("""COMPUTED_VALUE"""),"(83)98852-4344")</f>
        <v>(83)98852-4344</v>
      </c>
      <c r="P115" s="2"/>
      <c r="Q115" s="50" t="str">
        <f ca="1">IFERROR(__xludf.DUMMYFUNCTION("""COMPUTED_VALUE"""),"13/05/2025")</f>
        <v>13/05/2025</v>
      </c>
      <c r="R115" s="50"/>
      <c r="S115" s="2" t="str">
        <f ca="1">IFERROR(VLOOKUP(A115,IMPORT_DESISTENCIA!$A$2:$Q2273,14,0),"NÃO")</f>
        <v>NÃO</v>
      </c>
      <c r="T115" s="35"/>
    </row>
    <row r="116" spans="1:20" ht="45" customHeight="1" x14ac:dyDescent="0.25">
      <c r="A116" s="2" t="str">
        <f t="shared" ca="1" si="1"/>
        <v>004/2025/008.687.334-23</v>
      </c>
      <c r="B116" s="2" t="str">
        <f ca="1">IFERROR(__xludf.DUMMYFUNCTION("""COMPUTED_VALUE"""),"008.687.334-23")</f>
        <v>008.687.334-23</v>
      </c>
      <c r="C116" s="43" t="str">
        <f ca="1">IFERROR(__xludf.DUMMYFUNCTION("""COMPUTED_VALUE"""),"MIRELLA DE ALMEIDA BRAGA")</f>
        <v>MIRELLA DE ALMEIDA BRAGA</v>
      </c>
      <c r="D116" s="2" t="str">
        <f ca="1">IFERROR(__xludf.DUMMYFUNCTION("""COMPUTED_VALUE"""),"ORIENTADOR")</f>
        <v>ORIENTADOR</v>
      </c>
      <c r="E116" s="2" t="str">
        <f ca="1">IFERROR(__xludf.DUMMYFUNCTION("""COMPUTED_VALUE"""),"004/2025")</f>
        <v>004/2025</v>
      </c>
      <c r="F116" s="2" t="str">
        <f ca="1">IFERROR(__xludf.DUMMYFUNCTION("""COMPUTED_VALUE"""),"JOAO PESSOA")</f>
        <v>JOAO PESSOA</v>
      </c>
      <c r="G116" s="11"/>
      <c r="H116" s="11" t="str">
        <f ca="1">IFERROR(__xludf.DUMMYFUNCTION("""COMPUTED_VALUE"""),"PENITENCIARIA DE REEDUCACAO FEMININA MARIA JULIA MARANHAO")</f>
        <v>PENITENCIARIA DE REEDUCACAO FEMININA MARIA JULIA MARANHAO</v>
      </c>
      <c r="I116" s="2" t="str">
        <f ca="1">IFERROR(__xludf.DUMMYFUNCTION("""COMPUTED_VALUE"""),"TARDE")</f>
        <v>TARDE</v>
      </c>
      <c r="J116" s="47">
        <f ca="1">IFERROR(__xludf.DUMMYFUNCTION("""COMPUTED_VALUE"""),3)</f>
        <v>3</v>
      </c>
      <c r="K116" s="2"/>
      <c r="L116" s="10"/>
      <c r="M116" s="9" t="str">
        <f ca="1">IFERROR(__xludf.DUMMYFUNCTION("""COMPUTED_VALUE"""),"profabragad@gmail.com")</f>
        <v>profabragad@gmail.com</v>
      </c>
      <c r="N116" s="2" t="str">
        <f ca="1">IFERROR(__xludf.DUMMYFUNCTION("""COMPUTED_VALUE"""),"lellinhad@hotmail.com")</f>
        <v>lellinhad@hotmail.com</v>
      </c>
      <c r="O116" s="2" t="str">
        <f ca="1">IFERROR(__xludf.DUMMYFUNCTION("""COMPUTED_VALUE"""),"(83)99155-5344")</f>
        <v>(83)99155-5344</v>
      </c>
      <c r="P116" s="2" t="str">
        <f ca="1">IFERROR(__xludf.DUMMYFUNCTION("""COMPUTED_VALUE"""),"(83)99143-9180")</f>
        <v>(83)99143-9180</v>
      </c>
      <c r="Q116" s="50"/>
      <c r="R116" s="50"/>
      <c r="S116" s="2" t="str">
        <f ca="1">IFERROR(VLOOKUP(A116,IMPORT_DESISTENCIA!$A$2:$Q2273,14,0),"NÃO")</f>
        <v>NÃO</v>
      </c>
      <c r="T116" s="35"/>
    </row>
    <row r="117" spans="1:20" ht="45" customHeight="1" x14ac:dyDescent="0.25">
      <c r="A117" s="2" t="str">
        <f t="shared" ca="1" si="1"/>
        <v>004/2025/033.950.793-41</v>
      </c>
      <c r="B117" s="2" t="str">
        <f ca="1">IFERROR(__xludf.DUMMYFUNCTION("""COMPUTED_VALUE"""),"033.950.793-41")</f>
        <v>033.950.793-41</v>
      </c>
      <c r="C117" s="43" t="str">
        <f ca="1">IFERROR(__xludf.DUMMYFUNCTION("""COMPUTED_VALUE"""),"ANTONIA ADRIANA DE LIMA ROCHA")</f>
        <v>ANTONIA ADRIANA DE LIMA ROCHA</v>
      </c>
      <c r="D117" s="2" t="str">
        <f ca="1">IFERROR(__xludf.DUMMYFUNCTION("""COMPUTED_VALUE"""),"ORIENTADOR")</f>
        <v>ORIENTADOR</v>
      </c>
      <c r="E117" s="2" t="str">
        <f ca="1">IFERROR(__xludf.DUMMYFUNCTION("""COMPUTED_VALUE"""),"004/2025")</f>
        <v>004/2025</v>
      </c>
      <c r="F117" s="2" t="str">
        <f ca="1">IFERROR(__xludf.DUMMYFUNCTION("""COMPUTED_VALUE"""),"JOAO PESSOA")</f>
        <v>JOAO PESSOA</v>
      </c>
      <c r="G117" s="11"/>
      <c r="H117" s="11" t="str">
        <f ca="1">IFERROR(__xludf.DUMMYFUNCTION("""COMPUTED_VALUE"""),"PENITENCIARIA DE REEDUCACAO FEMININA MARIA JULIA MARANHAO")</f>
        <v>PENITENCIARIA DE REEDUCACAO FEMININA MARIA JULIA MARANHAO</v>
      </c>
      <c r="I117" s="2" t="str">
        <f ca="1">IFERROR(__xludf.DUMMYFUNCTION("""COMPUTED_VALUE"""),"TARDE")</f>
        <v>TARDE</v>
      </c>
      <c r="J117" s="47">
        <f ca="1">IFERROR(__xludf.DUMMYFUNCTION("""COMPUTED_VALUE"""),4)</f>
        <v>4</v>
      </c>
      <c r="K117" s="2"/>
      <c r="L117" s="10"/>
      <c r="M117" s="9" t="str">
        <f ca="1">IFERROR(__xludf.DUMMYFUNCTION("""COMPUTED_VALUE"""),"aninhacops2@gmail.com")</f>
        <v>aninhacops2@gmail.com</v>
      </c>
      <c r="N117" s="2" t="str">
        <f ca="1">IFERROR(__xludf.DUMMYFUNCTION("""COMPUTED_VALUE"""),"cgeorgeseinfra@gmail.com")</f>
        <v>cgeorgeseinfra@gmail.com</v>
      </c>
      <c r="O117" s="2" t="str">
        <f ca="1">IFERROR(__xludf.DUMMYFUNCTION("""COMPUTED_VALUE"""),"(88)999054120")</f>
        <v>(88)999054120</v>
      </c>
      <c r="P117" s="2" t="str">
        <f ca="1">IFERROR(__xludf.DUMMYFUNCTION("""COMPUTED_VALUE"""),"(88)999392034")</f>
        <v>(88)999392034</v>
      </c>
      <c r="Q117" s="50"/>
      <c r="R117" s="50"/>
      <c r="S117" s="2" t="str">
        <f ca="1">IFERROR(VLOOKUP(A117,IMPORT_DESISTENCIA!$A$2:$Q2273,14,0),"NÃO")</f>
        <v>NÃO</v>
      </c>
      <c r="T117" s="35"/>
    </row>
    <row r="118" spans="1:20" ht="45" customHeight="1" x14ac:dyDescent="0.25">
      <c r="A118" s="2" t="str">
        <f t="shared" ca="1" si="1"/>
        <v>004/2025/100.672.294-76</v>
      </c>
      <c r="B118" s="2" t="str">
        <f ca="1">IFERROR(__xludf.DUMMYFUNCTION("""COMPUTED_VALUE"""),"100.672.294-76")</f>
        <v>100.672.294-76</v>
      </c>
      <c r="C118" s="43" t="str">
        <f ca="1">IFERROR(__xludf.DUMMYFUNCTION("""COMPUTED_VALUE"""),"MARIA LUIZA PEREIRA LEITE")</f>
        <v>MARIA LUIZA PEREIRA LEITE</v>
      </c>
      <c r="D118" s="2" t="str">
        <f ca="1">IFERROR(__xludf.DUMMYFUNCTION("""COMPUTED_VALUE"""),"ORIENTADOR")</f>
        <v>ORIENTADOR</v>
      </c>
      <c r="E118" s="2" t="str">
        <f ca="1">IFERROR(__xludf.DUMMYFUNCTION("""COMPUTED_VALUE"""),"004/2025")</f>
        <v>004/2025</v>
      </c>
      <c r="F118" s="2" t="str">
        <f ca="1">IFERROR(__xludf.DUMMYFUNCTION("""COMPUTED_VALUE"""),"JOAO PESSOA")</f>
        <v>JOAO PESSOA</v>
      </c>
      <c r="G118" s="11"/>
      <c r="H118" s="11" t="str">
        <f ca="1">IFERROR(__xludf.DUMMYFUNCTION("""COMPUTED_VALUE"""),"PENITENCIARIA DE REEDUCACAO FEMININA MARIA JULIA MARANHAO")</f>
        <v>PENITENCIARIA DE REEDUCACAO FEMININA MARIA JULIA MARANHAO</v>
      </c>
      <c r="I118" s="2" t="str">
        <f ca="1">IFERROR(__xludf.DUMMYFUNCTION("""COMPUTED_VALUE"""),"TARDE")</f>
        <v>TARDE</v>
      </c>
      <c r="J118" s="47">
        <f ca="1">IFERROR(__xludf.DUMMYFUNCTION("""COMPUTED_VALUE"""),5)</f>
        <v>5</v>
      </c>
      <c r="K118" s="2"/>
      <c r="L118" s="10"/>
      <c r="M118" s="9" t="str">
        <f ca="1">IFERROR(__xludf.DUMMYFUNCTION("""COMPUTED_VALUE"""),"marialuizapereiraleite@gmail.com")</f>
        <v>marialuizapereiraleite@gmail.com</v>
      </c>
      <c r="N118" s="2"/>
      <c r="O118" s="2" t="str">
        <f ca="1">IFERROR(__xludf.DUMMYFUNCTION("""COMPUTED_VALUE"""),"(83)99642-5088")</f>
        <v>(83)99642-5088</v>
      </c>
      <c r="P118" s="2"/>
      <c r="Q118" s="50"/>
      <c r="R118" s="50"/>
      <c r="S118" s="2" t="str">
        <f ca="1">IFERROR(VLOOKUP(A118,IMPORT_DESISTENCIA!$A$2:$Q2273,14,0),"NÃO")</f>
        <v>NÃO</v>
      </c>
      <c r="T118" s="35"/>
    </row>
    <row r="119" spans="1:20" ht="45" customHeight="1" x14ac:dyDescent="0.25">
      <c r="A119" s="2" t="str">
        <f t="shared" ca="1" si="1"/>
        <v>004/2025/064.039.624-00</v>
      </c>
      <c r="B119" s="2" t="str">
        <f ca="1">IFERROR(__xludf.DUMMYFUNCTION("""COMPUTED_VALUE"""),"064.039.624-00")</f>
        <v>064.039.624-00</v>
      </c>
      <c r="C119" s="43" t="str">
        <f ca="1">IFERROR(__xludf.DUMMYFUNCTION("""COMPUTED_VALUE"""),"RAIMUNDO FERREIRA DE LIMA")</f>
        <v>RAIMUNDO FERREIRA DE LIMA</v>
      </c>
      <c r="D119" s="2" t="str">
        <f ca="1">IFERROR(__xludf.DUMMYFUNCTION("""COMPUTED_VALUE"""),"ORIENTADOR")</f>
        <v>ORIENTADOR</v>
      </c>
      <c r="E119" s="2" t="str">
        <f ca="1">IFERROR(__xludf.DUMMYFUNCTION("""COMPUTED_VALUE"""),"004/2025")</f>
        <v>004/2025</v>
      </c>
      <c r="F119" s="2" t="str">
        <f ca="1">IFERROR(__xludf.DUMMYFUNCTION("""COMPUTED_VALUE"""),"JOAO PESSOA")</f>
        <v>JOAO PESSOA</v>
      </c>
      <c r="G119" s="11"/>
      <c r="H119" s="11" t="str">
        <f ca="1">IFERROR(__xludf.DUMMYFUNCTION("""COMPUTED_VALUE"""),"PENITENCIARIA DE REEDUCACAO FEMININA MARIA JULIA MARANHAO")</f>
        <v>PENITENCIARIA DE REEDUCACAO FEMININA MARIA JULIA MARANHAO</v>
      </c>
      <c r="I119" s="2" t="str">
        <f ca="1">IFERROR(__xludf.DUMMYFUNCTION("""COMPUTED_VALUE"""),"TARDE")</f>
        <v>TARDE</v>
      </c>
      <c r="J119" s="47">
        <f ca="1">IFERROR(__xludf.DUMMYFUNCTION("""COMPUTED_VALUE"""),6)</f>
        <v>6</v>
      </c>
      <c r="K119" s="2"/>
      <c r="L119" s="10"/>
      <c r="M119" s="9" t="str">
        <f ca="1">IFERROR(__xludf.DUMMYFUNCTION("""COMPUTED_VALUE"""),"adv.raimundoferreira@gmail.com")</f>
        <v>adv.raimundoferreira@gmail.com</v>
      </c>
      <c r="N119" s="2" t="str">
        <f ca="1">IFERROR(__xludf.DUMMYFUNCTION("""COMPUTED_VALUE"""),"rflraimundo@gmail.com")</f>
        <v>rflraimundo@gmail.com</v>
      </c>
      <c r="O119" s="2" t="str">
        <f ca="1">IFERROR(__xludf.DUMMYFUNCTION("""COMPUTED_VALUE"""),"(83)99136-9833")</f>
        <v>(83)99136-9833</v>
      </c>
      <c r="P119" s="2" t="str">
        <f ca="1">IFERROR(__xludf.DUMMYFUNCTION("""COMPUTED_VALUE"""),"(83)99365-5824")</f>
        <v>(83)99365-5824</v>
      </c>
      <c r="Q119" s="50"/>
      <c r="R119" s="50"/>
      <c r="S119" s="2" t="str">
        <f ca="1">IFERROR(VLOOKUP(A119,IMPORT_DESISTENCIA!$A$2:$Q2273,14,0),"NÃO")</f>
        <v>NÃO</v>
      </c>
      <c r="T119" s="35"/>
    </row>
    <row r="120" spans="1:20" ht="45" customHeight="1" x14ac:dyDescent="0.25">
      <c r="A120" s="2" t="str">
        <f t="shared" ca="1" si="1"/>
        <v>004/2025/007.772.414-39</v>
      </c>
      <c r="B120" s="2" t="str">
        <f ca="1">IFERROR(__xludf.DUMMYFUNCTION("""COMPUTED_VALUE"""),"007.772.414-39")</f>
        <v>007.772.414-39</v>
      </c>
      <c r="C120" s="43" t="str">
        <f ca="1">IFERROR(__xludf.DUMMYFUNCTION("""COMPUTED_VALUE"""),"ELIUDE MUNIZ DOS SANTOS")</f>
        <v>ELIUDE MUNIZ DOS SANTOS</v>
      </c>
      <c r="D120" s="2" t="str">
        <f ca="1">IFERROR(__xludf.DUMMYFUNCTION("""COMPUTED_VALUE"""),"ORIENTADOR")</f>
        <v>ORIENTADOR</v>
      </c>
      <c r="E120" s="2" t="str">
        <f ca="1">IFERROR(__xludf.DUMMYFUNCTION("""COMPUTED_VALUE"""),"004/2025")</f>
        <v>004/2025</v>
      </c>
      <c r="F120" s="2" t="str">
        <f ca="1">IFERROR(__xludf.DUMMYFUNCTION("""COMPUTED_VALUE"""),"JOAO PESSOA")</f>
        <v>JOAO PESSOA</v>
      </c>
      <c r="G120" s="11"/>
      <c r="H120" s="11" t="str">
        <f ca="1">IFERROR(__xludf.DUMMYFUNCTION("""COMPUTED_VALUE"""),"PENITENCIARIA DE REEDUCACAO FEMININA MARIA JULIA MARANHAO")</f>
        <v>PENITENCIARIA DE REEDUCACAO FEMININA MARIA JULIA MARANHAO</v>
      </c>
      <c r="I120" s="2" t="str">
        <f ca="1">IFERROR(__xludf.DUMMYFUNCTION("""COMPUTED_VALUE"""),"TARDE")</f>
        <v>TARDE</v>
      </c>
      <c r="J120" s="47">
        <f ca="1">IFERROR(__xludf.DUMMYFUNCTION("""COMPUTED_VALUE"""),7)</f>
        <v>7</v>
      </c>
      <c r="K120" s="2"/>
      <c r="L120" s="10"/>
      <c r="M120" s="9" t="str">
        <f ca="1">IFERROR(__xludf.DUMMYFUNCTION("""COMPUTED_VALUE"""),"liusokat@gmail.com")</f>
        <v>liusokat@gmail.com</v>
      </c>
      <c r="N120" s="2" t="str">
        <f ca="1">IFERROR(__xludf.DUMMYFUNCTION("""COMPUTED_VALUE"""),"eliudemuniz@hotmail.com")</f>
        <v>eliudemuniz@hotmail.com</v>
      </c>
      <c r="O120" s="2" t="str">
        <f ca="1">IFERROR(__xludf.DUMMYFUNCTION("""COMPUTED_VALUE"""),"(083)98821-0192")</f>
        <v>(083)98821-0192</v>
      </c>
      <c r="P120" s="2" t="str">
        <f ca="1">IFERROR(__xludf.DUMMYFUNCTION("""COMPUTED_VALUE"""),"(083)98821-0192")</f>
        <v>(083)98821-0192</v>
      </c>
      <c r="Q120" s="50"/>
      <c r="R120" s="50"/>
      <c r="S120" s="2" t="str">
        <f ca="1">IFERROR(VLOOKUP(A120,IMPORT_DESISTENCIA!$A$2:$Q2273,14,0),"NÃO")</f>
        <v>NÃO</v>
      </c>
      <c r="T120" s="35"/>
    </row>
    <row r="121" spans="1:20" ht="45" customHeight="1" x14ac:dyDescent="0.25">
      <c r="A121" s="2" t="str">
        <f t="shared" ca="1" si="1"/>
        <v>004/2025/011.830.834-32</v>
      </c>
      <c r="B121" s="2" t="str">
        <f ca="1">IFERROR(__xludf.DUMMYFUNCTION("""COMPUTED_VALUE"""),"011.830.834-32")</f>
        <v>011.830.834-32</v>
      </c>
      <c r="C121" s="43" t="str">
        <f ca="1">IFERROR(__xludf.DUMMYFUNCTION("""COMPUTED_VALUE"""),"ANALIDE MINEIA DA SILVA")</f>
        <v>ANALIDE MINEIA DA SILVA</v>
      </c>
      <c r="D121" s="2" t="str">
        <f ca="1">IFERROR(__xludf.DUMMYFUNCTION("""COMPUTED_VALUE"""),"ORIENTADOR")</f>
        <v>ORIENTADOR</v>
      </c>
      <c r="E121" s="2" t="str">
        <f ca="1">IFERROR(__xludf.DUMMYFUNCTION("""COMPUTED_VALUE"""),"004/2025")</f>
        <v>004/2025</v>
      </c>
      <c r="F121" s="2" t="str">
        <f ca="1">IFERROR(__xludf.DUMMYFUNCTION("""COMPUTED_VALUE"""),"JOAO PESSOA")</f>
        <v>JOAO PESSOA</v>
      </c>
      <c r="G121" s="11"/>
      <c r="H121" s="11" t="str">
        <f ca="1">IFERROR(__xludf.DUMMYFUNCTION("""COMPUTED_VALUE"""),"PENITENCIARIA DE REEDUCACAO FEMININA MARIA JULIA MARANHAO")</f>
        <v>PENITENCIARIA DE REEDUCACAO FEMININA MARIA JULIA MARANHAO</v>
      </c>
      <c r="I121" s="2" t="str">
        <f ca="1">IFERROR(__xludf.DUMMYFUNCTION("""COMPUTED_VALUE"""),"TARDE")</f>
        <v>TARDE</v>
      </c>
      <c r="J121" s="47">
        <f ca="1">IFERROR(__xludf.DUMMYFUNCTION("""COMPUTED_VALUE"""),8)</f>
        <v>8</v>
      </c>
      <c r="K121" s="2"/>
      <c r="L121" s="10"/>
      <c r="M121" s="9" t="str">
        <f ca="1">IFERROR(__xludf.DUMMYFUNCTION("""COMPUTED_VALUE"""),"mineiaanalide@gmail.com")</f>
        <v>mineiaanalide@gmail.com</v>
      </c>
      <c r="N121" s="2" t="str">
        <f ca="1">IFERROR(__xludf.DUMMYFUNCTION("""COMPUTED_VALUE"""),"analidemineia@gmail.com")</f>
        <v>analidemineia@gmail.com</v>
      </c>
      <c r="O121" s="2" t="str">
        <f ca="1">IFERROR(__xludf.DUMMYFUNCTION("""COMPUTED_VALUE"""),"(83)999007075")</f>
        <v>(83)999007075</v>
      </c>
      <c r="P121" s="2"/>
      <c r="Q121" s="50"/>
      <c r="R121" s="50"/>
      <c r="S121" s="2" t="str">
        <f ca="1">IFERROR(VLOOKUP(A121,IMPORT_DESISTENCIA!$A$2:$Q2273,14,0),"NÃO")</f>
        <v>NÃO</v>
      </c>
      <c r="T121" s="35"/>
    </row>
    <row r="122" spans="1:20" ht="45" customHeight="1" x14ac:dyDescent="0.25">
      <c r="A122" s="2" t="str">
        <f t="shared" ca="1" si="1"/>
        <v>004/2025/009.415.643-39</v>
      </c>
      <c r="B122" s="2" t="str">
        <f ca="1">IFERROR(__xludf.DUMMYFUNCTION("""COMPUTED_VALUE"""),"009.415.643-39")</f>
        <v>009.415.643-39</v>
      </c>
      <c r="C122" s="43" t="str">
        <f ca="1">IFERROR(__xludf.DUMMYFUNCTION("""COMPUTED_VALUE"""),"CLEMIDA NOBERTO DA SILVA")</f>
        <v>CLEMIDA NOBERTO DA SILVA</v>
      </c>
      <c r="D122" s="2" t="str">
        <f ca="1">IFERROR(__xludf.DUMMYFUNCTION("""COMPUTED_VALUE"""),"ORIENTADOR")</f>
        <v>ORIENTADOR</v>
      </c>
      <c r="E122" s="2" t="str">
        <f ca="1">IFERROR(__xludf.DUMMYFUNCTION("""COMPUTED_VALUE"""),"004/2025")</f>
        <v>004/2025</v>
      </c>
      <c r="F122" s="2" t="str">
        <f ca="1">IFERROR(__xludf.DUMMYFUNCTION("""COMPUTED_VALUE"""),"JOAO PESSOA")</f>
        <v>JOAO PESSOA</v>
      </c>
      <c r="G122" s="11"/>
      <c r="H122" s="11" t="str">
        <f ca="1">IFERROR(__xludf.DUMMYFUNCTION("""COMPUTED_VALUE"""),"PENITENCIARIA DE REEDUCACAO FEMININA MARIA JULIA MARANHAO")</f>
        <v>PENITENCIARIA DE REEDUCACAO FEMININA MARIA JULIA MARANHAO</v>
      </c>
      <c r="I122" s="2" t="str">
        <f ca="1">IFERROR(__xludf.DUMMYFUNCTION("""COMPUTED_VALUE"""),"TARDE")</f>
        <v>TARDE</v>
      </c>
      <c r="J122" s="47">
        <f ca="1">IFERROR(__xludf.DUMMYFUNCTION("""COMPUTED_VALUE"""),9)</f>
        <v>9</v>
      </c>
      <c r="K122" s="2"/>
      <c r="L122" s="10"/>
      <c r="M122" s="9" t="str">
        <f ca="1">IFERROR(__xludf.DUMMYFUNCTION("""COMPUTED_VALUE"""),"clemida.noberto@gmail.com")</f>
        <v>clemida.noberto@gmail.com</v>
      </c>
      <c r="N122" s="2" t="str">
        <f ca="1">IFERROR(__xludf.DUMMYFUNCTION("""COMPUTED_VALUE"""),"clemidanoberto@hotmail.com")</f>
        <v>clemidanoberto@hotmail.com</v>
      </c>
      <c r="O122" s="2" t="str">
        <f ca="1">IFERROR(__xludf.DUMMYFUNCTION("""COMPUTED_VALUE"""),"(83) 8720-0374")</f>
        <v>(83) 8720-0374</v>
      </c>
      <c r="P122" s="2" t="str">
        <f ca="1">IFERROR(__xludf.DUMMYFUNCTION("""COMPUTED_VALUE"""),"(83) 8720-0374")</f>
        <v>(83) 8720-0374</v>
      </c>
      <c r="Q122" s="50"/>
      <c r="R122" s="50"/>
      <c r="S122" s="2" t="str">
        <f ca="1">IFERROR(VLOOKUP(A122,IMPORT_DESISTENCIA!$A$2:$Q2273,14,0),"NÃO")</f>
        <v>NÃO</v>
      </c>
      <c r="T122" s="35"/>
    </row>
    <row r="123" spans="1:20" ht="45" customHeight="1" x14ac:dyDescent="0.25">
      <c r="A123" s="2" t="str">
        <f t="shared" ca="1" si="1"/>
        <v>004/2025/071.292.514-76</v>
      </c>
      <c r="B123" s="2" t="str">
        <f ca="1">IFERROR(__xludf.DUMMYFUNCTION("""COMPUTED_VALUE"""),"071.292.514-76")</f>
        <v>071.292.514-76</v>
      </c>
      <c r="C123" s="43" t="str">
        <f ca="1">IFERROR(__xludf.DUMMYFUNCTION("""COMPUTED_VALUE"""),"DEYSE DAYANE ALVES MARQUES DE LUNA FREIRE")</f>
        <v>DEYSE DAYANE ALVES MARQUES DE LUNA FREIRE</v>
      </c>
      <c r="D123" s="2" t="str">
        <f ca="1">IFERROR(__xludf.DUMMYFUNCTION("""COMPUTED_VALUE"""),"ORIENTADOR")</f>
        <v>ORIENTADOR</v>
      </c>
      <c r="E123" s="2" t="str">
        <f ca="1">IFERROR(__xludf.DUMMYFUNCTION("""COMPUTED_VALUE"""),"004/2025")</f>
        <v>004/2025</v>
      </c>
      <c r="F123" s="2" t="str">
        <f ca="1">IFERROR(__xludf.DUMMYFUNCTION("""COMPUTED_VALUE"""),"JOAO PESSOA")</f>
        <v>JOAO PESSOA</v>
      </c>
      <c r="G123" s="11"/>
      <c r="H123" s="11" t="str">
        <f ca="1">IFERROR(__xludf.DUMMYFUNCTION("""COMPUTED_VALUE"""),"PENITENCIARIA DE REEDUCACAO FEMININA MARIA JULIA MARANHAO")</f>
        <v>PENITENCIARIA DE REEDUCACAO FEMININA MARIA JULIA MARANHAO</v>
      </c>
      <c r="I123" s="2" t="str">
        <f ca="1">IFERROR(__xludf.DUMMYFUNCTION("""COMPUTED_VALUE"""),"TARDE")</f>
        <v>TARDE</v>
      </c>
      <c r="J123" s="47">
        <f ca="1">IFERROR(__xludf.DUMMYFUNCTION("""COMPUTED_VALUE"""),10)</f>
        <v>10</v>
      </c>
      <c r="K123" s="2"/>
      <c r="L123" s="10"/>
      <c r="M123" s="9" t="str">
        <f ca="1">IFERROR(__xludf.DUMMYFUNCTION("""COMPUTED_VALUE"""),"deysedalves@gmail.com")</f>
        <v>deysedalves@gmail.com</v>
      </c>
      <c r="N123" s="2"/>
      <c r="O123" s="2" t="str">
        <f ca="1">IFERROR(__xludf.DUMMYFUNCTION("""COMPUTED_VALUE"""),"(83)996412801")</f>
        <v>(83)996412801</v>
      </c>
      <c r="P123" s="2"/>
      <c r="Q123" s="50"/>
      <c r="R123" s="50"/>
      <c r="S123" s="2" t="str">
        <f ca="1">IFERROR(VLOOKUP(A123,IMPORT_DESISTENCIA!$A$2:$Q2273,14,0),"NÃO")</f>
        <v>NÃO</v>
      </c>
      <c r="T123" s="35"/>
    </row>
    <row r="124" spans="1:20" ht="45" customHeight="1" x14ac:dyDescent="0.25">
      <c r="A124" s="2" t="str">
        <f t="shared" ca="1" si="1"/>
        <v>004/2025/126.959.794-95</v>
      </c>
      <c r="B124" s="2" t="str">
        <f ca="1">IFERROR(__xludf.DUMMYFUNCTION("""COMPUTED_VALUE"""),"126.959.794-95")</f>
        <v>126.959.794-95</v>
      </c>
      <c r="C124" s="43" t="str">
        <f ca="1">IFERROR(__xludf.DUMMYFUNCTION("""COMPUTED_VALUE"""),"MARIANA LIMA DE SOUSA")</f>
        <v>MARIANA LIMA DE SOUSA</v>
      </c>
      <c r="D124" s="2" t="str">
        <f ca="1">IFERROR(__xludf.DUMMYFUNCTION("""COMPUTED_VALUE"""),"ORIENTADOR")</f>
        <v>ORIENTADOR</v>
      </c>
      <c r="E124" s="2" t="str">
        <f ca="1">IFERROR(__xludf.DUMMYFUNCTION("""COMPUTED_VALUE"""),"004/2025")</f>
        <v>004/2025</v>
      </c>
      <c r="F124" s="2" t="str">
        <f ca="1">IFERROR(__xludf.DUMMYFUNCTION("""COMPUTED_VALUE"""),"JOAO PESSOA")</f>
        <v>JOAO PESSOA</v>
      </c>
      <c r="G124" s="11"/>
      <c r="H124" s="11" t="str">
        <f ca="1">IFERROR(__xludf.DUMMYFUNCTION("""COMPUTED_VALUE"""),"PENITENCIARIA DE REEDUCACAO FEMININA MARIA JULIA MARANHAO")</f>
        <v>PENITENCIARIA DE REEDUCACAO FEMININA MARIA JULIA MARANHAO</v>
      </c>
      <c r="I124" s="2" t="str">
        <f ca="1">IFERROR(__xludf.DUMMYFUNCTION("""COMPUTED_VALUE"""),"TARDE")</f>
        <v>TARDE</v>
      </c>
      <c r="J124" s="47">
        <f ca="1">IFERROR(__xludf.DUMMYFUNCTION("""COMPUTED_VALUE"""),11)</f>
        <v>11</v>
      </c>
      <c r="K124" s="2"/>
      <c r="L124" s="10"/>
      <c r="M124" s="9" t="str">
        <f ca="1">IFERROR(__xludf.DUMMYFUNCTION("""COMPUTED_VALUE"""),"Mariana_lima15@outlook.com")</f>
        <v>Mariana_lima15@outlook.com</v>
      </c>
      <c r="N124" s="2" t="str">
        <f ca="1">IFERROR(__xludf.DUMMYFUNCTION("""COMPUTED_VALUE"""),"ana.aracele@gmail.com")</f>
        <v>ana.aracele@gmail.com</v>
      </c>
      <c r="O124" s="2" t="str">
        <f ca="1">IFERROR(__xludf.DUMMYFUNCTION("""COMPUTED_VALUE"""),"(83)99633-0901")</f>
        <v>(83)99633-0901</v>
      </c>
      <c r="P124" s="2" t="str">
        <f ca="1">IFERROR(__xludf.DUMMYFUNCTION("""COMPUTED_VALUE"""),"(83)99629-3833")</f>
        <v>(83)99629-3833</v>
      </c>
      <c r="Q124" s="50"/>
      <c r="R124" s="50"/>
      <c r="S124" s="2" t="str">
        <f ca="1">IFERROR(VLOOKUP(A124,IMPORT_DESISTENCIA!$A$2:$Q2273,14,0),"NÃO")</f>
        <v>NÃO</v>
      </c>
      <c r="T124" s="35"/>
    </row>
    <row r="125" spans="1:20" ht="45" customHeight="1" x14ac:dyDescent="0.25">
      <c r="A125" s="2" t="str">
        <f t="shared" ca="1" si="1"/>
        <v>004/2025/071.967.134-51</v>
      </c>
      <c r="B125" s="2" t="str">
        <f ca="1">IFERROR(__xludf.DUMMYFUNCTION("""COMPUTED_VALUE"""),"071.967.134-51")</f>
        <v>071.967.134-51</v>
      </c>
      <c r="C125" s="43" t="str">
        <f ca="1">IFERROR(__xludf.DUMMYFUNCTION("""COMPUTED_VALUE"""),"KAROLINA KARLA COSTA SILVA")</f>
        <v>KAROLINA KARLA COSTA SILVA</v>
      </c>
      <c r="D125" s="2" t="str">
        <f ca="1">IFERROR(__xludf.DUMMYFUNCTION("""COMPUTED_VALUE"""),"ORIENTADOR")</f>
        <v>ORIENTADOR</v>
      </c>
      <c r="E125" s="2" t="str">
        <f ca="1">IFERROR(__xludf.DUMMYFUNCTION("""COMPUTED_VALUE"""),"004/2025")</f>
        <v>004/2025</v>
      </c>
      <c r="F125" s="2" t="str">
        <f ca="1">IFERROR(__xludf.DUMMYFUNCTION("""COMPUTED_VALUE"""),"JOAO PESSOA")</f>
        <v>JOAO PESSOA</v>
      </c>
      <c r="G125" s="11"/>
      <c r="H125" s="11" t="str">
        <f ca="1">IFERROR(__xludf.DUMMYFUNCTION("""COMPUTED_VALUE"""),"PENITENCIARIA DE REEDUCACAO FEMININA MARIA JULIA MARANHAO")</f>
        <v>PENITENCIARIA DE REEDUCACAO FEMININA MARIA JULIA MARANHAO</v>
      </c>
      <c r="I125" s="2" t="str">
        <f ca="1">IFERROR(__xludf.DUMMYFUNCTION("""COMPUTED_VALUE"""),"TARDE")</f>
        <v>TARDE</v>
      </c>
      <c r="J125" s="47">
        <f ca="1">IFERROR(__xludf.DUMMYFUNCTION("""COMPUTED_VALUE"""),12)</f>
        <v>12</v>
      </c>
      <c r="K125" s="2"/>
      <c r="L125" s="10"/>
      <c r="M125" s="9" t="str">
        <f ca="1">IFERROR(__xludf.DUMMYFUNCTION("""COMPUTED_VALUE"""),"ksilva.pb@gmail.com")</f>
        <v>ksilva.pb@gmail.com</v>
      </c>
      <c r="N125" s="2"/>
      <c r="O125" s="2" t="str">
        <f ca="1">IFERROR(__xludf.DUMMYFUNCTION("""COMPUTED_VALUE"""),"(83)98718-3668")</f>
        <v>(83)98718-3668</v>
      </c>
      <c r="P125" s="2"/>
      <c r="Q125" s="50"/>
      <c r="R125" s="50"/>
      <c r="S125" s="2" t="str">
        <f ca="1">IFERROR(VLOOKUP(A125,IMPORT_DESISTENCIA!$A$2:$Q2273,14,0),"NÃO")</f>
        <v>NÃO</v>
      </c>
      <c r="T125" s="35"/>
    </row>
    <row r="126" spans="1:20" ht="45" customHeight="1" x14ac:dyDescent="0.25">
      <c r="A126" s="2" t="str">
        <f t="shared" ca="1" si="1"/>
        <v>004/2025/060.681.394-25</v>
      </c>
      <c r="B126" s="2" t="str">
        <f ca="1">IFERROR(__xludf.DUMMYFUNCTION("""COMPUTED_VALUE"""),"060.681.394-25")</f>
        <v>060.681.394-25</v>
      </c>
      <c r="C126" s="43" t="str">
        <f ca="1">IFERROR(__xludf.DUMMYFUNCTION("""COMPUTED_VALUE"""),"ANDERSON DUARTE DA SILVA")</f>
        <v>ANDERSON DUARTE DA SILVA</v>
      </c>
      <c r="D126" s="2" t="str">
        <f ca="1">IFERROR(__xludf.DUMMYFUNCTION("""COMPUTED_VALUE"""),"ORIENTADOR")</f>
        <v>ORIENTADOR</v>
      </c>
      <c r="E126" s="2" t="str">
        <f ca="1">IFERROR(__xludf.DUMMYFUNCTION("""COMPUTED_VALUE"""),"004/2025")</f>
        <v>004/2025</v>
      </c>
      <c r="F126" s="2" t="str">
        <f ca="1">IFERROR(__xludf.DUMMYFUNCTION("""COMPUTED_VALUE"""),"JOAO PESSOA")</f>
        <v>JOAO PESSOA</v>
      </c>
      <c r="G126" s="11"/>
      <c r="H126" s="11" t="str">
        <f ca="1">IFERROR(__xludf.DUMMYFUNCTION("""COMPUTED_VALUE"""),"ESCOLA MUNICIPAL LUIZA LIMA LOBO")</f>
        <v>ESCOLA MUNICIPAL LUIZA LIMA LOBO</v>
      </c>
      <c r="I126" s="2" t="str">
        <f ca="1">IFERROR(__xludf.DUMMYFUNCTION("""COMPUTED_VALUE"""),"NOITE")</f>
        <v>NOITE</v>
      </c>
      <c r="J126" s="47">
        <f ca="1">IFERROR(__xludf.DUMMYFUNCTION("""COMPUTED_VALUE"""),1)</f>
        <v>1</v>
      </c>
      <c r="K126" s="2"/>
      <c r="L126" s="10"/>
      <c r="M126" s="9" t="str">
        <f ca="1">IFERROR(__xludf.DUMMYFUNCTION("""COMPUTED_VALUE"""),"andersonseb.ufpb@gmail.com")</f>
        <v>andersonseb.ufpb@gmail.com</v>
      </c>
      <c r="N126" s="2" t="str">
        <f ca="1">IFERROR(__xludf.DUMMYFUNCTION("""COMPUTED_VALUE"""),"andersonduarteufpb@gmail.com")</f>
        <v>andersonduarteufpb@gmail.com</v>
      </c>
      <c r="O126" s="2" t="str">
        <f ca="1">IFERROR(__xludf.DUMMYFUNCTION("""COMPUTED_VALUE"""),"(83)998188741")</f>
        <v>(83)998188741</v>
      </c>
      <c r="P126" s="2"/>
      <c r="Q126" s="50"/>
      <c r="R126" s="50"/>
      <c r="S126" s="2" t="str">
        <f ca="1">IFERROR(VLOOKUP(A126,IMPORT_DESISTENCIA!$A$2:$Q2273,14,0),"NÃO")</f>
        <v>NÃO</v>
      </c>
      <c r="T126" s="35"/>
    </row>
    <row r="127" spans="1:20" ht="45" customHeight="1" x14ac:dyDescent="0.25">
      <c r="A127" s="2" t="str">
        <f t="shared" ca="1" si="1"/>
        <v>004/2025/095.728.144-78</v>
      </c>
      <c r="B127" s="2" t="str">
        <f ca="1">IFERROR(__xludf.DUMMYFUNCTION("""COMPUTED_VALUE"""),"095.728.144-78")</f>
        <v>095.728.144-78</v>
      </c>
      <c r="C127" s="43" t="str">
        <f ca="1">IFERROR(__xludf.DUMMYFUNCTION("""COMPUTED_VALUE"""),"CINTHIA RAQUEL DE FRANÇA RODFRIGUES")</f>
        <v>CINTHIA RAQUEL DE FRANÇA RODFRIGUES</v>
      </c>
      <c r="D127" s="2" t="str">
        <f ca="1">IFERROR(__xludf.DUMMYFUNCTION("""COMPUTED_VALUE"""),"ORIENTADOR")</f>
        <v>ORIENTADOR</v>
      </c>
      <c r="E127" s="2" t="str">
        <f ca="1">IFERROR(__xludf.DUMMYFUNCTION("""COMPUTED_VALUE"""),"004/2025")</f>
        <v>004/2025</v>
      </c>
      <c r="F127" s="2" t="str">
        <f ca="1">IFERROR(__xludf.DUMMYFUNCTION("""COMPUTED_VALUE"""),"JOAO PESSOA")</f>
        <v>JOAO PESSOA</v>
      </c>
      <c r="G127" s="11"/>
      <c r="H127" s="11" t="str">
        <f ca="1">IFERROR(__xludf.DUMMYFUNCTION("""COMPUTED_VALUE"""),"ESCOLA MUNICIPAL LUIZA LIMA LOBO")</f>
        <v>ESCOLA MUNICIPAL LUIZA LIMA LOBO</v>
      </c>
      <c r="I127" s="2" t="str">
        <f ca="1">IFERROR(__xludf.DUMMYFUNCTION("""COMPUTED_VALUE"""),"NOITE")</f>
        <v>NOITE</v>
      </c>
      <c r="J127" s="47">
        <f ca="1">IFERROR(__xludf.DUMMYFUNCTION("""COMPUTED_VALUE"""),2)</f>
        <v>2</v>
      </c>
      <c r="K127" s="2" t="str">
        <f ca="1">IFERROR(__xludf.DUMMYFUNCTION("""COMPUTED_VALUE"""),"POSSE VALIDADA")</f>
        <v>POSSE VALIDADA</v>
      </c>
      <c r="L127" s="10"/>
      <c r="M127" s="9" t="str">
        <f ca="1">IFERROR(__xludf.DUMMYFUNCTION("""COMPUTED_VALUE"""),"cinthiaraqueldfr@gmail.com")</f>
        <v>cinthiaraqueldfr@gmail.com</v>
      </c>
      <c r="N127" s="2"/>
      <c r="O127" s="2" t="str">
        <f ca="1">IFERROR(__xludf.DUMMYFUNCTION("""COMPUTED_VALUE"""),"(83)99138-6798")</f>
        <v>(83)99138-6798</v>
      </c>
      <c r="P127" s="2"/>
      <c r="Q127" s="50" t="str">
        <f ca="1">IFERROR(__xludf.DUMMYFUNCTION("""COMPUTED_VALUE"""),"05/05/2025")</f>
        <v>05/05/2025</v>
      </c>
      <c r="R127" s="50"/>
      <c r="S127" s="2" t="str">
        <f ca="1">IFERROR(VLOOKUP(A127,IMPORT_DESISTENCIA!$A$2:$Q2273,14,0),"NÃO")</f>
        <v>NÃO</v>
      </c>
      <c r="T127" s="35"/>
    </row>
    <row r="128" spans="1:20" ht="45" customHeight="1" x14ac:dyDescent="0.25">
      <c r="A128" s="2" t="str">
        <f t="shared" ca="1" si="1"/>
        <v>004/2025/123.929.534-06</v>
      </c>
      <c r="B128" s="2" t="str">
        <f ca="1">IFERROR(__xludf.DUMMYFUNCTION("""COMPUTED_VALUE"""),"123.929.534-06")</f>
        <v>123.929.534-06</v>
      </c>
      <c r="C128" s="43" t="str">
        <f ca="1">IFERROR(__xludf.DUMMYFUNCTION("""COMPUTED_VALUE"""),"SUELEN ARAUJO PADILHA")</f>
        <v>SUELEN ARAUJO PADILHA</v>
      </c>
      <c r="D128" s="2" t="str">
        <f ca="1">IFERROR(__xludf.DUMMYFUNCTION("""COMPUTED_VALUE"""),"ORIENTADOR")</f>
        <v>ORIENTADOR</v>
      </c>
      <c r="E128" s="2" t="str">
        <f ca="1">IFERROR(__xludf.DUMMYFUNCTION("""COMPUTED_VALUE"""),"004/2025")</f>
        <v>004/2025</v>
      </c>
      <c r="F128" s="2" t="str">
        <f ca="1">IFERROR(__xludf.DUMMYFUNCTION("""COMPUTED_VALUE"""),"JOAO PESSOA")</f>
        <v>JOAO PESSOA</v>
      </c>
      <c r="G128" s="11"/>
      <c r="H128" s="11" t="str">
        <f ca="1">IFERROR(__xludf.DUMMYFUNCTION("""COMPUTED_VALUE"""),"ESCOLA MUNICIPAL LUIZA LIMA LOBO")</f>
        <v>ESCOLA MUNICIPAL LUIZA LIMA LOBO</v>
      </c>
      <c r="I128" s="2" t="str">
        <f ca="1">IFERROR(__xludf.DUMMYFUNCTION("""COMPUTED_VALUE"""),"NOITE")</f>
        <v>NOITE</v>
      </c>
      <c r="J128" s="47">
        <f ca="1">IFERROR(__xludf.DUMMYFUNCTION("""COMPUTED_VALUE"""),3)</f>
        <v>3</v>
      </c>
      <c r="K128" s="2"/>
      <c r="L128" s="10"/>
      <c r="M128" s="9" t="str">
        <f ca="1">IFERROR(__xludf.DUMMYFUNCTION("""COMPUTED_VALUE"""),"padilhasuelen9704@gmail.com")</f>
        <v>padilhasuelen9704@gmail.com</v>
      </c>
      <c r="N128" s="2" t="str">
        <f ca="1">IFERROR(__xludf.DUMMYFUNCTION("""COMPUTED_VALUE"""),"padilhasuelen95@gmail.com")</f>
        <v>padilhasuelen95@gmail.com</v>
      </c>
      <c r="O128" s="2" t="str">
        <f ca="1">IFERROR(__xludf.DUMMYFUNCTION("""COMPUTED_VALUE"""),"(49)98879-8628")</f>
        <v>(49)98879-8628</v>
      </c>
      <c r="P128" s="2" t="str">
        <f ca="1">IFERROR(__xludf.DUMMYFUNCTION("""COMPUTED_VALUE"""),"(83)98620-9701")</f>
        <v>(83)98620-9701</v>
      </c>
      <c r="Q128" s="50"/>
      <c r="R128" s="50"/>
      <c r="S128" s="2" t="str">
        <f ca="1">IFERROR(VLOOKUP(A128,IMPORT_DESISTENCIA!$A$2:$Q2273,14,0),"NÃO")</f>
        <v>NÃO</v>
      </c>
      <c r="T128" s="35"/>
    </row>
    <row r="129" spans="1:20" ht="45" customHeight="1" x14ac:dyDescent="0.25">
      <c r="A129" s="2" t="str">
        <f t="shared" ca="1" si="1"/>
        <v>004/2025/893.666.464-68</v>
      </c>
      <c r="B129" s="2" t="str">
        <f ca="1">IFERROR(__xludf.DUMMYFUNCTION("""COMPUTED_VALUE"""),"893.666.464-68")</f>
        <v>893.666.464-68</v>
      </c>
      <c r="C129" s="43" t="str">
        <f ca="1">IFERROR(__xludf.DUMMYFUNCTION("""COMPUTED_VALUE"""),"ALESSANDRA BASILIO DA SILVA")</f>
        <v>ALESSANDRA BASILIO DA SILVA</v>
      </c>
      <c r="D129" s="2" t="str">
        <f ca="1">IFERROR(__xludf.DUMMYFUNCTION("""COMPUTED_VALUE"""),"ORIENTADOR")</f>
        <v>ORIENTADOR</v>
      </c>
      <c r="E129" s="2" t="str">
        <f ca="1">IFERROR(__xludf.DUMMYFUNCTION("""COMPUTED_VALUE"""),"004/2025")</f>
        <v>004/2025</v>
      </c>
      <c r="F129" s="2" t="str">
        <f ca="1">IFERROR(__xludf.DUMMYFUNCTION("""COMPUTED_VALUE"""),"JOAO PESSOA")</f>
        <v>JOAO PESSOA</v>
      </c>
      <c r="G129" s="11"/>
      <c r="H129" s="11" t="str">
        <f ca="1">IFERROR(__xludf.DUMMYFUNCTION("""COMPUTED_VALUE"""),"INSTITUTO HUMANITAS- POLO UNICAPJP")</f>
        <v>INSTITUTO HUMANITAS- POLO UNICAPJP</v>
      </c>
      <c r="I129" s="2" t="str">
        <f ca="1">IFERROR(__xludf.DUMMYFUNCTION("""COMPUTED_VALUE"""),"TARDE")</f>
        <v>TARDE</v>
      </c>
      <c r="J129" s="47">
        <f ca="1">IFERROR(__xludf.DUMMYFUNCTION("""COMPUTED_VALUE"""),1)</f>
        <v>1</v>
      </c>
      <c r="K129" s="2" t="str">
        <f ca="1">IFERROR(__xludf.DUMMYFUNCTION("""COMPUTED_VALUE"""),"POSSE VALIDADA")</f>
        <v>POSSE VALIDADA</v>
      </c>
      <c r="L129" s="10"/>
      <c r="M129" s="9" t="str">
        <f ca="1">IFERROR(__xludf.DUMMYFUNCTION("""COMPUTED_VALUE"""),"basiliodasilva18@gmail.com")</f>
        <v>basiliodasilva18@gmail.com</v>
      </c>
      <c r="N129" s="2" t="str">
        <f ca="1">IFERROR(__xludf.DUMMYFUNCTION("""COMPUTED_VALUE"""),"ale07carioca@hotmail.com")</f>
        <v>ale07carioca@hotmail.com</v>
      </c>
      <c r="O129" s="2" t="str">
        <f ca="1">IFERROR(__xludf.DUMMYFUNCTION("""COMPUTED_VALUE"""),"(83)98127-7504")</f>
        <v>(83)98127-7504</v>
      </c>
      <c r="P129" s="2"/>
      <c r="Q129" s="50" t="str">
        <f ca="1">IFERROR(__xludf.DUMMYFUNCTION("""COMPUTED_VALUE"""),"22/04/2025")</f>
        <v>22/04/2025</v>
      </c>
      <c r="R129" s="50"/>
      <c r="S129" s="2" t="str">
        <f ca="1">IFERROR(VLOOKUP(A129,IMPORT_DESISTENCIA!$A$2:$Q2273,14,0),"NÃO")</f>
        <v>NÃO</v>
      </c>
      <c r="T129" s="35"/>
    </row>
    <row r="130" spans="1:20" ht="45" customHeight="1" x14ac:dyDescent="0.25">
      <c r="A130" s="2" t="str">
        <f t="shared" ca="1" si="1"/>
        <v>004/2025/052.262.784-62</v>
      </c>
      <c r="B130" s="2" t="str">
        <f ca="1">IFERROR(__xludf.DUMMYFUNCTION("""COMPUTED_VALUE"""),"052.262.784-62")</f>
        <v>052.262.784-62</v>
      </c>
      <c r="C130" s="43" t="str">
        <f ca="1">IFERROR(__xludf.DUMMYFUNCTION("""COMPUTED_VALUE"""),"LOUIS PHILIPPE PATRICK DE JONGH FILHO")</f>
        <v>LOUIS PHILIPPE PATRICK DE JONGH FILHO</v>
      </c>
      <c r="D130" s="2" t="str">
        <f ca="1">IFERROR(__xludf.DUMMYFUNCTION("""COMPUTED_VALUE"""),"ORIENTADOR")</f>
        <v>ORIENTADOR</v>
      </c>
      <c r="E130" s="2" t="str">
        <f ca="1">IFERROR(__xludf.DUMMYFUNCTION("""COMPUTED_VALUE"""),"004/2025")</f>
        <v>004/2025</v>
      </c>
      <c r="F130" s="2" t="str">
        <f ca="1">IFERROR(__xludf.DUMMYFUNCTION("""COMPUTED_VALUE"""),"JOAO PESSOA")</f>
        <v>JOAO PESSOA</v>
      </c>
      <c r="G130" s="11"/>
      <c r="H130" s="11" t="str">
        <f ca="1">IFERROR(__xludf.DUMMYFUNCTION("""COMPUTED_VALUE"""),"INSTITUTO HUMANITAS- POLO UNICAPJP")</f>
        <v>INSTITUTO HUMANITAS- POLO UNICAPJP</v>
      </c>
      <c r="I130" s="2" t="str">
        <f ca="1">IFERROR(__xludf.DUMMYFUNCTION("""COMPUTED_VALUE"""),"TARDE")</f>
        <v>TARDE</v>
      </c>
      <c r="J130" s="47">
        <f ca="1">IFERROR(__xludf.DUMMYFUNCTION("""COMPUTED_VALUE"""),2)</f>
        <v>2</v>
      </c>
      <c r="K130" s="2"/>
      <c r="L130" s="10"/>
      <c r="M130" s="9" t="str">
        <f ca="1">IFERROR(__xludf.DUMMYFUNCTION("""COMPUTED_VALUE"""),"louis.jongh@gmail.com")</f>
        <v>louis.jongh@gmail.com</v>
      </c>
      <c r="N130" s="2" t="str">
        <f ca="1">IFERROR(__xludf.DUMMYFUNCTION("""COMPUTED_VALUE"""),"louisp3@gmail.com")</f>
        <v>louisp3@gmail.com</v>
      </c>
      <c r="O130" s="2" t="str">
        <f ca="1">IFERROR(__xludf.DUMMYFUNCTION("""COMPUTED_VALUE"""),"(83)999751058")</f>
        <v>(83)999751058</v>
      </c>
      <c r="P130" s="2"/>
      <c r="Q130" s="50"/>
      <c r="R130" s="50"/>
      <c r="S130" s="2" t="str">
        <f ca="1">IFERROR(VLOOKUP(A130,IMPORT_DESISTENCIA!$A$2:$Q2273,14,0),"NÃO")</f>
        <v>NÃO</v>
      </c>
      <c r="T130" s="35"/>
    </row>
    <row r="131" spans="1:20" ht="45" customHeight="1" x14ac:dyDescent="0.25">
      <c r="A131" s="2" t="str">
        <f t="shared" ca="1" si="1"/>
        <v>004/2025/051.537.254-48</v>
      </c>
      <c r="B131" s="2" t="str">
        <f ca="1">IFERROR(__xludf.DUMMYFUNCTION("""COMPUTED_VALUE"""),"051.537.254-48")</f>
        <v>051.537.254-48</v>
      </c>
      <c r="C131" s="43" t="str">
        <f ca="1">IFERROR(__xludf.DUMMYFUNCTION("""COMPUTED_VALUE"""),"JULIANA DE LOURDES SILVA DANTAS")</f>
        <v>JULIANA DE LOURDES SILVA DANTAS</v>
      </c>
      <c r="D131" s="2" t="str">
        <f ca="1">IFERROR(__xludf.DUMMYFUNCTION("""COMPUTED_VALUE"""),"ORIENTADOR")</f>
        <v>ORIENTADOR</v>
      </c>
      <c r="E131" s="2" t="str">
        <f ca="1">IFERROR(__xludf.DUMMYFUNCTION("""COMPUTED_VALUE"""),"004/2025")</f>
        <v>004/2025</v>
      </c>
      <c r="F131" s="2" t="str">
        <f ca="1">IFERROR(__xludf.DUMMYFUNCTION("""COMPUTED_VALUE"""),"JOAO PESSOA")</f>
        <v>JOAO PESSOA</v>
      </c>
      <c r="G131" s="11"/>
      <c r="H131" s="11" t="str">
        <f ca="1">IFERROR(__xludf.DUMMYFUNCTION("""COMPUTED_VALUE"""),"INSTITUTO HUMANITAS- POLO UNICAPJP")</f>
        <v>INSTITUTO HUMANITAS- POLO UNICAPJP</v>
      </c>
      <c r="I131" s="2" t="str">
        <f ca="1">IFERROR(__xludf.DUMMYFUNCTION("""COMPUTED_VALUE"""),"TARDE")</f>
        <v>TARDE</v>
      </c>
      <c r="J131" s="47">
        <f ca="1">IFERROR(__xludf.DUMMYFUNCTION("""COMPUTED_VALUE"""),3)</f>
        <v>3</v>
      </c>
      <c r="K131" s="2"/>
      <c r="L131" s="10"/>
      <c r="M131" s="9" t="str">
        <f ca="1">IFERROR(__xludf.DUMMYFUNCTION("""COMPUTED_VALUE"""),"julianarilck@gmail.com")</f>
        <v>julianarilck@gmail.com</v>
      </c>
      <c r="N131" s="2" t="str">
        <f ca="1">IFERROR(__xludf.DUMMYFUNCTION("""COMPUTED_VALUE"""),"juliana.dantas@unipe.edu.br")</f>
        <v>juliana.dantas@unipe.edu.br</v>
      </c>
      <c r="O131" s="2" t="str">
        <f ca="1">IFERROR(__xludf.DUMMYFUNCTION("""COMPUTED_VALUE"""),"(83)98820-5905")</f>
        <v>(83)98820-5905</v>
      </c>
      <c r="P131" s="2" t="str">
        <f ca="1">IFERROR(__xludf.DUMMYFUNCTION("""COMPUTED_VALUE"""),"(83)99933-0238")</f>
        <v>(83)99933-0238</v>
      </c>
      <c r="Q131" s="50"/>
      <c r="R131" s="50"/>
      <c r="S131" s="2" t="str">
        <f ca="1">IFERROR(VLOOKUP(A131,IMPORT_DESISTENCIA!$A$2:$Q2273,14,0),"NÃO")</f>
        <v>NÃO</v>
      </c>
      <c r="T131" s="35"/>
    </row>
    <row r="132" spans="1:20" ht="45" customHeight="1" x14ac:dyDescent="0.25">
      <c r="A132" s="2" t="str">
        <f t="shared" ca="1" si="1"/>
        <v>004/2025/091.859.374-36</v>
      </c>
      <c r="B132" s="2" t="str">
        <f ca="1">IFERROR(__xludf.DUMMYFUNCTION("""COMPUTED_VALUE"""),"091.859.374-36")</f>
        <v>091.859.374-36</v>
      </c>
      <c r="C132" s="43" t="str">
        <f ca="1">IFERROR(__xludf.DUMMYFUNCTION("""COMPUTED_VALUE"""),"CAMILA CRISTINA DA SILVA SOUZA")</f>
        <v>CAMILA CRISTINA DA SILVA SOUZA</v>
      </c>
      <c r="D132" s="2" t="str">
        <f ca="1">IFERROR(__xludf.DUMMYFUNCTION("""COMPUTED_VALUE"""),"ORIENTADOR")</f>
        <v>ORIENTADOR</v>
      </c>
      <c r="E132" s="2" t="str">
        <f ca="1">IFERROR(__xludf.DUMMYFUNCTION("""COMPUTED_VALUE"""),"004/2025")</f>
        <v>004/2025</v>
      </c>
      <c r="F132" s="2" t="str">
        <f ca="1">IFERROR(__xludf.DUMMYFUNCTION("""COMPUTED_VALUE"""),"JOAO PESSOA")</f>
        <v>JOAO PESSOA</v>
      </c>
      <c r="G132" s="11"/>
      <c r="H132" s="11" t="str">
        <f ca="1">IFERROR(__xludf.DUMMYFUNCTION("""COMPUTED_VALUE"""),"INSTITUTO HUMANITAS- POLO UNICAPJP")</f>
        <v>INSTITUTO HUMANITAS- POLO UNICAPJP</v>
      </c>
      <c r="I132" s="2" t="str">
        <f ca="1">IFERROR(__xludf.DUMMYFUNCTION("""COMPUTED_VALUE"""),"TARDE")</f>
        <v>TARDE</v>
      </c>
      <c r="J132" s="47">
        <f ca="1">IFERROR(__xludf.DUMMYFUNCTION("""COMPUTED_VALUE"""),4)</f>
        <v>4</v>
      </c>
      <c r="K132" s="2"/>
      <c r="L132" s="10"/>
      <c r="M132" s="9" t="str">
        <f ca="1">IFERROR(__xludf.DUMMYFUNCTION("""COMPUTED_VALUE"""),"psicristinac12@gmail.com")</f>
        <v>psicristinac12@gmail.com</v>
      </c>
      <c r="N132" s="2" t="str">
        <f ca="1">IFERROR(__xludf.DUMMYFUNCTION("""COMPUTED_VALUE"""),"cristinac_@outlook.com")</f>
        <v>cristinac_@outlook.com</v>
      </c>
      <c r="O132" s="2" t="str">
        <f ca="1">IFERROR(__xludf.DUMMYFUNCTION("""COMPUTED_VALUE"""),"(83)99843-0165")</f>
        <v>(83)99843-0165</v>
      </c>
      <c r="P132" s="2" t="str">
        <f ca="1">IFERROR(__xludf.DUMMYFUNCTION("""COMPUTED_VALUE"""),"(83)99981-4472")</f>
        <v>(83)99981-4472</v>
      </c>
      <c r="Q132" s="50"/>
      <c r="R132" s="50"/>
      <c r="S132" s="2" t="str">
        <f ca="1">IFERROR(VLOOKUP(A132,IMPORT_DESISTENCIA!$A$2:$Q2273,14,0),"NÃO")</f>
        <v>NÃO</v>
      </c>
      <c r="T132" s="35"/>
    </row>
    <row r="133" spans="1:20" ht="45" customHeight="1" x14ac:dyDescent="0.25">
      <c r="A133" s="2" t="str">
        <f t="shared" ca="1" si="1"/>
        <v>004/2025/018.409.362-74</v>
      </c>
      <c r="B133" s="2" t="str">
        <f ca="1">IFERROR(__xludf.DUMMYFUNCTION("""COMPUTED_VALUE"""),"018.409.362-74")</f>
        <v>018.409.362-74</v>
      </c>
      <c r="C133" s="43" t="str">
        <f ca="1">IFERROR(__xludf.DUMMYFUNCTION("""COMPUTED_VALUE"""),"MILENA QUEIROGA SILVA")</f>
        <v>MILENA QUEIROGA SILVA</v>
      </c>
      <c r="D133" s="2" t="str">
        <f ca="1">IFERROR(__xludf.DUMMYFUNCTION("""COMPUTED_VALUE"""),"ORIENTADOR")</f>
        <v>ORIENTADOR</v>
      </c>
      <c r="E133" s="2" t="str">
        <f ca="1">IFERROR(__xludf.DUMMYFUNCTION("""COMPUTED_VALUE"""),"004/2025")</f>
        <v>004/2025</v>
      </c>
      <c r="F133" s="2" t="str">
        <f ca="1">IFERROR(__xludf.DUMMYFUNCTION("""COMPUTED_VALUE"""),"JOAO PESSOA")</f>
        <v>JOAO PESSOA</v>
      </c>
      <c r="G133" s="11"/>
      <c r="H133" s="11" t="str">
        <f ca="1">IFERROR(__xludf.DUMMYFUNCTION("""COMPUTED_VALUE"""),"INSTITUTO HUMANITAS- POLO UNICAPJP")</f>
        <v>INSTITUTO HUMANITAS- POLO UNICAPJP</v>
      </c>
      <c r="I133" s="2" t="str">
        <f ca="1">IFERROR(__xludf.DUMMYFUNCTION("""COMPUTED_VALUE"""),"TARDE")</f>
        <v>TARDE</v>
      </c>
      <c r="J133" s="47">
        <f ca="1">IFERROR(__xludf.DUMMYFUNCTION("""COMPUTED_VALUE"""),5)</f>
        <v>5</v>
      </c>
      <c r="K133" s="2"/>
      <c r="L133" s="10"/>
      <c r="M133" s="9" t="str">
        <f ca="1">IFERROR(__xludf.DUMMYFUNCTION("""COMPUTED_VALUE"""),"mqueiroga33@gmail.com")</f>
        <v>mqueiroga33@gmail.com</v>
      </c>
      <c r="N133" s="2" t="str">
        <f ca="1">IFERROR(__xludf.DUMMYFUNCTION("""COMPUTED_VALUE"""),"mqueiroga33@hotmail.com")</f>
        <v>mqueiroga33@hotmail.com</v>
      </c>
      <c r="O133" s="2" t="str">
        <f ca="1">IFERROR(__xludf.DUMMYFUNCTION("""COMPUTED_VALUE"""),"(96)98115-0258")</f>
        <v>(96)98115-0258</v>
      </c>
      <c r="P133" s="2" t="str">
        <f ca="1">IFERROR(__xludf.DUMMYFUNCTION("""COMPUTED_VALUE"""),"(96)98111-0063")</f>
        <v>(96)98111-0063</v>
      </c>
      <c r="Q133" s="50"/>
      <c r="R133" s="50"/>
      <c r="S133" s="2" t="str">
        <f ca="1">IFERROR(VLOOKUP(A133,IMPORT_DESISTENCIA!$A$2:$Q2273,14,0),"NÃO")</f>
        <v>NÃO</v>
      </c>
      <c r="T133" s="35"/>
    </row>
    <row r="134" spans="1:20" ht="45" customHeight="1" x14ac:dyDescent="0.25">
      <c r="A134" s="2" t="str">
        <f t="shared" ca="1" si="1"/>
        <v>004/2025/100.906.524-60</v>
      </c>
      <c r="B134" s="2" t="str">
        <f ca="1">IFERROR(__xludf.DUMMYFUNCTION("""COMPUTED_VALUE"""),"100.906.524-60")</f>
        <v>100.906.524-60</v>
      </c>
      <c r="C134" s="43" t="str">
        <f ca="1">IFERROR(__xludf.DUMMYFUNCTION("""COMPUTED_VALUE"""),"GLAUDJA LARITCHA RABELO AMORIM")</f>
        <v>GLAUDJA LARITCHA RABELO AMORIM</v>
      </c>
      <c r="D134" s="2" t="str">
        <f ca="1">IFERROR(__xludf.DUMMYFUNCTION("""COMPUTED_VALUE"""),"ORIENTADOR")</f>
        <v>ORIENTADOR</v>
      </c>
      <c r="E134" s="2" t="str">
        <f ca="1">IFERROR(__xludf.DUMMYFUNCTION("""COMPUTED_VALUE"""),"004/2025")</f>
        <v>004/2025</v>
      </c>
      <c r="F134" s="2" t="str">
        <f ca="1">IFERROR(__xludf.DUMMYFUNCTION("""COMPUTED_VALUE"""),"JOAO PESSOA")</f>
        <v>JOAO PESSOA</v>
      </c>
      <c r="G134" s="11"/>
      <c r="H134" s="11" t="str">
        <f ca="1">IFERROR(__xludf.DUMMYFUNCTION("""COMPUTED_VALUE"""),"INSTITUTO HUMANITAS- POLO UNICAPJP")</f>
        <v>INSTITUTO HUMANITAS- POLO UNICAPJP</v>
      </c>
      <c r="I134" s="2" t="str">
        <f ca="1">IFERROR(__xludf.DUMMYFUNCTION("""COMPUTED_VALUE"""),"TARDE")</f>
        <v>TARDE</v>
      </c>
      <c r="J134" s="47">
        <f ca="1">IFERROR(__xludf.DUMMYFUNCTION("""COMPUTED_VALUE"""),6)</f>
        <v>6</v>
      </c>
      <c r="K134" s="2"/>
      <c r="L134" s="10"/>
      <c r="M134" s="9" t="str">
        <f ca="1">IFERROR(__xludf.DUMMYFUNCTION("""COMPUTED_VALUE"""),"glaudjarabelo@gmail.com")</f>
        <v>glaudjarabelo@gmail.com</v>
      </c>
      <c r="N134" s="2" t="str">
        <f ca="1">IFERROR(__xludf.DUMMYFUNCTION("""COMPUTED_VALUE"""),"glaudjarabelo@icloud.com")</f>
        <v>glaudjarabelo@icloud.com</v>
      </c>
      <c r="O134" s="2" t="str">
        <f ca="1">IFERROR(__xludf.DUMMYFUNCTION("""COMPUTED_VALUE"""),"(83)99627-2462")</f>
        <v>(83)99627-2462</v>
      </c>
      <c r="P134" s="2" t="str">
        <f ca="1">IFERROR(__xludf.DUMMYFUNCTION("""COMPUTED_VALUE"""),"(83)99627-2462")</f>
        <v>(83)99627-2462</v>
      </c>
      <c r="Q134" s="50"/>
      <c r="R134" s="50"/>
      <c r="S134" s="2" t="str">
        <f ca="1">IFERROR(VLOOKUP(A134,IMPORT_DESISTENCIA!$A$2:$Q2273,14,0),"NÃO")</f>
        <v>NÃO</v>
      </c>
      <c r="T134" s="35"/>
    </row>
    <row r="135" spans="1:20" ht="45" customHeight="1" x14ac:dyDescent="0.25">
      <c r="A135" s="2" t="str">
        <f t="shared" ca="1" si="1"/>
        <v>004/2025/071.084.094-29</v>
      </c>
      <c r="B135" s="2" t="str">
        <f ca="1">IFERROR(__xludf.DUMMYFUNCTION("""COMPUTED_VALUE"""),"071.084.094-29")</f>
        <v>071.084.094-29</v>
      </c>
      <c r="C135" s="43" t="str">
        <f ca="1">IFERROR(__xludf.DUMMYFUNCTION("""COMPUTED_VALUE"""),"CAMILA KELLY PEDRO DE QUEIROZ")</f>
        <v>CAMILA KELLY PEDRO DE QUEIROZ</v>
      </c>
      <c r="D135" s="2" t="str">
        <f ca="1">IFERROR(__xludf.DUMMYFUNCTION("""COMPUTED_VALUE"""),"ORIENTADOR")</f>
        <v>ORIENTADOR</v>
      </c>
      <c r="E135" s="2" t="str">
        <f ca="1">IFERROR(__xludf.DUMMYFUNCTION("""COMPUTED_VALUE"""),"004/2025")</f>
        <v>004/2025</v>
      </c>
      <c r="F135" s="2" t="str">
        <f ca="1">IFERROR(__xludf.DUMMYFUNCTION("""COMPUTED_VALUE"""),"JOAO PESSOA")</f>
        <v>JOAO PESSOA</v>
      </c>
      <c r="G135" s="11"/>
      <c r="H135" s="11" t="str">
        <f ca="1">IFERROR(__xludf.DUMMYFUNCTION("""COMPUTED_VALUE"""),"INSTITUTO HUMANITAS- POLO UNICAPJP")</f>
        <v>INSTITUTO HUMANITAS- POLO UNICAPJP</v>
      </c>
      <c r="I135" s="2" t="str">
        <f ca="1">IFERROR(__xludf.DUMMYFUNCTION("""COMPUTED_VALUE"""),"TARDE")</f>
        <v>TARDE</v>
      </c>
      <c r="J135" s="47">
        <f ca="1">IFERROR(__xludf.DUMMYFUNCTION("""COMPUTED_VALUE"""),7)</f>
        <v>7</v>
      </c>
      <c r="K135" s="2"/>
      <c r="L135" s="10"/>
      <c r="M135" s="9" t="str">
        <f ca="1">IFERROR(__xludf.DUMMYFUNCTION("""COMPUTED_VALUE"""),"camilapedro0@hotmail.com")</f>
        <v>camilapedro0@hotmail.com</v>
      </c>
      <c r="N135" s="2" t="str">
        <f ca="1">IFERROR(__xludf.DUMMYFUNCTION("""COMPUTED_VALUE"""),"camilaqueiroz0@hotmail.com")</f>
        <v>camilaqueiroz0@hotmail.com</v>
      </c>
      <c r="O135" s="2" t="str">
        <f ca="1">IFERROR(__xludf.DUMMYFUNCTION("""COMPUTED_VALUE"""),"(83)98881-9349")</f>
        <v>(83)98881-9349</v>
      </c>
      <c r="P135" s="2" t="str">
        <f ca="1">IFERROR(__xludf.DUMMYFUNCTION("""COMPUTED_VALUE"""),"(83)99355-2405")</f>
        <v>(83)99355-2405</v>
      </c>
      <c r="Q135" s="50"/>
      <c r="R135" s="50"/>
      <c r="S135" s="2" t="str">
        <f ca="1">IFERROR(VLOOKUP(A135,IMPORT_DESISTENCIA!$A$2:$Q2273,14,0),"NÃO")</f>
        <v>NÃO</v>
      </c>
      <c r="T135" s="35"/>
    </row>
    <row r="136" spans="1:20" ht="45" customHeight="1" x14ac:dyDescent="0.25">
      <c r="A136" s="2" t="str">
        <f t="shared" ca="1" si="1"/>
        <v>004/2025/048.187.834-39</v>
      </c>
      <c r="B136" s="2" t="str">
        <f ca="1">IFERROR(__xludf.DUMMYFUNCTION("""COMPUTED_VALUE"""),"048.187.834-39")</f>
        <v>048.187.834-39</v>
      </c>
      <c r="C136" s="43" t="str">
        <f ca="1">IFERROR(__xludf.DUMMYFUNCTION("""COMPUTED_VALUE"""),"THAISE ARAUJO QUEIROZ")</f>
        <v>THAISE ARAUJO QUEIROZ</v>
      </c>
      <c r="D136" s="2" t="str">
        <f ca="1">IFERROR(__xludf.DUMMYFUNCTION("""COMPUTED_VALUE"""),"ORIENTADOR")</f>
        <v>ORIENTADOR</v>
      </c>
      <c r="E136" s="2" t="str">
        <f ca="1">IFERROR(__xludf.DUMMYFUNCTION("""COMPUTED_VALUE"""),"004/2025")</f>
        <v>004/2025</v>
      </c>
      <c r="F136" s="2" t="str">
        <f ca="1">IFERROR(__xludf.DUMMYFUNCTION("""COMPUTED_VALUE"""),"JOAO PESSOA")</f>
        <v>JOAO PESSOA</v>
      </c>
      <c r="G136" s="11"/>
      <c r="H136" s="11" t="str">
        <f ca="1">IFERROR(__xludf.DUMMYFUNCTION("""COMPUTED_VALUE"""),"INSTITUTO HUMANITAS- POLO UNICAPJP")</f>
        <v>INSTITUTO HUMANITAS- POLO UNICAPJP</v>
      </c>
      <c r="I136" s="2" t="str">
        <f ca="1">IFERROR(__xludf.DUMMYFUNCTION("""COMPUTED_VALUE"""),"TARDE")</f>
        <v>TARDE</v>
      </c>
      <c r="J136" s="47">
        <f ca="1">IFERROR(__xludf.DUMMYFUNCTION("""COMPUTED_VALUE"""),8)</f>
        <v>8</v>
      </c>
      <c r="K136" s="2"/>
      <c r="L136" s="10"/>
      <c r="M136" s="9" t="str">
        <f ca="1">IFERROR(__xludf.DUMMYFUNCTION("""COMPUTED_VALUE"""),"thaisearaujo0@hotmail.com")</f>
        <v>thaisearaujo0@hotmail.com</v>
      </c>
      <c r="N136" s="2" t="str">
        <f ca="1">IFERROR(__xludf.DUMMYFUNCTION("""COMPUTED_VALUE"""),"thaise_taty@hotmail.com")</f>
        <v>thaise_taty@hotmail.com</v>
      </c>
      <c r="O136" s="2" t="str">
        <f ca="1">IFERROR(__xludf.DUMMYFUNCTION("""COMPUTED_VALUE"""),"(83)99943-9359")</f>
        <v>(83)99943-9359</v>
      </c>
      <c r="P136" s="2" t="str">
        <f ca="1">IFERROR(__xludf.DUMMYFUNCTION("""COMPUTED_VALUE"""),"(83)98817-9479")</f>
        <v>(83)98817-9479</v>
      </c>
      <c r="Q136" s="50"/>
      <c r="R136" s="50"/>
      <c r="S136" s="2" t="str">
        <f ca="1">IFERROR(VLOOKUP(A136,IMPORT_DESISTENCIA!$A$2:$Q2273,14,0),"NÃO")</f>
        <v>NÃO</v>
      </c>
      <c r="T136" s="35"/>
    </row>
    <row r="137" spans="1:20" ht="45" customHeight="1" x14ac:dyDescent="0.25">
      <c r="A137" s="2" t="str">
        <f t="shared" ca="1" si="1"/>
        <v>004/2025/103.874.534-90</v>
      </c>
      <c r="B137" s="2" t="str">
        <f ca="1">IFERROR(__xludf.DUMMYFUNCTION("""COMPUTED_VALUE"""),"103.874.534-90")</f>
        <v>103.874.534-90</v>
      </c>
      <c r="C137" s="43" t="str">
        <f ca="1">IFERROR(__xludf.DUMMYFUNCTION("""COMPUTED_VALUE"""),"JUCIARA NOARA SANTANA DE ARAUJO COSTA")</f>
        <v>JUCIARA NOARA SANTANA DE ARAUJO COSTA</v>
      </c>
      <c r="D137" s="2" t="str">
        <f ca="1">IFERROR(__xludf.DUMMYFUNCTION("""COMPUTED_VALUE"""),"ORIENTADOR")</f>
        <v>ORIENTADOR</v>
      </c>
      <c r="E137" s="2" t="str">
        <f ca="1">IFERROR(__xludf.DUMMYFUNCTION("""COMPUTED_VALUE"""),"004/2025")</f>
        <v>004/2025</v>
      </c>
      <c r="F137" s="2" t="str">
        <f ca="1">IFERROR(__xludf.DUMMYFUNCTION("""COMPUTED_VALUE"""),"JOAO PESSOA")</f>
        <v>JOAO PESSOA</v>
      </c>
      <c r="G137" s="11"/>
      <c r="H137" s="11" t="str">
        <f ca="1">IFERROR(__xludf.DUMMYFUNCTION("""COMPUTED_VALUE"""),"ASSOCIACAO BENEFICENTE SAO JOSE")</f>
        <v>ASSOCIACAO BENEFICENTE SAO JOSE</v>
      </c>
      <c r="I137" s="2" t="str">
        <f ca="1">IFERROR(__xludf.DUMMYFUNCTION("""COMPUTED_VALUE"""),"TARDE")</f>
        <v>TARDE</v>
      </c>
      <c r="J137" s="47">
        <f ca="1">IFERROR(__xludf.DUMMYFUNCTION("""COMPUTED_VALUE"""),1)</f>
        <v>1</v>
      </c>
      <c r="K137" s="2" t="str">
        <f ca="1">IFERROR(__xludf.DUMMYFUNCTION("""COMPUTED_VALUE"""),"POSSE VALIDADA")</f>
        <v>POSSE VALIDADA</v>
      </c>
      <c r="L137" s="10"/>
      <c r="M137" s="9" t="str">
        <f ca="1">IFERROR(__xludf.DUMMYFUNCTION("""COMPUTED_VALUE"""),"juciara.noara@gmail.com")</f>
        <v>juciara.noara@gmail.com</v>
      </c>
      <c r="N137" s="2" t="str">
        <f ca="1">IFERROR(__xludf.DUMMYFUNCTION("""COMPUTED_VALUE"""),"ciaraju@yahoo.com.br")</f>
        <v>ciaraju@yahoo.com.br</v>
      </c>
      <c r="O137" s="2" t="str">
        <f ca="1">IFERROR(__xludf.DUMMYFUNCTION("""COMPUTED_VALUE"""),"(83)98147-1482")</f>
        <v>(83)98147-1482</v>
      </c>
      <c r="P137" s="2"/>
      <c r="Q137" s="50" t="str">
        <f ca="1">IFERROR(__xludf.DUMMYFUNCTION("""COMPUTED_VALUE"""),"25/04/2025")</f>
        <v>25/04/2025</v>
      </c>
      <c r="R137" s="50"/>
      <c r="S137" s="2" t="str">
        <f ca="1">IFERROR(VLOOKUP(A137,IMPORT_DESISTENCIA!$A$2:$Q2273,14,0),"NÃO")</f>
        <v>NÃO</v>
      </c>
      <c r="T137" s="35"/>
    </row>
    <row r="138" spans="1:20" ht="45" customHeight="1" x14ac:dyDescent="0.25">
      <c r="A138" s="2" t="str">
        <f t="shared" ca="1" si="1"/>
        <v>004/2025/017.144.853-74</v>
      </c>
      <c r="B138" s="2" t="str">
        <f ca="1">IFERROR(__xludf.DUMMYFUNCTION("""COMPUTED_VALUE"""),"017.144.853-74")</f>
        <v>017.144.853-74</v>
      </c>
      <c r="C138" s="43" t="str">
        <f ca="1">IFERROR(__xludf.DUMMYFUNCTION("""COMPUTED_VALUE"""),"CARLOS GEORGE ROCHA E SILVA")</f>
        <v>CARLOS GEORGE ROCHA E SILVA</v>
      </c>
      <c r="D138" s="2" t="str">
        <f ca="1">IFERROR(__xludf.DUMMYFUNCTION("""COMPUTED_VALUE"""),"ORIENTADOR")</f>
        <v>ORIENTADOR</v>
      </c>
      <c r="E138" s="2" t="str">
        <f ca="1">IFERROR(__xludf.DUMMYFUNCTION("""COMPUTED_VALUE"""),"004/2025")</f>
        <v>004/2025</v>
      </c>
      <c r="F138" s="2" t="str">
        <f ca="1">IFERROR(__xludf.DUMMYFUNCTION("""COMPUTED_VALUE"""),"JOAO PESSOA")</f>
        <v>JOAO PESSOA</v>
      </c>
      <c r="G138" s="11"/>
      <c r="H138" s="11" t="str">
        <f ca="1">IFERROR(__xludf.DUMMYFUNCTION("""COMPUTED_VALUE"""),"ASSOCIACAO BENEFICENTE SAO JOSE")</f>
        <v>ASSOCIACAO BENEFICENTE SAO JOSE</v>
      </c>
      <c r="I138" s="2" t="str">
        <f ca="1">IFERROR(__xludf.DUMMYFUNCTION("""COMPUTED_VALUE"""),"TARDE")</f>
        <v>TARDE</v>
      </c>
      <c r="J138" s="47">
        <f ca="1">IFERROR(__xludf.DUMMYFUNCTION("""COMPUTED_VALUE"""),2)</f>
        <v>2</v>
      </c>
      <c r="K138" s="2"/>
      <c r="L138" s="10"/>
      <c r="M138" s="9" t="str">
        <f ca="1">IFERROR(__xludf.DUMMYFUNCTION("""COMPUTED_VALUE"""),"cgeorgeseinfra@gmail.com")</f>
        <v>cgeorgeseinfra@gmail.com</v>
      </c>
      <c r="N138" s="2" t="str">
        <f ca="1">IFERROR(__xludf.DUMMYFUNCTION("""COMPUTED_VALUE"""),"carlosgeorgeadvogado@hotmail.com")</f>
        <v>carlosgeorgeadvogado@hotmail.com</v>
      </c>
      <c r="O138" s="2" t="str">
        <f ca="1">IFERROR(__xludf.DUMMYFUNCTION("""COMPUTED_VALUE"""),"(88)99939-2034")</f>
        <v>(88)99939-2034</v>
      </c>
      <c r="P138" s="2" t="str">
        <f ca="1">IFERROR(__xludf.DUMMYFUNCTION("""COMPUTED_VALUE"""),"(88)999054120")</f>
        <v>(88)999054120</v>
      </c>
      <c r="Q138" s="50"/>
      <c r="R138" s="50"/>
      <c r="S138" s="2" t="str">
        <f ca="1">IFERROR(VLOOKUP(A138,IMPORT_DESISTENCIA!$A$2:$Q2273,14,0),"NÃO")</f>
        <v>NÃO</v>
      </c>
      <c r="T138" s="35"/>
    </row>
    <row r="139" spans="1:20" ht="45" customHeight="1" x14ac:dyDescent="0.25">
      <c r="A139" s="2" t="str">
        <f t="shared" ca="1" si="1"/>
        <v>004/2025/091.529.734-50</v>
      </c>
      <c r="B139" s="2" t="str">
        <f ca="1">IFERROR(__xludf.DUMMYFUNCTION("""COMPUTED_VALUE"""),"091.529.734-50")</f>
        <v>091.529.734-50</v>
      </c>
      <c r="C139" s="43" t="str">
        <f ca="1">IFERROR(__xludf.DUMMYFUNCTION("""COMPUTED_VALUE"""),"RENNAN REGIS DE MENESES LIMA")</f>
        <v>RENNAN REGIS DE MENESES LIMA</v>
      </c>
      <c r="D139" s="2" t="str">
        <f ca="1">IFERROR(__xludf.DUMMYFUNCTION("""COMPUTED_VALUE"""),"ORIENTADOR")</f>
        <v>ORIENTADOR</v>
      </c>
      <c r="E139" s="2" t="str">
        <f ca="1">IFERROR(__xludf.DUMMYFUNCTION("""COMPUTED_VALUE"""),"004/2025")</f>
        <v>004/2025</v>
      </c>
      <c r="F139" s="2" t="str">
        <f ca="1">IFERROR(__xludf.DUMMYFUNCTION("""COMPUTED_VALUE"""),"JOAO PESSOA")</f>
        <v>JOAO PESSOA</v>
      </c>
      <c r="G139" s="11"/>
      <c r="H139" s="11" t="str">
        <f ca="1">IFERROR(__xludf.DUMMYFUNCTION("""COMPUTED_VALUE"""),"ASSOCIACAO BENEFICENTE SAO JOSE")</f>
        <v>ASSOCIACAO BENEFICENTE SAO JOSE</v>
      </c>
      <c r="I139" s="2" t="str">
        <f ca="1">IFERROR(__xludf.DUMMYFUNCTION("""COMPUTED_VALUE"""),"TARDE")</f>
        <v>TARDE</v>
      </c>
      <c r="J139" s="47">
        <f ca="1">IFERROR(__xludf.DUMMYFUNCTION("""COMPUTED_VALUE"""),3)</f>
        <v>3</v>
      </c>
      <c r="K139" s="2"/>
      <c r="L139" s="10"/>
      <c r="M139" s="9" t="str">
        <f ca="1">IFERROR(__xludf.DUMMYFUNCTION("""COMPUTED_VALUE"""),"alinearaujojppb@gmail.com")</f>
        <v>alinearaujojppb@gmail.com</v>
      </c>
      <c r="N139" s="2" t="str">
        <f ca="1">IFERROR(__xludf.DUMMYFUNCTION("""COMPUTED_VALUE"""),"regisrennan6@gmail.com")</f>
        <v>regisrennan6@gmail.com</v>
      </c>
      <c r="O139" s="2" t="str">
        <f ca="1">IFERROR(__xludf.DUMMYFUNCTION("""COMPUTED_VALUE"""),"(83)99980-4706")</f>
        <v>(83)99980-4706</v>
      </c>
      <c r="P139" s="2" t="str">
        <f ca="1">IFERROR(__xludf.DUMMYFUNCTION("""COMPUTED_VALUE"""),"(83)99677-3428")</f>
        <v>(83)99677-3428</v>
      </c>
      <c r="Q139" s="50"/>
      <c r="R139" s="50"/>
      <c r="S139" s="2" t="str">
        <f ca="1">IFERROR(VLOOKUP(A139,IMPORT_DESISTENCIA!$A$2:$Q2273,14,0),"NÃO")</f>
        <v>NÃO</v>
      </c>
      <c r="T139" s="35"/>
    </row>
    <row r="140" spans="1:20" ht="45" customHeight="1" x14ac:dyDescent="0.25">
      <c r="A140" s="2" t="str">
        <f t="shared" ca="1" si="1"/>
        <v>004/2025/110.461.904-07</v>
      </c>
      <c r="B140" s="2" t="str">
        <f ca="1">IFERROR(__xludf.DUMMYFUNCTION("""COMPUTED_VALUE"""),"110.461.904-07")</f>
        <v>110.461.904-07</v>
      </c>
      <c r="C140" s="43" t="str">
        <f ca="1">IFERROR(__xludf.DUMMYFUNCTION("""COMPUTED_VALUE"""),"INGRYD STEFFANY TRINDADE DE ANDRADE")</f>
        <v>INGRYD STEFFANY TRINDADE DE ANDRADE</v>
      </c>
      <c r="D140" s="2" t="str">
        <f ca="1">IFERROR(__xludf.DUMMYFUNCTION("""COMPUTED_VALUE"""),"ORIENTADOR")</f>
        <v>ORIENTADOR</v>
      </c>
      <c r="E140" s="2" t="str">
        <f ca="1">IFERROR(__xludf.DUMMYFUNCTION("""COMPUTED_VALUE"""),"004/2025")</f>
        <v>004/2025</v>
      </c>
      <c r="F140" s="2" t="str">
        <f ca="1">IFERROR(__xludf.DUMMYFUNCTION("""COMPUTED_VALUE"""),"JOAO PESSOA")</f>
        <v>JOAO PESSOA</v>
      </c>
      <c r="G140" s="11"/>
      <c r="H140" s="11" t="str">
        <f ca="1">IFERROR(__xludf.DUMMYFUNCTION("""COMPUTED_VALUE"""),"ASSOCIACAO BENEFICENTE SAO JOSE")</f>
        <v>ASSOCIACAO BENEFICENTE SAO JOSE</v>
      </c>
      <c r="I140" s="2" t="str">
        <f ca="1">IFERROR(__xludf.DUMMYFUNCTION("""COMPUTED_VALUE"""),"TARDE")</f>
        <v>TARDE</v>
      </c>
      <c r="J140" s="47">
        <f ca="1">IFERROR(__xludf.DUMMYFUNCTION("""COMPUTED_VALUE"""),4)</f>
        <v>4</v>
      </c>
      <c r="K140" s="2"/>
      <c r="L140" s="10"/>
      <c r="M140" s="9" t="str">
        <f ca="1">IFERROR(__xludf.DUMMYFUNCTION("""COMPUTED_VALUE"""),"ingrydsteffany97@gmail.com")</f>
        <v>ingrydsteffany97@gmail.com</v>
      </c>
      <c r="N140" s="2" t="str">
        <f ca="1">IFERROR(__xludf.DUMMYFUNCTION("""COMPUTED_VALUE"""),"douglasdg92@gmail.com")</f>
        <v>douglasdg92@gmail.com</v>
      </c>
      <c r="O140" s="2" t="str">
        <f ca="1">IFERROR(__xludf.DUMMYFUNCTION("""COMPUTED_VALUE"""),"(83)98773-3212")</f>
        <v>(83)98773-3212</v>
      </c>
      <c r="P140" s="2" t="str">
        <f ca="1">IFERROR(__xludf.DUMMYFUNCTION("""COMPUTED_VALUE"""),"(83)98709-4847")</f>
        <v>(83)98709-4847</v>
      </c>
      <c r="Q140" s="50"/>
      <c r="R140" s="50"/>
      <c r="S140" s="2" t="str">
        <f ca="1">IFERROR(VLOOKUP(A140,IMPORT_DESISTENCIA!$A$2:$Q2273,14,0),"NÃO")</f>
        <v>NÃO</v>
      </c>
      <c r="T140" s="35"/>
    </row>
    <row r="141" spans="1:20" ht="45" customHeight="1" x14ac:dyDescent="0.25">
      <c r="A141" s="2" t="str">
        <f t="shared" ca="1" si="1"/>
        <v>004/2025/047.756.964-16</v>
      </c>
      <c r="B141" s="2" t="str">
        <f ca="1">IFERROR(__xludf.DUMMYFUNCTION("""COMPUTED_VALUE"""),"047.756.964-16")</f>
        <v>047.756.964-16</v>
      </c>
      <c r="C141" s="43" t="str">
        <f ca="1">IFERROR(__xludf.DUMMYFUNCTION("""COMPUTED_VALUE"""),"ANA CLAUDIA DOS SANTOS FRANÇA")</f>
        <v>ANA CLAUDIA DOS SANTOS FRANÇA</v>
      </c>
      <c r="D141" s="2" t="str">
        <f ca="1">IFERROR(__xludf.DUMMYFUNCTION("""COMPUTED_VALUE"""),"ORIENTADOR")</f>
        <v>ORIENTADOR</v>
      </c>
      <c r="E141" s="2" t="str">
        <f ca="1">IFERROR(__xludf.DUMMYFUNCTION("""COMPUTED_VALUE"""),"004/2025")</f>
        <v>004/2025</v>
      </c>
      <c r="F141" s="2" t="str">
        <f ca="1">IFERROR(__xludf.DUMMYFUNCTION("""COMPUTED_VALUE"""),"JOAO PESSOA")</f>
        <v>JOAO PESSOA</v>
      </c>
      <c r="G141" s="11"/>
      <c r="H141" s="11" t="str">
        <f ca="1">IFERROR(__xludf.DUMMYFUNCTION("""COMPUTED_VALUE"""),"ASSOCIACAO BENEFICENTE SAO JOSE")</f>
        <v>ASSOCIACAO BENEFICENTE SAO JOSE</v>
      </c>
      <c r="I141" s="2" t="str">
        <f ca="1">IFERROR(__xludf.DUMMYFUNCTION("""COMPUTED_VALUE"""),"TARDE")</f>
        <v>TARDE</v>
      </c>
      <c r="J141" s="47">
        <f ca="1">IFERROR(__xludf.DUMMYFUNCTION("""COMPUTED_VALUE"""),5)</f>
        <v>5</v>
      </c>
      <c r="K141" s="2"/>
      <c r="L141" s="10"/>
      <c r="M141" s="9" t="str">
        <f ca="1">IFERROR(__xludf.DUMMYFUNCTION("""COMPUTED_VALUE"""),"anaclaudiassocial@gmail.com")</f>
        <v>anaclaudiassocial@gmail.com</v>
      </c>
      <c r="N141" s="2" t="str">
        <f ca="1">IFERROR(__xludf.DUMMYFUNCTION("""COMPUTED_VALUE"""),"cluadinhafarante@outlook.com")</f>
        <v>cluadinhafarante@outlook.com</v>
      </c>
      <c r="O141" s="2" t="str">
        <f ca="1">IFERROR(__xludf.DUMMYFUNCTION("""COMPUTED_VALUE"""),"(83)99650-9924")</f>
        <v>(83)99650-9924</v>
      </c>
      <c r="P141" s="2" t="str">
        <f ca="1">IFERROR(__xludf.DUMMYFUNCTION("""COMPUTED_VALUE"""),"(83)99650-9924")</f>
        <v>(83)99650-9924</v>
      </c>
      <c r="Q141" s="50"/>
      <c r="R141" s="50"/>
      <c r="S141" s="2" t="str">
        <f ca="1">IFERROR(VLOOKUP(A141,IMPORT_DESISTENCIA!$A$2:$Q2273,14,0),"NÃO")</f>
        <v>NÃO</v>
      </c>
      <c r="T141" s="35"/>
    </row>
    <row r="142" spans="1:20" ht="45" customHeight="1" x14ac:dyDescent="0.25">
      <c r="A142" s="2" t="str">
        <f t="shared" ca="1" si="1"/>
        <v>004/2025/704.124.594-26</v>
      </c>
      <c r="B142" s="2" t="str">
        <f ca="1">IFERROR(__xludf.DUMMYFUNCTION("""COMPUTED_VALUE"""),"704.124.594-26")</f>
        <v>704.124.594-26</v>
      </c>
      <c r="C142" s="43" t="str">
        <f ca="1">IFERROR(__xludf.DUMMYFUNCTION("""COMPUTED_VALUE"""),"JOYCE DA COSTA FARIAS")</f>
        <v>JOYCE DA COSTA FARIAS</v>
      </c>
      <c r="D142" s="2" t="str">
        <f ca="1">IFERROR(__xludf.DUMMYFUNCTION("""COMPUTED_VALUE"""),"ORIENTADOR")</f>
        <v>ORIENTADOR</v>
      </c>
      <c r="E142" s="2" t="str">
        <f ca="1">IFERROR(__xludf.DUMMYFUNCTION("""COMPUTED_VALUE"""),"004/2025")</f>
        <v>004/2025</v>
      </c>
      <c r="F142" s="2" t="str">
        <f ca="1">IFERROR(__xludf.DUMMYFUNCTION("""COMPUTED_VALUE"""),"JOAO PESSOA")</f>
        <v>JOAO PESSOA</v>
      </c>
      <c r="G142" s="11"/>
      <c r="H142" s="11" t="str">
        <f ca="1">IFERROR(__xludf.DUMMYFUNCTION("""COMPUTED_VALUE"""),"ASSOCIACAO BENEFICENTE SAO JOSE")</f>
        <v>ASSOCIACAO BENEFICENTE SAO JOSE</v>
      </c>
      <c r="I142" s="2" t="str">
        <f ca="1">IFERROR(__xludf.DUMMYFUNCTION("""COMPUTED_VALUE"""),"TARDE")</f>
        <v>TARDE</v>
      </c>
      <c r="J142" s="47">
        <f ca="1">IFERROR(__xludf.DUMMYFUNCTION("""COMPUTED_VALUE"""),6)</f>
        <v>6</v>
      </c>
      <c r="K142" s="2"/>
      <c r="L142" s="10"/>
      <c r="M142" s="9" t="str">
        <f ca="1">IFERROR(__xludf.DUMMYFUNCTION("""COMPUTED_VALUE"""),"joycecostafarias20@gmail.com")</f>
        <v>joycecostafarias20@gmail.com</v>
      </c>
      <c r="N142" s="2" t="str">
        <f ca="1">IFERROR(__xludf.DUMMYFUNCTION("""COMPUTED_VALUE"""),"Jooycecostafarias@icoud.com")</f>
        <v>Jooycecostafarias@icoud.com</v>
      </c>
      <c r="O142" s="2" t="str">
        <f ca="1">IFERROR(__xludf.DUMMYFUNCTION("""COMPUTED_VALUE"""),"(83)99642-7643")</f>
        <v>(83)99642-7643</v>
      </c>
      <c r="P142" s="2" t="str">
        <f ca="1">IFERROR(__xludf.DUMMYFUNCTION("""COMPUTED_VALUE"""),"(83)987040341")</f>
        <v>(83)987040341</v>
      </c>
      <c r="Q142" s="50"/>
      <c r="R142" s="50"/>
      <c r="S142" s="2" t="str">
        <f ca="1">IFERROR(VLOOKUP(A142,IMPORT_DESISTENCIA!$A$2:$Q2273,14,0),"NÃO")</f>
        <v>NÃO</v>
      </c>
      <c r="T142" s="35"/>
    </row>
    <row r="143" spans="1:20" ht="45" customHeight="1" x14ac:dyDescent="0.25">
      <c r="A143" s="2" t="str">
        <f t="shared" ca="1" si="1"/>
        <v>004/2025/657.706.842-91</v>
      </c>
      <c r="B143" s="2" t="str">
        <f ca="1">IFERROR(__xludf.DUMMYFUNCTION("""COMPUTED_VALUE"""),"657.706.842-91")</f>
        <v>657.706.842-91</v>
      </c>
      <c r="C143" s="43" t="str">
        <f ca="1">IFERROR(__xludf.DUMMYFUNCTION("""COMPUTED_VALUE"""),"ALLAN PABLO DO NASCIMENTO LAMEIRA")</f>
        <v>ALLAN PABLO DO NASCIMENTO LAMEIRA</v>
      </c>
      <c r="D143" s="2" t="str">
        <f ca="1">IFERROR(__xludf.DUMMYFUNCTION("""COMPUTED_VALUE"""),"ORIENTADOR")</f>
        <v>ORIENTADOR</v>
      </c>
      <c r="E143" s="2" t="str">
        <f ca="1">IFERROR(__xludf.DUMMYFUNCTION("""COMPUTED_VALUE"""),"004/2025")</f>
        <v>004/2025</v>
      </c>
      <c r="F143" s="2" t="str">
        <f ca="1">IFERROR(__xludf.DUMMYFUNCTION("""COMPUTED_VALUE"""),"MARIZOPOLIS")</f>
        <v>MARIZOPOLIS</v>
      </c>
      <c r="G143" s="11"/>
      <c r="H143" s="11" t="str">
        <f ca="1">IFERROR(__xludf.DUMMYFUNCTION("""COMPUTED_VALUE"""),"ESCOLA MUNICIPAL VEREADOR JOAO GONCALVES DE SOUSA")</f>
        <v>ESCOLA MUNICIPAL VEREADOR JOAO GONCALVES DE SOUSA</v>
      </c>
      <c r="I143" s="2" t="str">
        <f ca="1">IFERROR(__xludf.DUMMYFUNCTION("""COMPUTED_VALUE"""),"NOITE")</f>
        <v>NOITE</v>
      </c>
      <c r="J143" s="47">
        <f ca="1">IFERROR(__xludf.DUMMYFUNCTION("""COMPUTED_VALUE"""),1)</f>
        <v>1</v>
      </c>
      <c r="K143" s="2" t="str">
        <f ca="1">IFERROR(__xludf.DUMMYFUNCTION("""COMPUTED_VALUE"""),"POSSE VALIDADA")</f>
        <v>POSSE VALIDADA</v>
      </c>
      <c r="L143" s="10"/>
      <c r="M143" s="9" t="str">
        <f ca="1">IFERROR(__xludf.DUMMYFUNCTION("""COMPUTED_VALUE"""),"allanpablolameira@gmail.com")</f>
        <v>allanpablolameira@gmail.com</v>
      </c>
      <c r="N143" s="2"/>
      <c r="O143" s="2" t="str">
        <f ca="1">IFERROR(__xludf.DUMMYFUNCTION("""COMPUTED_VALUE"""),"(83)98132-1099")</f>
        <v>(83)98132-1099</v>
      </c>
      <c r="P143" s="2" t="str">
        <f ca="1">IFERROR(__xludf.DUMMYFUNCTION("""COMPUTED_VALUE"""),"(83)98172-9357")</f>
        <v>(83)98172-9357</v>
      </c>
      <c r="Q143" s="50" t="str">
        <f ca="1">IFERROR(__xludf.DUMMYFUNCTION("""COMPUTED_VALUE"""),"19/04/2025")</f>
        <v>19/04/2025</v>
      </c>
      <c r="R143" s="50"/>
      <c r="S143" s="2" t="str">
        <f ca="1">IFERROR(VLOOKUP(A143,IMPORT_DESISTENCIA!$A$2:$Q2273,14,0),"NÃO")</f>
        <v>NÃO</v>
      </c>
      <c r="T143" s="35"/>
    </row>
    <row r="144" spans="1:20" ht="45" customHeight="1" x14ac:dyDescent="0.25">
      <c r="A144" s="2" t="str">
        <f t="shared" ca="1" si="1"/>
        <v>004/2025/074.673.694-09</v>
      </c>
      <c r="B144" s="2" t="str">
        <f ca="1">IFERROR(__xludf.DUMMYFUNCTION("""COMPUTED_VALUE"""),"074.673.694-09")</f>
        <v>074.673.694-09</v>
      </c>
      <c r="C144" s="43" t="str">
        <f ca="1">IFERROR(__xludf.DUMMYFUNCTION("""COMPUTED_VALUE"""),"FERNANDA LINS MACIEL")</f>
        <v>FERNANDA LINS MACIEL</v>
      </c>
      <c r="D144" s="2" t="str">
        <f ca="1">IFERROR(__xludf.DUMMYFUNCTION("""COMPUTED_VALUE"""),"ORIENTADOR")</f>
        <v>ORIENTADOR</v>
      </c>
      <c r="E144" s="2" t="str">
        <f ca="1">IFERROR(__xludf.DUMMYFUNCTION("""COMPUTED_VALUE"""),"004/2025")</f>
        <v>004/2025</v>
      </c>
      <c r="F144" s="2" t="str">
        <f ca="1">IFERROR(__xludf.DUMMYFUNCTION("""COMPUTED_VALUE"""),"MARIZOPOLIS")</f>
        <v>MARIZOPOLIS</v>
      </c>
      <c r="G144" s="11"/>
      <c r="H144" s="11" t="str">
        <f ca="1">IFERROR(__xludf.DUMMYFUNCTION("""COMPUTED_VALUE"""),"ESCOLA MUNICIPAL VEREADOR JOAO GONCALVES DE SOUSA")</f>
        <v>ESCOLA MUNICIPAL VEREADOR JOAO GONCALVES DE SOUSA</v>
      </c>
      <c r="I144" s="2" t="str">
        <f ca="1">IFERROR(__xludf.DUMMYFUNCTION("""COMPUTED_VALUE"""),"NOITE")</f>
        <v>NOITE</v>
      </c>
      <c r="J144" s="47">
        <f ca="1">IFERROR(__xludf.DUMMYFUNCTION("""COMPUTED_VALUE"""),2)</f>
        <v>2</v>
      </c>
      <c r="K144" s="2"/>
      <c r="L144" s="10"/>
      <c r="M144" s="9" t="str">
        <f ca="1">IFERROR(__xludf.DUMMYFUNCTION("""COMPUTED_VALUE"""),"fernanda.maciel010@escola.pb.gov.br")</f>
        <v>fernanda.maciel010@escola.pb.gov.br</v>
      </c>
      <c r="N144" s="2" t="str">
        <f ca="1">IFERROR(__xludf.DUMMYFUNCTION("""COMPUTED_VALUE"""),"fernanda_direito2008@hotmail.com")</f>
        <v>fernanda_direito2008@hotmail.com</v>
      </c>
      <c r="O144" s="2" t="str">
        <f ca="1">IFERROR(__xludf.DUMMYFUNCTION("""COMPUTED_VALUE"""),"(83)98121-1240")</f>
        <v>(83)98121-1240</v>
      </c>
      <c r="P144" s="2" t="str">
        <f ca="1">IFERROR(__xludf.DUMMYFUNCTION("""COMPUTED_VALUE"""),"(83)98139-8879")</f>
        <v>(83)98139-8879</v>
      </c>
      <c r="Q144" s="50"/>
      <c r="R144" s="50"/>
      <c r="S144" s="2" t="str">
        <f ca="1">IFERROR(VLOOKUP(A144,IMPORT_DESISTENCIA!$A$2:$Q2273,14,0),"NÃO")</f>
        <v>NÃO</v>
      </c>
      <c r="T144" s="35"/>
    </row>
    <row r="145" spans="1:20" ht="45" customHeight="1" x14ac:dyDescent="0.25">
      <c r="A145" s="2" t="str">
        <f t="shared" ca="1" si="1"/>
        <v>004/2025/041.661.394-28</v>
      </c>
      <c r="B145" s="2" t="str">
        <f ca="1">IFERROR(__xludf.DUMMYFUNCTION("""COMPUTED_VALUE"""),"041.661.394-28")</f>
        <v>041.661.394-28</v>
      </c>
      <c r="C145" s="43" t="str">
        <f ca="1">IFERROR(__xludf.DUMMYFUNCTION("""COMPUTED_VALUE"""),"JUCELIO GABRIEL DE SOUSA")</f>
        <v>JUCELIO GABRIEL DE SOUSA</v>
      </c>
      <c r="D145" s="2" t="str">
        <f ca="1">IFERROR(__xludf.DUMMYFUNCTION("""COMPUTED_VALUE"""),"ORIENTADOR")</f>
        <v>ORIENTADOR</v>
      </c>
      <c r="E145" s="2" t="str">
        <f ca="1">IFERROR(__xludf.DUMMYFUNCTION("""COMPUTED_VALUE"""),"004/2025")</f>
        <v>004/2025</v>
      </c>
      <c r="F145" s="2" t="str">
        <f ca="1">IFERROR(__xludf.DUMMYFUNCTION("""COMPUTED_VALUE"""),"MARIZOPOLIS")</f>
        <v>MARIZOPOLIS</v>
      </c>
      <c r="G145" s="11"/>
      <c r="H145" s="11" t="str">
        <f ca="1">IFERROR(__xludf.DUMMYFUNCTION("""COMPUTED_VALUE"""),"ESCOLA MUNICIPAL VEREADOR JOAO GONCALVES DE SOUSA")</f>
        <v>ESCOLA MUNICIPAL VEREADOR JOAO GONCALVES DE SOUSA</v>
      </c>
      <c r="I145" s="2" t="str">
        <f ca="1">IFERROR(__xludf.DUMMYFUNCTION("""COMPUTED_VALUE"""),"NOITE")</f>
        <v>NOITE</v>
      </c>
      <c r="J145" s="47">
        <f ca="1">IFERROR(__xludf.DUMMYFUNCTION("""COMPUTED_VALUE"""),3)</f>
        <v>3</v>
      </c>
      <c r="K145" s="2"/>
      <c r="L145" s="10"/>
      <c r="M145" s="9" t="str">
        <f ca="1">IFERROR(__xludf.DUMMYFUNCTION("""COMPUTED_VALUE"""),"juceliogabrieldesousa@gmail.com")</f>
        <v>juceliogabrieldesousa@gmail.com</v>
      </c>
      <c r="N145" s="2" t="str">
        <f ca="1">IFERROR(__xludf.DUMMYFUNCTION("""COMPUTED_VALUE"""),"juceliogabrielsousa11@gmail.com")</f>
        <v>juceliogabrielsousa11@gmail.com</v>
      </c>
      <c r="O145" s="2" t="str">
        <f ca="1">IFERROR(__xludf.DUMMYFUNCTION("""COMPUTED_VALUE"""),"(83)981018253")</f>
        <v>(83)981018253</v>
      </c>
      <c r="P145" s="2"/>
      <c r="Q145" s="50"/>
      <c r="R145" s="50"/>
      <c r="S145" s="2" t="str">
        <f ca="1">IFERROR(VLOOKUP(A145,IMPORT_DESISTENCIA!$A$2:$Q2273,14,0),"NÃO")</f>
        <v>NÃO</v>
      </c>
      <c r="T145" s="35"/>
    </row>
    <row r="146" spans="1:20" ht="45" customHeight="1" x14ac:dyDescent="0.25">
      <c r="A146" s="2" t="str">
        <f t="shared" ca="1" si="1"/>
        <v>004/2025/119.712.684-88</v>
      </c>
      <c r="B146" s="2" t="str">
        <f ca="1">IFERROR(__xludf.DUMMYFUNCTION("""COMPUTED_VALUE"""),"119.712.684-88")</f>
        <v>119.712.684-88</v>
      </c>
      <c r="C146" s="43" t="str">
        <f ca="1">IFERROR(__xludf.DUMMYFUNCTION("""COMPUTED_VALUE"""),"NAYLSON DO NASCIMENTO SILVA")</f>
        <v>NAYLSON DO NASCIMENTO SILVA</v>
      </c>
      <c r="D146" s="2" t="str">
        <f ca="1">IFERROR(__xludf.DUMMYFUNCTION("""COMPUTED_VALUE"""),"ORIENTADOR")</f>
        <v>ORIENTADOR</v>
      </c>
      <c r="E146" s="2" t="str">
        <f ca="1">IFERROR(__xludf.DUMMYFUNCTION("""COMPUTED_VALUE"""),"004/2025")</f>
        <v>004/2025</v>
      </c>
      <c r="F146" s="2" t="str">
        <f ca="1">IFERROR(__xludf.DUMMYFUNCTION("""COMPUTED_VALUE"""),"MARIZOPOLIS")</f>
        <v>MARIZOPOLIS</v>
      </c>
      <c r="G146" s="11"/>
      <c r="H146" s="11" t="str">
        <f ca="1">IFERROR(__xludf.DUMMYFUNCTION("""COMPUTED_VALUE"""),"ESCOLA MUNICIPAL VEREADOR JOAO GONCALVES DE SOUSA")</f>
        <v>ESCOLA MUNICIPAL VEREADOR JOAO GONCALVES DE SOUSA</v>
      </c>
      <c r="I146" s="2" t="str">
        <f ca="1">IFERROR(__xludf.DUMMYFUNCTION("""COMPUTED_VALUE"""),"NOITE")</f>
        <v>NOITE</v>
      </c>
      <c r="J146" s="47">
        <f ca="1">IFERROR(__xludf.DUMMYFUNCTION("""COMPUTED_VALUE"""),4)</f>
        <v>4</v>
      </c>
      <c r="K146" s="2"/>
      <c r="L146" s="10"/>
      <c r="M146" s="9" t="str">
        <f ca="1">IFERROR(__xludf.DUMMYFUNCTION("""COMPUTED_VALUE"""),"Naylson2silva@gmail.com")</f>
        <v>Naylson2silva@gmail.com</v>
      </c>
      <c r="N146" s="2" t="str">
        <f ca="1">IFERROR(__xludf.DUMMYFUNCTION("""COMPUTED_VALUE"""),"Jaynnenascimento526@gmail.com")</f>
        <v>Jaynnenascimento526@gmail.com</v>
      </c>
      <c r="O146" s="2" t="str">
        <f ca="1">IFERROR(__xludf.DUMMYFUNCTION("""COMPUTED_VALUE"""),"(83)98197-8248")</f>
        <v>(83)98197-8248</v>
      </c>
      <c r="P146" s="2" t="str">
        <f ca="1">IFERROR(__xludf.DUMMYFUNCTION("""COMPUTED_VALUE"""),"(84)99859-4123")</f>
        <v>(84)99859-4123</v>
      </c>
      <c r="Q146" s="50"/>
      <c r="R146" s="50"/>
      <c r="S146" s="2" t="str">
        <f ca="1">IFERROR(VLOOKUP(A146,IMPORT_DESISTENCIA!$A$2:$Q2273,14,0),"NÃO")</f>
        <v>NÃO</v>
      </c>
      <c r="T146" s="35"/>
    </row>
    <row r="147" spans="1:20" ht="45" customHeight="1" x14ac:dyDescent="0.25">
      <c r="A147" s="2" t="str">
        <f t="shared" ca="1" si="1"/>
        <v>004/2025/058.669.844-23</v>
      </c>
      <c r="B147" s="2" t="str">
        <f ca="1">IFERROR(__xludf.DUMMYFUNCTION("""COMPUTED_VALUE"""),"058.669.844-23")</f>
        <v>058.669.844-23</v>
      </c>
      <c r="C147" s="43" t="str">
        <f ca="1">IFERROR(__xludf.DUMMYFUNCTION("""COMPUTED_VALUE"""),"JORDANIA MARIA DE ARAUJO")</f>
        <v>JORDANIA MARIA DE ARAUJO</v>
      </c>
      <c r="D147" s="2" t="str">
        <f ca="1">IFERROR(__xludf.DUMMYFUNCTION("""COMPUTED_VALUE"""),"ORIENTADOR")</f>
        <v>ORIENTADOR</v>
      </c>
      <c r="E147" s="2" t="str">
        <f ca="1">IFERROR(__xludf.DUMMYFUNCTION("""COMPUTED_VALUE"""),"004/2025")</f>
        <v>004/2025</v>
      </c>
      <c r="F147" s="2" t="str">
        <f ca="1">IFERROR(__xludf.DUMMYFUNCTION("""COMPUTED_VALUE"""),"PATOS")</f>
        <v>PATOS</v>
      </c>
      <c r="G147" s="11"/>
      <c r="H147" s="11" t="str">
        <f ca="1">IFERROR(__xludf.DUMMYFUNCTION("""COMPUTED_VALUE"""),"PRESIDIO REGIONAL FEMININO DE PATOS")</f>
        <v>PRESIDIO REGIONAL FEMININO DE PATOS</v>
      </c>
      <c r="I147" s="2" t="str">
        <f ca="1">IFERROR(__xludf.DUMMYFUNCTION("""COMPUTED_VALUE"""),"TARDE")</f>
        <v>TARDE</v>
      </c>
      <c r="J147" s="47">
        <f ca="1">IFERROR(__xludf.DUMMYFUNCTION("""COMPUTED_VALUE"""),1)</f>
        <v>1</v>
      </c>
      <c r="K147" s="2"/>
      <c r="L147" s="10"/>
      <c r="M147" s="9" t="str">
        <f ca="1">IFERROR(__xludf.DUMMYFUNCTION("""COMPUTED_VALUE"""),"jordaniasocial@gmail.com")</f>
        <v>jordaniasocial@gmail.com</v>
      </c>
      <c r="N147" s="2" t="str">
        <f ca="1">IFERROR(__xludf.DUMMYFUNCTION("""COMPUTED_VALUE"""),"jordaniamar@hotmail.com")</f>
        <v>jordaniamar@hotmail.com</v>
      </c>
      <c r="O147" s="2" t="str">
        <f ca="1">IFERROR(__xludf.DUMMYFUNCTION("""COMPUTED_VALUE"""),"(83)920013753")</f>
        <v>(83)920013753</v>
      </c>
      <c r="P147" s="2" t="str">
        <f ca="1">IFERROR(__xludf.DUMMYFUNCTION("""COMPUTED_VALUE"""),"(83)996748161")</f>
        <v>(83)996748161</v>
      </c>
      <c r="Q147" s="50"/>
      <c r="R147" s="50"/>
      <c r="S147" s="2" t="str">
        <f ca="1">IFERROR(VLOOKUP(A147,IMPORT_DESISTENCIA!$A$2:$Q2273,14,0),"NÃO")</f>
        <v>NÃO</v>
      </c>
      <c r="T147" s="35"/>
    </row>
    <row r="148" spans="1:20" ht="45" customHeight="1" x14ac:dyDescent="0.25">
      <c r="A148" s="2" t="str">
        <f t="shared" ca="1" si="1"/>
        <v>004/2025/082.420.554-59</v>
      </c>
      <c r="B148" s="2" t="str">
        <f ca="1">IFERROR(__xludf.DUMMYFUNCTION("""COMPUTED_VALUE"""),"082.420.554-59")</f>
        <v>082.420.554-59</v>
      </c>
      <c r="C148" s="43" t="str">
        <f ca="1">IFERROR(__xludf.DUMMYFUNCTION("""COMPUTED_VALUE"""),"JESSIKA CRISTINA SILVA SANTOS")</f>
        <v>JESSIKA CRISTINA SILVA SANTOS</v>
      </c>
      <c r="D148" s="2" t="str">
        <f ca="1">IFERROR(__xludf.DUMMYFUNCTION("""COMPUTED_VALUE"""),"ORIENTADOR")</f>
        <v>ORIENTADOR</v>
      </c>
      <c r="E148" s="2" t="str">
        <f ca="1">IFERROR(__xludf.DUMMYFUNCTION("""COMPUTED_VALUE"""),"004/2025")</f>
        <v>004/2025</v>
      </c>
      <c r="F148" s="2" t="str">
        <f ca="1">IFERROR(__xludf.DUMMYFUNCTION("""COMPUTED_VALUE"""),"PATOS")</f>
        <v>PATOS</v>
      </c>
      <c r="G148" s="11"/>
      <c r="H148" s="11" t="str">
        <f ca="1">IFERROR(__xludf.DUMMYFUNCTION("""COMPUTED_VALUE"""),"PRESIDIO REGIONAL FEMININO DE PATOS")</f>
        <v>PRESIDIO REGIONAL FEMININO DE PATOS</v>
      </c>
      <c r="I148" s="2" t="str">
        <f ca="1">IFERROR(__xludf.DUMMYFUNCTION("""COMPUTED_VALUE"""),"TARDE")</f>
        <v>TARDE</v>
      </c>
      <c r="J148" s="47">
        <f ca="1">IFERROR(__xludf.DUMMYFUNCTION("""COMPUTED_VALUE"""),2)</f>
        <v>2</v>
      </c>
      <c r="K148" s="2"/>
      <c r="L148" s="10"/>
      <c r="M148" s="9" t="str">
        <f ca="1">IFERROR(__xludf.DUMMYFUNCTION("""COMPUTED_VALUE"""),"jess67828@gmail.com")</f>
        <v>jess67828@gmail.com</v>
      </c>
      <c r="N148" s="2" t="str">
        <f ca="1">IFERROR(__xludf.DUMMYFUNCTION("""COMPUTED_VALUE"""),"jessyka141618@hotmail.com")</f>
        <v>jessyka141618@hotmail.com</v>
      </c>
      <c r="O148" s="2" t="str">
        <f ca="1">IFERROR(__xludf.DUMMYFUNCTION("""COMPUTED_VALUE"""),"(83)996234690")</f>
        <v>(83)996234690</v>
      </c>
      <c r="P148" s="2"/>
      <c r="Q148" s="50"/>
      <c r="R148" s="50"/>
      <c r="S148" s="2" t="str">
        <f ca="1">IFERROR(VLOOKUP(A148,IMPORT_DESISTENCIA!$A$2:$Q2273,14,0),"NÃO")</f>
        <v>NÃO</v>
      </c>
      <c r="T148" s="35"/>
    </row>
    <row r="149" spans="1:20" ht="45" customHeight="1" x14ac:dyDescent="0.25">
      <c r="A149" s="2" t="str">
        <f t="shared" ca="1" si="1"/>
        <v>004/2025/099.737.974-00</v>
      </c>
      <c r="B149" s="2" t="str">
        <f ca="1">IFERROR(__xludf.DUMMYFUNCTION("""COMPUTED_VALUE"""),"099.737.974-00")</f>
        <v>099.737.974-00</v>
      </c>
      <c r="C149" s="43" t="str">
        <f ca="1">IFERROR(__xludf.DUMMYFUNCTION("""COMPUTED_VALUE"""),"THAMIRES NAYARA SOUSA DE VASCONCELOS")</f>
        <v>THAMIRES NAYARA SOUSA DE VASCONCELOS</v>
      </c>
      <c r="D149" s="2" t="str">
        <f ca="1">IFERROR(__xludf.DUMMYFUNCTION("""COMPUTED_VALUE"""),"ORIENTADOR")</f>
        <v>ORIENTADOR</v>
      </c>
      <c r="E149" s="2" t="str">
        <f ca="1">IFERROR(__xludf.DUMMYFUNCTION("""COMPUTED_VALUE"""),"004/2025")</f>
        <v>004/2025</v>
      </c>
      <c r="F149" s="2" t="str">
        <f ca="1">IFERROR(__xludf.DUMMYFUNCTION("""COMPUTED_VALUE"""),"PATOS")</f>
        <v>PATOS</v>
      </c>
      <c r="G149" s="11"/>
      <c r="H149" s="11" t="str">
        <f ca="1">IFERROR(__xludf.DUMMYFUNCTION("""COMPUTED_VALUE"""),"PRESIDIO REGIONAL FEMININO DE PATOS")</f>
        <v>PRESIDIO REGIONAL FEMININO DE PATOS</v>
      </c>
      <c r="I149" s="2" t="str">
        <f ca="1">IFERROR(__xludf.DUMMYFUNCTION("""COMPUTED_VALUE"""),"TARDE")</f>
        <v>TARDE</v>
      </c>
      <c r="J149" s="47">
        <f ca="1">IFERROR(__xludf.DUMMYFUNCTION("""COMPUTED_VALUE"""),3)</f>
        <v>3</v>
      </c>
      <c r="K149" s="2"/>
      <c r="L149" s="10"/>
      <c r="M149" s="9" t="str">
        <f ca="1">IFERROR(__xludf.DUMMYFUNCTION("""COMPUTED_VALUE"""),"thamiresvasconcelos.adv@gmail.com")</f>
        <v>thamiresvasconcelos.adv@gmail.com</v>
      </c>
      <c r="N149" s="2" t="str">
        <f ca="1">IFERROR(__xludf.DUMMYFUNCTION("""COMPUTED_VALUE"""),"thamiresvasconcelos.edu@gmail.com")</f>
        <v>thamiresvasconcelos.edu@gmail.com</v>
      </c>
      <c r="O149" s="2" t="str">
        <f ca="1">IFERROR(__xludf.DUMMYFUNCTION("""COMPUTED_VALUE"""),"(83)98787-0739")</f>
        <v>(83)98787-0739</v>
      </c>
      <c r="P149" s="2" t="str">
        <f ca="1">IFERROR(__xludf.DUMMYFUNCTION("""COMPUTED_VALUE"""),"(83)99177-0517")</f>
        <v>(83)99177-0517</v>
      </c>
      <c r="Q149" s="50"/>
      <c r="R149" s="50"/>
      <c r="S149" s="2" t="str">
        <f ca="1">IFERROR(VLOOKUP(A149,IMPORT_DESISTENCIA!$A$2:$Q2273,14,0),"NÃO")</f>
        <v>NÃO</v>
      </c>
      <c r="T149" s="35"/>
    </row>
    <row r="150" spans="1:20" ht="45" customHeight="1" x14ac:dyDescent="0.25">
      <c r="A150" s="2" t="str">
        <f t="shared" ca="1" si="1"/>
        <v>004/2025/069.088.764-70</v>
      </c>
      <c r="B150" s="2" t="str">
        <f ca="1">IFERROR(__xludf.DUMMYFUNCTION("""COMPUTED_VALUE"""),"069.088.764-70")</f>
        <v>069.088.764-70</v>
      </c>
      <c r="C150" s="43" t="str">
        <f ca="1">IFERROR(__xludf.DUMMYFUNCTION("""COMPUTED_VALUE"""),"LARISSA FERREIRA MENDONÇA")</f>
        <v>LARISSA FERREIRA MENDONÇA</v>
      </c>
      <c r="D150" s="2" t="str">
        <f ca="1">IFERROR(__xludf.DUMMYFUNCTION("""COMPUTED_VALUE"""),"ORIENTADOR")</f>
        <v>ORIENTADOR</v>
      </c>
      <c r="E150" s="2" t="str">
        <f ca="1">IFERROR(__xludf.DUMMYFUNCTION("""COMPUTED_VALUE"""),"004/2025")</f>
        <v>004/2025</v>
      </c>
      <c r="F150" s="2" t="str">
        <f ca="1">IFERROR(__xludf.DUMMYFUNCTION("""COMPUTED_VALUE"""),"PATOS")</f>
        <v>PATOS</v>
      </c>
      <c r="G150" s="11"/>
      <c r="H150" s="11" t="str">
        <f ca="1">IFERROR(__xludf.DUMMYFUNCTION("""COMPUTED_VALUE"""),"PRESIDIO REGIONAL FEMININO DE PATOS")</f>
        <v>PRESIDIO REGIONAL FEMININO DE PATOS</v>
      </c>
      <c r="I150" s="2" t="str">
        <f ca="1">IFERROR(__xludf.DUMMYFUNCTION("""COMPUTED_VALUE"""),"TARDE")</f>
        <v>TARDE</v>
      </c>
      <c r="J150" s="47">
        <f ca="1">IFERROR(__xludf.DUMMYFUNCTION("""COMPUTED_VALUE"""),4)</f>
        <v>4</v>
      </c>
      <c r="K150" s="2"/>
      <c r="L150" s="10"/>
      <c r="M150" s="9" t="str">
        <f ca="1">IFERROR(__xludf.DUMMYFUNCTION("""COMPUTED_VALUE"""),"larissa.ferreira5328@gmail.com")</f>
        <v>larissa.ferreira5328@gmail.com</v>
      </c>
      <c r="N150" s="2" t="str">
        <f ca="1">IFERROR(__xludf.DUMMYFUNCTION("""COMPUTED_VALUE"""),"ERMESONRC@GMAIL.COM")</f>
        <v>ERMESONRC@GMAIL.COM</v>
      </c>
      <c r="O150" s="2" t="str">
        <f ca="1">IFERROR(__xludf.DUMMYFUNCTION("""COMPUTED_VALUE"""),"(83)99802-1644")</f>
        <v>(83)99802-1644</v>
      </c>
      <c r="P150" s="2"/>
      <c r="Q150" s="50"/>
      <c r="R150" s="50"/>
      <c r="S150" s="2" t="str">
        <f ca="1">IFERROR(VLOOKUP(A150,IMPORT_DESISTENCIA!$A$2:$Q2273,14,0),"NÃO")</f>
        <v>NÃO</v>
      </c>
      <c r="T150" s="35"/>
    </row>
    <row r="151" spans="1:20" ht="45" customHeight="1" x14ac:dyDescent="0.25">
      <c r="A151" s="2" t="str">
        <f t="shared" ca="1" si="1"/>
        <v>004/2025/110.264.584-20</v>
      </c>
      <c r="B151" s="2" t="str">
        <f ca="1">IFERROR(__xludf.DUMMYFUNCTION("""COMPUTED_VALUE"""),"110.264.584-20")</f>
        <v>110.264.584-20</v>
      </c>
      <c r="C151" s="43" t="str">
        <f ca="1">IFERROR(__xludf.DUMMYFUNCTION("""COMPUTED_VALUE"""),"MARIA JOSE BATISTA DE SOUSA")</f>
        <v>MARIA JOSE BATISTA DE SOUSA</v>
      </c>
      <c r="D151" s="2" t="str">
        <f ca="1">IFERROR(__xludf.DUMMYFUNCTION("""COMPUTED_VALUE"""),"ORIENTADOR")</f>
        <v>ORIENTADOR</v>
      </c>
      <c r="E151" s="2" t="str">
        <f ca="1">IFERROR(__xludf.DUMMYFUNCTION("""COMPUTED_VALUE"""),"004/2025")</f>
        <v>004/2025</v>
      </c>
      <c r="F151" s="2" t="str">
        <f ca="1">IFERROR(__xludf.DUMMYFUNCTION("""COMPUTED_VALUE"""),"PATOS")</f>
        <v>PATOS</v>
      </c>
      <c r="G151" s="11"/>
      <c r="H151" s="11" t="str">
        <f ca="1">IFERROR(__xludf.DUMMYFUNCTION("""COMPUTED_VALUE"""),"PRESIDIO REGIONAL FEMININO DE PATOS")</f>
        <v>PRESIDIO REGIONAL FEMININO DE PATOS</v>
      </c>
      <c r="I151" s="2" t="str">
        <f ca="1">IFERROR(__xludf.DUMMYFUNCTION("""COMPUTED_VALUE"""),"TARDE")</f>
        <v>TARDE</v>
      </c>
      <c r="J151" s="47">
        <f ca="1">IFERROR(__xludf.DUMMYFUNCTION("""COMPUTED_VALUE"""),5)</f>
        <v>5</v>
      </c>
      <c r="K151" s="2"/>
      <c r="L151" s="10"/>
      <c r="M151" s="9" t="str">
        <f ca="1">IFERROR(__xludf.DUMMYFUNCTION("""COMPUTED_VALUE"""),"fernandabatistta11@gmail.com")</f>
        <v>fernandabatistta11@gmail.com</v>
      </c>
      <c r="N151" s="2" t="str">
        <f ca="1">IFERROR(__xludf.DUMMYFUNCTION("""COMPUTED_VALUE"""),"mariasocbatista@gmail.com")</f>
        <v>mariasocbatista@gmail.com</v>
      </c>
      <c r="O151" s="2" t="str">
        <f ca="1">IFERROR(__xludf.DUMMYFUNCTION("""COMPUTED_VALUE"""),"(83)99306-7969")</f>
        <v>(83)99306-7969</v>
      </c>
      <c r="P151" s="2" t="str">
        <f ca="1">IFERROR(__xludf.DUMMYFUNCTION("""COMPUTED_VALUE"""),"(83)99119-4768")</f>
        <v>(83)99119-4768</v>
      </c>
      <c r="Q151" s="50"/>
      <c r="R151" s="50"/>
      <c r="S151" s="2" t="str">
        <f ca="1">IFERROR(VLOOKUP(A151,IMPORT_DESISTENCIA!$A$2:$Q2273,14,0),"NÃO")</f>
        <v>NÃO</v>
      </c>
      <c r="T151" s="35"/>
    </row>
    <row r="152" spans="1:20" ht="45" customHeight="1" x14ac:dyDescent="0.25">
      <c r="A152" s="2" t="str">
        <f t="shared" ca="1" si="1"/>
        <v>004/2025/108.432.334-60</v>
      </c>
      <c r="B152" s="2" t="str">
        <f ca="1">IFERROR(__xludf.DUMMYFUNCTION("""COMPUTED_VALUE"""),"108.432.334-60")</f>
        <v>108.432.334-60</v>
      </c>
      <c r="C152" s="43" t="str">
        <f ca="1">IFERROR(__xludf.DUMMYFUNCTION("""COMPUTED_VALUE"""),"MARYSOL MARIA DO SOCORRO BATISTA")</f>
        <v>MARYSOL MARIA DO SOCORRO BATISTA</v>
      </c>
      <c r="D152" s="2" t="str">
        <f ca="1">IFERROR(__xludf.DUMMYFUNCTION("""COMPUTED_VALUE"""),"ORIENTADOR")</f>
        <v>ORIENTADOR</v>
      </c>
      <c r="E152" s="2" t="str">
        <f ca="1">IFERROR(__xludf.DUMMYFUNCTION("""COMPUTED_VALUE"""),"004/2025")</f>
        <v>004/2025</v>
      </c>
      <c r="F152" s="2" t="str">
        <f ca="1">IFERROR(__xludf.DUMMYFUNCTION("""COMPUTED_VALUE"""),"PATOS")</f>
        <v>PATOS</v>
      </c>
      <c r="G152" s="11"/>
      <c r="H152" s="11" t="str">
        <f ca="1">IFERROR(__xludf.DUMMYFUNCTION("""COMPUTED_VALUE"""),"PRESIDIO REGIONAL FEMININO DE PATOS")</f>
        <v>PRESIDIO REGIONAL FEMININO DE PATOS</v>
      </c>
      <c r="I152" s="2" t="str">
        <f ca="1">IFERROR(__xludf.DUMMYFUNCTION("""COMPUTED_VALUE"""),"TARDE")</f>
        <v>TARDE</v>
      </c>
      <c r="J152" s="47">
        <f ca="1">IFERROR(__xludf.DUMMYFUNCTION("""COMPUTED_VALUE"""),6)</f>
        <v>6</v>
      </c>
      <c r="K152" s="2"/>
      <c r="L152" s="10"/>
      <c r="M152" s="9" t="str">
        <f ca="1">IFERROR(__xludf.DUMMYFUNCTION("""COMPUTED_VALUE"""),"mariasocbatista@gmail.com")</f>
        <v>mariasocbatista@gmail.com</v>
      </c>
      <c r="N152" s="2" t="str">
        <f ca="1">IFERROR(__xludf.DUMMYFUNCTION("""COMPUTED_VALUE"""),"fernandabatistta11@gmail.com")</f>
        <v>fernandabatistta11@gmail.com</v>
      </c>
      <c r="O152" s="2" t="str">
        <f ca="1">IFERROR(__xludf.DUMMYFUNCTION("""COMPUTED_VALUE"""),"(83)99119-4768")</f>
        <v>(83)99119-4768</v>
      </c>
      <c r="P152" s="2" t="str">
        <f ca="1">IFERROR(__xludf.DUMMYFUNCTION("""COMPUTED_VALUE"""),"(83)99306-7969")</f>
        <v>(83)99306-7969</v>
      </c>
      <c r="Q152" s="50"/>
      <c r="R152" s="50"/>
      <c r="S152" s="2" t="str">
        <f ca="1">IFERROR(VLOOKUP(A152,IMPORT_DESISTENCIA!$A$2:$Q2273,14,0),"NÃO")</f>
        <v>NÃO</v>
      </c>
      <c r="T152" s="35"/>
    </row>
    <row r="153" spans="1:20" ht="45" customHeight="1" x14ac:dyDescent="0.25">
      <c r="A153" s="2" t="str">
        <f t="shared" ca="1" si="1"/>
        <v>004/2025/024.084.476-90</v>
      </c>
      <c r="B153" s="2" t="str">
        <f ca="1">IFERROR(__xludf.DUMMYFUNCTION("""COMPUTED_VALUE"""),"024.084.476-90")</f>
        <v>024.084.476-90</v>
      </c>
      <c r="C153" s="43" t="str">
        <f ca="1">IFERROR(__xludf.DUMMYFUNCTION("""COMPUTED_VALUE"""),"FRANCICLEIA DE FRANÇA RODRIGUES")</f>
        <v>FRANCICLEIA DE FRANÇA RODRIGUES</v>
      </c>
      <c r="D153" s="2" t="str">
        <f ca="1">IFERROR(__xludf.DUMMYFUNCTION("""COMPUTED_VALUE"""),"ORIENTADOR")</f>
        <v>ORIENTADOR</v>
      </c>
      <c r="E153" s="2" t="str">
        <f ca="1">IFERROR(__xludf.DUMMYFUNCTION("""COMPUTED_VALUE"""),"004/2025")</f>
        <v>004/2025</v>
      </c>
      <c r="F153" s="2" t="str">
        <f ca="1">IFERROR(__xludf.DUMMYFUNCTION("""COMPUTED_VALUE"""),"PILOES")</f>
        <v>PILOES</v>
      </c>
      <c r="G153" s="11"/>
      <c r="H153" s="11" t="str">
        <f ca="1">IFERROR(__xludf.DUMMYFUNCTION("""COMPUTED_VALUE"""),"EMEF BRAZ BARACUHY")</f>
        <v>EMEF BRAZ BARACUHY</v>
      </c>
      <c r="I153" s="2" t="str">
        <f ca="1">IFERROR(__xludf.DUMMYFUNCTION("""COMPUTED_VALUE"""),"NOITE")</f>
        <v>NOITE</v>
      </c>
      <c r="J153" s="47">
        <f ca="1">IFERROR(__xludf.DUMMYFUNCTION("""COMPUTED_VALUE"""),1)</f>
        <v>1</v>
      </c>
      <c r="K153" s="2"/>
      <c r="L153" s="10"/>
      <c r="M153" s="9" t="str">
        <f ca="1">IFERROR(__xludf.DUMMYFUNCTION("""COMPUTED_VALUE"""),"francicleia.adv@gmail.com")</f>
        <v>francicleia.adv@gmail.com</v>
      </c>
      <c r="N153" s="2" t="str">
        <f ca="1">IFERROR(__xludf.DUMMYFUNCTION("""COMPUTED_VALUE"""),"franci.topificando@gmail.com")</f>
        <v>franci.topificando@gmail.com</v>
      </c>
      <c r="O153" s="2" t="str">
        <f ca="1">IFERROR(__xludf.DUMMYFUNCTION("""COMPUTED_VALUE"""),"(83)98889-8099")</f>
        <v>(83)98889-8099</v>
      </c>
      <c r="P153" s="2" t="str">
        <f ca="1">IFERROR(__xludf.DUMMYFUNCTION("""COMPUTED_VALUE"""),"(83)935002419")</f>
        <v>(83)935002419</v>
      </c>
      <c r="Q153" s="50"/>
      <c r="R153" s="50"/>
      <c r="S153" s="2" t="str">
        <f ca="1">IFERROR(VLOOKUP(A153,IMPORT_DESISTENCIA!$A$2:$Q2273,14,0),"NÃO")</f>
        <v>NÃO</v>
      </c>
      <c r="T153" s="35"/>
    </row>
    <row r="154" spans="1:20" ht="45" customHeight="1" x14ac:dyDescent="0.25">
      <c r="A154" s="2" t="str">
        <f t="shared" ca="1" si="1"/>
        <v>004/2025/346.120.948-16</v>
      </c>
      <c r="B154" s="2" t="str">
        <f ca="1">IFERROR(__xludf.DUMMYFUNCTION("""COMPUTED_VALUE"""),"346.120.948-16")</f>
        <v>346.120.948-16</v>
      </c>
      <c r="C154" s="43" t="str">
        <f ca="1">IFERROR(__xludf.DUMMYFUNCTION("""COMPUTED_VALUE"""),"MARIA EDUARDA SANTOS CATARINA")</f>
        <v>MARIA EDUARDA SANTOS CATARINA</v>
      </c>
      <c r="D154" s="2" t="str">
        <f ca="1">IFERROR(__xludf.DUMMYFUNCTION("""COMPUTED_VALUE"""),"ORIENTADOR")</f>
        <v>ORIENTADOR</v>
      </c>
      <c r="E154" s="2" t="str">
        <f ca="1">IFERROR(__xludf.DUMMYFUNCTION("""COMPUTED_VALUE"""),"004/2025")</f>
        <v>004/2025</v>
      </c>
      <c r="F154" s="2" t="str">
        <f ca="1">IFERROR(__xludf.DUMMYFUNCTION("""COMPUTED_VALUE"""),"PILOES")</f>
        <v>PILOES</v>
      </c>
      <c r="G154" s="11"/>
      <c r="H154" s="11" t="str">
        <f ca="1">IFERROR(__xludf.DUMMYFUNCTION("""COMPUTED_VALUE"""),"EMEF BRAZ BARACUHY")</f>
        <v>EMEF BRAZ BARACUHY</v>
      </c>
      <c r="I154" s="2" t="str">
        <f ca="1">IFERROR(__xludf.DUMMYFUNCTION("""COMPUTED_VALUE"""),"NOITE")</f>
        <v>NOITE</v>
      </c>
      <c r="J154" s="47">
        <f ca="1">IFERROR(__xludf.DUMMYFUNCTION("""COMPUTED_VALUE"""),2)</f>
        <v>2</v>
      </c>
      <c r="K154" s="2" t="str">
        <f ca="1">IFERROR(__xludf.DUMMYFUNCTION("""COMPUTED_VALUE"""),"POSSE VALIDADA")</f>
        <v>POSSE VALIDADA</v>
      </c>
      <c r="L154" s="10"/>
      <c r="M154" s="9" t="str">
        <f ca="1">IFERROR(__xludf.DUMMYFUNCTION("""COMPUTED_VALUE"""),"mariacatarinaed@gmail.com")</f>
        <v>mariacatarinaed@gmail.com</v>
      </c>
      <c r="N154" s="2" t="str">
        <f ca="1">IFERROR(__xludf.DUMMYFUNCTION("""COMPUTED_VALUE"""),"mariacatarinaed@gmail.com")</f>
        <v>mariacatarinaed@gmail.com</v>
      </c>
      <c r="O154" s="2" t="str">
        <f ca="1">IFERROR(__xludf.DUMMYFUNCTION("""COMPUTED_VALUE"""),"(83)99948-5743")</f>
        <v>(83)99948-5743</v>
      </c>
      <c r="P154" s="2" t="str">
        <f ca="1">IFERROR(__xludf.DUMMYFUNCTION("""COMPUTED_VALUE"""),"(83)99948-5743")</f>
        <v>(83)99948-5743</v>
      </c>
      <c r="Q154" s="50" t="str">
        <f ca="1">IFERROR(__xludf.DUMMYFUNCTION("""COMPUTED_VALUE"""),"05/05/2025")</f>
        <v>05/05/2025</v>
      </c>
      <c r="R154" s="50"/>
      <c r="S154" s="2" t="str">
        <f ca="1">IFERROR(VLOOKUP(A154,IMPORT_DESISTENCIA!$A$2:$Q2273,14,0),"NÃO")</f>
        <v>NÃO</v>
      </c>
      <c r="T154" s="35"/>
    </row>
    <row r="155" spans="1:20" ht="45" customHeight="1" x14ac:dyDescent="0.25">
      <c r="A155" s="2" t="str">
        <f t="shared" ca="1" si="1"/>
        <v>004/2025/105.711.227-52</v>
      </c>
      <c r="B155" s="2" t="str">
        <f ca="1">IFERROR(__xludf.DUMMYFUNCTION("""COMPUTED_VALUE"""),"105.711.227-52")</f>
        <v>105.711.227-52</v>
      </c>
      <c r="C155" s="43" t="str">
        <f ca="1">IFERROR(__xludf.DUMMYFUNCTION("""COMPUTED_VALUE"""),"SAINT CLAIR ALVES DE SOUSA")</f>
        <v>SAINT CLAIR ALVES DE SOUSA</v>
      </c>
      <c r="D155" s="2" t="str">
        <f ca="1">IFERROR(__xludf.DUMMYFUNCTION("""COMPUTED_VALUE"""),"ORIENTADOR")</f>
        <v>ORIENTADOR</v>
      </c>
      <c r="E155" s="2" t="str">
        <f ca="1">IFERROR(__xludf.DUMMYFUNCTION("""COMPUTED_VALUE"""),"004/2025")</f>
        <v>004/2025</v>
      </c>
      <c r="F155" s="2" t="str">
        <f ca="1">IFERROR(__xludf.DUMMYFUNCTION("""COMPUTED_VALUE"""),"POMBAL")</f>
        <v>POMBAL</v>
      </c>
      <c r="G155" s="11"/>
      <c r="H155" s="11" t="str">
        <f ca="1">IFERROR(__xludf.DUMMYFUNCTION("""COMPUTED_VALUE"""),"ESCOLA AMELIA MARIA DA LUZ")</f>
        <v>ESCOLA AMELIA MARIA DA LUZ</v>
      </c>
      <c r="I155" s="2" t="str">
        <f ca="1">IFERROR(__xludf.DUMMYFUNCTION("""COMPUTED_VALUE"""),"NOITE")</f>
        <v>NOITE</v>
      </c>
      <c r="J155" s="47">
        <f ca="1">IFERROR(__xludf.DUMMYFUNCTION("""COMPUTED_VALUE"""),1)</f>
        <v>1</v>
      </c>
      <c r="K155" s="2" t="str">
        <f ca="1">IFERROR(__xludf.DUMMYFUNCTION("""COMPUTED_VALUE"""),"POSSE VALIDADA")</f>
        <v>POSSE VALIDADA</v>
      </c>
      <c r="L155" s="10"/>
      <c r="M155" s="9" t="str">
        <f ca="1">IFERROR(__xludf.DUMMYFUNCTION("""COMPUTED_VALUE"""),"sclairbrito@gmail.com")</f>
        <v>sclairbrito@gmail.com</v>
      </c>
      <c r="N155" s="2"/>
      <c r="O155" s="2" t="str">
        <f ca="1">IFERROR(__xludf.DUMMYFUNCTION("""COMPUTED_VALUE"""),"(83)98101-9115")</f>
        <v>(83)98101-9115</v>
      </c>
      <c r="P155" s="2"/>
      <c r="Q155" s="50" t="str">
        <f ca="1">IFERROR(__xludf.DUMMYFUNCTION("""COMPUTED_VALUE"""),"21/04/2025")</f>
        <v>21/04/2025</v>
      </c>
      <c r="R155" s="50"/>
      <c r="S155" s="2" t="str">
        <f ca="1">IFERROR(VLOOKUP(A155,IMPORT_DESISTENCIA!$A$2:$Q2273,14,0),"NÃO")</f>
        <v>NÃO</v>
      </c>
      <c r="T155" s="35"/>
    </row>
    <row r="156" spans="1:20" ht="45" customHeight="1" x14ac:dyDescent="0.25">
      <c r="A156" s="2" t="str">
        <f t="shared" ca="1" si="1"/>
        <v>004/2025/094.202.504-07</v>
      </c>
      <c r="B156" s="2" t="str">
        <f ca="1">IFERROR(__xludf.DUMMYFUNCTION("""COMPUTED_VALUE"""),"094.202.504-07")</f>
        <v>094.202.504-07</v>
      </c>
      <c r="C156" s="43" t="str">
        <f ca="1">IFERROR(__xludf.DUMMYFUNCTION("""COMPUTED_VALUE"""),"PABLO HENRIQUE ALMEIDA DA SILVA")</f>
        <v>PABLO HENRIQUE ALMEIDA DA SILVA</v>
      </c>
      <c r="D156" s="2" t="str">
        <f ca="1">IFERROR(__xludf.DUMMYFUNCTION("""COMPUTED_VALUE"""),"ORIENTADOR")</f>
        <v>ORIENTADOR</v>
      </c>
      <c r="E156" s="2" t="str">
        <f ca="1">IFERROR(__xludf.DUMMYFUNCTION("""COMPUTED_VALUE"""),"004/2025")</f>
        <v>004/2025</v>
      </c>
      <c r="F156" s="2" t="str">
        <f ca="1">IFERROR(__xludf.DUMMYFUNCTION("""COMPUTED_VALUE"""),"POMBAL")</f>
        <v>POMBAL</v>
      </c>
      <c r="G156" s="11"/>
      <c r="H156" s="11" t="str">
        <f ca="1">IFERROR(__xludf.DUMMYFUNCTION("""COMPUTED_VALUE"""),"ESCOLA AMELIA MARIA DA LUZ")</f>
        <v>ESCOLA AMELIA MARIA DA LUZ</v>
      </c>
      <c r="I156" s="2" t="str">
        <f ca="1">IFERROR(__xludf.DUMMYFUNCTION("""COMPUTED_VALUE"""),"NOITE")</f>
        <v>NOITE</v>
      </c>
      <c r="J156" s="47">
        <f ca="1">IFERROR(__xludf.DUMMYFUNCTION("""COMPUTED_VALUE"""),2)</f>
        <v>2</v>
      </c>
      <c r="K156" s="2" t="str">
        <f ca="1">IFERROR(__xludf.DUMMYFUNCTION("""COMPUTED_VALUE"""),"POSSE VALIDADA")</f>
        <v>POSSE VALIDADA</v>
      </c>
      <c r="L156" s="10"/>
      <c r="M156" s="9" t="str">
        <f ca="1">IFERROR(__xludf.DUMMYFUNCTION("""COMPUTED_VALUE"""),"psicologopablohenrique@gmail.com")</f>
        <v>psicologopablohenrique@gmail.com</v>
      </c>
      <c r="N156" s="2" t="str">
        <f ca="1">IFERROR(__xludf.DUMMYFUNCTION("""COMPUTED_VALUE"""),"ofcpablohenrique@gmail.com")</f>
        <v>ofcpablohenrique@gmail.com</v>
      </c>
      <c r="O156" s="2" t="str">
        <f ca="1">IFERROR(__xludf.DUMMYFUNCTION("""COMPUTED_VALUE"""),"(83)99654-2778")</f>
        <v>(83)99654-2778</v>
      </c>
      <c r="P156" s="2" t="str">
        <f ca="1">IFERROR(__xludf.DUMMYFUNCTION("""COMPUTED_VALUE"""),"(83)99945-9757")</f>
        <v>(83)99945-9757</v>
      </c>
      <c r="Q156" s="50" t="str">
        <f ca="1">IFERROR(__xludf.DUMMYFUNCTION("""COMPUTED_VALUE"""),"23/04/2025")</f>
        <v>23/04/2025</v>
      </c>
      <c r="R156" s="50"/>
      <c r="S156" s="2" t="str">
        <f ca="1">IFERROR(VLOOKUP(A156,IMPORT_DESISTENCIA!$A$2:$Q2273,14,0),"NÃO")</f>
        <v>NÃO</v>
      </c>
      <c r="T156" s="35"/>
    </row>
    <row r="157" spans="1:20" ht="45" customHeight="1" x14ac:dyDescent="0.25">
      <c r="A157" s="2" t="str">
        <f t="shared" ca="1" si="1"/>
        <v>004/2025/069.888.954-18</v>
      </c>
      <c r="B157" s="2" t="str">
        <f ca="1">IFERROR(__xludf.DUMMYFUNCTION("""COMPUTED_VALUE"""),"069.888.954-18")</f>
        <v>069.888.954-18</v>
      </c>
      <c r="C157" s="43" t="str">
        <f ca="1">IFERROR(__xludf.DUMMYFUNCTION("""COMPUTED_VALUE"""),"THALES FABRICIO DA COSTA E SILVA")</f>
        <v>THALES FABRICIO DA COSTA E SILVA</v>
      </c>
      <c r="D157" s="2" t="str">
        <f ca="1">IFERROR(__xludf.DUMMYFUNCTION("""COMPUTED_VALUE"""),"ORIENTADOR")</f>
        <v>ORIENTADOR</v>
      </c>
      <c r="E157" s="2" t="str">
        <f ca="1">IFERROR(__xludf.DUMMYFUNCTION("""COMPUTED_VALUE"""),"004/2025")</f>
        <v>004/2025</v>
      </c>
      <c r="F157" s="2" t="str">
        <f ca="1">IFERROR(__xludf.DUMMYFUNCTION("""COMPUTED_VALUE"""),"SAO FRANCISCO")</f>
        <v>SAO FRANCISCO</v>
      </c>
      <c r="G157" s="11"/>
      <c r="H157" s="11" t="str">
        <f ca="1">IFERROR(__xludf.DUMMYFUNCTION("""COMPUTED_VALUE"""),"EMEF. FRANCISCO SALES GADELHA DE OLIVEIRA")</f>
        <v>EMEF. FRANCISCO SALES GADELHA DE OLIVEIRA</v>
      </c>
      <c r="I157" s="2" t="str">
        <f ca="1">IFERROR(__xludf.DUMMYFUNCTION("""COMPUTED_VALUE"""),"NOITE")</f>
        <v>NOITE</v>
      </c>
      <c r="J157" s="47">
        <f ca="1">IFERROR(__xludf.DUMMYFUNCTION("""COMPUTED_VALUE"""),1)</f>
        <v>1</v>
      </c>
      <c r="K157" s="2" t="str">
        <f ca="1">IFERROR(__xludf.DUMMYFUNCTION("""COMPUTED_VALUE"""),"POSSE VALIDADA")</f>
        <v>POSSE VALIDADA</v>
      </c>
      <c r="L157" s="10"/>
      <c r="M157" s="9" t="str">
        <f ca="1">IFERROR(__xludf.DUMMYFUNCTION("""COMPUTED_VALUE"""),"thalespsic@gmail.com")</f>
        <v>thalespsic@gmail.com</v>
      </c>
      <c r="N157" s="2" t="str">
        <f ca="1">IFERROR(__xludf.DUMMYFUNCTION("""COMPUTED_VALUE"""),"thalescostaprof@gmail.com")</f>
        <v>thalescostaprof@gmail.com</v>
      </c>
      <c r="O157" s="2" t="str">
        <f ca="1">IFERROR(__xludf.DUMMYFUNCTION("""COMPUTED_VALUE"""),"(84)98121-7035")</f>
        <v>(84)98121-7035</v>
      </c>
      <c r="P157" s="2"/>
      <c r="Q157" s="50" t="str">
        <f ca="1">IFERROR(__xludf.DUMMYFUNCTION("""COMPUTED_VALUE"""),"13/05/2025")</f>
        <v>13/05/2025</v>
      </c>
      <c r="R157" s="50"/>
      <c r="S157" s="2" t="str">
        <f ca="1">IFERROR(VLOOKUP(A157,IMPORT_DESISTENCIA!$A$2:$Q2273,14,0),"NÃO")</f>
        <v>NÃO</v>
      </c>
      <c r="T157" s="35"/>
    </row>
    <row r="158" spans="1:20" ht="45" customHeight="1" x14ac:dyDescent="0.25">
      <c r="A158" s="2" t="str">
        <f t="shared" ca="1" si="1"/>
        <v>004/2025/073.240.544-04</v>
      </c>
      <c r="B158" s="2" t="str">
        <f ca="1">IFERROR(__xludf.DUMMYFUNCTION("""COMPUTED_VALUE"""),"073.240.544-04")</f>
        <v>073.240.544-04</v>
      </c>
      <c r="C158" s="43" t="str">
        <f ca="1">IFERROR(__xludf.DUMMYFUNCTION("""COMPUTED_VALUE"""),"MICAELLA FORMIGA DANTAS SOBREIRA")</f>
        <v>MICAELLA FORMIGA DANTAS SOBREIRA</v>
      </c>
      <c r="D158" s="2" t="str">
        <f ca="1">IFERROR(__xludf.DUMMYFUNCTION("""COMPUTED_VALUE"""),"ORIENTADOR")</f>
        <v>ORIENTADOR</v>
      </c>
      <c r="E158" s="2" t="str">
        <f ca="1">IFERROR(__xludf.DUMMYFUNCTION("""COMPUTED_VALUE"""),"004/2025")</f>
        <v>004/2025</v>
      </c>
      <c r="F158" s="2" t="str">
        <f ca="1">IFERROR(__xludf.DUMMYFUNCTION("""COMPUTED_VALUE"""),"UIRAUNA")</f>
        <v>UIRAUNA</v>
      </c>
      <c r="G158" s="11"/>
      <c r="H158" s="11" t="str">
        <f ca="1">IFERROR(__xludf.DUMMYFUNCTION("""COMPUTED_VALUE"""),"ECIT DR. JOSE DUARTE FILHO")</f>
        <v>ECIT DR. JOSE DUARTE FILHO</v>
      </c>
      <c r="I158" s="2" t="str">
        <f ca="1">IFERROR(__xludf.DUMMYFUNCTION("""COMPUTED_VALUE"""),"NOITE")</f>
        <v>NOITE</v>
      </c>
      <c r="J158" s="47">
        <f ca="1">IFERROR(__xludf.DUMMYFUNCTION("""COMPUTED_VALUE"""),1)</f>
        <v>1</v>
      </c>
      <c r="K158" s="2" t="str">
        <f ca="1">IFERROR(__xludf.DUMMYFUNCTION("""COMPUTED_VALUE"""),"POSSE VALIDADA")</f>
        <v>POSSE VALIDADA</v>
      </c>
      <c r="L158" s="10"/>
      <c r="M158" s="9" t="str">
        <f ca="1">IFERROR(__xludf.DUMMYFUNCTION("""COMPUTED_VALUE"""),"caellaformiga@gmail.com")</f>
        <v>caellaformiga@gmail.com</v>
      </c>
      <c r="N158" s="2" t="str">
        <f ca="1">IFERROR(__xludf.DUMMYFUNCTION("""COMPUTED_VALUE"""),"micaelladantas@gmail.com")</f>
        <v>micaelladantas@gmail.com</v>
      </c>
      <c r="O158" s="2" t="str">
        <f ca="1">IFERROR(__xludf.DUMMYFUNCTION("""COMPUTED_VALUE"""),"(83)99626-4765")</f>
        <v>(83)99626-4765</v>
      </c>
      <c r="P158" s="2" t="str">
        <f ca="1">IFERROR(__xludf.DUMMYFUNCTION("""COMPUTED_VALUE"""),"(83)99838-8159")</f>
        <v>(83)99838-8159</v>
      </c>
      <c r="Q158" s="50" t="str">
        <f ca="1">IFERROR(__xludf.DUMMYFUNCTION("""COMPUTED_VALUE"""),"22/04/2025")</f>
        <v>22/04/2025</v>
      </c>
      <c r="R158" s="50"/>
      <c r="S158" s="2" t="str">
        <f ca="1">IFERROR(VLOOKUP(A158,IMPORT_DESISTENCIA!$A$2:$Q2273,14,0),"NÃO")</f>
        <v>NÃO</v>
      </c>
      <c r="T158" s="35"/>
    </row>
    <row r="159" spans="1:20" ht="45" customHeight="1" x14ac:dyDescent="0.25">
      <c r="A159" s="2" t="str">
        <f t="shared" ca="1" si="1"/>
        <v>004/2025/087.883.774-40</v>
      </c>
      <c r="B159" s="2" t="str">
        <f ca="1">IFERROR(__xludf.DUMMYFUNCTION("""COMPUTED_VALUE"""),"087.883.774-40")</f>
        <v>087.883.774-40</v>
      </c>
      <c r="C159" s="43" t="str">
        <f ca="1">IFERROR(__xludf.DUMMYFUNCTION("""COMPUTED_VALUE"""),"FABIANA GONÇALVES DA SILVA")</f>
        <v>FABIANA GONÇALVES DA SILVA</v>
      </c>
      <c r="D159" s="2" t="str">
        <f ca="1">IFERROR(__xludf.DUMMYFUNCTION("""COMPUTED_VALUE"""),"ORIENTADOR")</f>
        <v>ORIENTADOR</v>
      </c>
      <c r="E159" s="2" t="str">
        <f ca="1">IFERROR(__xludf.DUMMYFUNCTION("""COMPUTED_VALUE"""),"004/2025")</f>
        <v>004/2025</v>
      </c>
      <c r="F159" s="2" t="str">
        <f ca="1">IFERROR(__xludf.DUMMYFUNCTION("""COMPUTED_VALUE"""),"UIRAUNA")</f>
        <v>UIRAUNA</v>
      </c>
      <c r="G159" s="11"/>
      <c r="H159" s="11" t="str">
        <f ca="1">IFERROR(__xludf.DUMMYFUNCTION("""COMPUTED_VALUE"""),"ECIT DR. JOSE DUARTE FILHO")</f>
        <v>ECIT DR. JOSE DUARTE FILHO</v>
      </c>
      <c r="I159" s="2" t="str">
        <f ca="1">IFERROR(__xludf.DUMMYFUNCTION("""COMPUTED_VALUE"""),"NOITE")</f>
        <v>NOITE</v>
      </c>
      <c r="J159" s="47">
        <f ca="1">IFERROR(__xludf.DUMMYFUNCTION("""COMPUTED_VALUE"""),2)</f>
        <v>2</v>
      </c>
      <c r="K159" s="2"/>
      <c r="L159" s="10"/>
      <c r="M159" s="9" t="str">
        <f ca="1">IFERROR(__xludf.DUMMYFUNCTION("""COMPUTED_VALUE"""),"silvafabi201809@gmail.com")</f>
        <v>silvafabi201809@gmail.com</v>
      </c>
      <c r="N159" s="2"/>
      <c r="O159" s="2" t="str">
        <f ca="1">IFERROR(__xludf.DUMMYFUNCTION("""COMPUTED_VALUE"""),"(83)99847-3103")</f>
        <v>(83)99847-3103</v>
      </c>
      <c r="P159" s="2"/>
      <c r="Q159" s="50"/>
      <c r="R159" s="50"/>
      <c r="S159" s="2" t="str">
        <f ca="1">IFERROR(VLOOKUP(A159,IMPORT_DESISTENCIA!$A$2:$Q2273,14,0),"NÃO")</f>
        <v>NÃO</v>
      </c>
      <c r="T159" s="35"/>
    </row>
    <row r="160" spans="1:20" ht="45" customHeight="1" x14ac:dyDescent="0.25">
      <c r="A160" s="2" t="str">
        <f t="shared" ca="1" si="1"/>
        <v>004/2025/032.924.404-32</v>
      </c>
      <c r="B160" s="2" t="str">
        <f ca="1">IFERROR(__xludf.DUMMYFUNCTION("""COMPUTED_VALUE"""),"032.924.404-32")</f>
        <v>032.924.404-32</v>
      </c>
      <c r="C160" s="43" t="str">
        <f ca="1">IFERROR(__xludf.DUMMYFUNCTION("""COMPUTED_VALUE"""),"ANDREIA LOURENÇO DA SILVA")</f>
        <v>ANDREIA LOURENÇO DA SILVA</v>
      </c>
      <c r="D160" s="2" t="str">
        <f ca="1">IFERROR(__xludf.DUMMYFUNCTION("""COMPUTED_VALUE"""),"PROFESSOR")</f>
        <v>PROFESSOR</v>
      </c>
      <c r="E160" s="2" t="str">
        <f ca="1">IFERROR(__xludf.DUMMYFUNCTION("""COMPUTED_VALUE"""),"004/2025")</f>
        <v>004/2025</v>
      </c>
      <c r="F160" s="2" t="str">
        <f ca="1">IFERROR(__xludf.DUMMYFUNCTION("""COMPUTED_VALUE"""),"AREIA")</f>
        <v>AREIA</v>
      </c>
      <c r="G160" s="11" t="str">
        <f ca="1">IFERROR(__xludf.DUMMYFUNCTION("""COMPUTED_VALUE"""),"AGENTE DE DESENVOLVIMENTO COOPERATIVISTA")</f>
        <v>AGENTE DE DESENVOLVIMENTO COOPERATIVISTA</v>
      </c>
      <c r="H160" s="11" t="str">
        <f ca="1">IFERROR(__xludf.DUMMYFUNCTION("""COMPUTED_VALUE"""),"ASSENTAMENTO UNIAO")</f>
        <v>ASSENTAMENTO UNIAO</v>
      </c>
      <c r="I160" s="2" t="str">
        <f ca="1">IFERROR(__xludf.DUMMYFUNCTION("""COMPUTED_VALUE"""),"TARDE")</f>
        <v>TARDE</v>
      </c>
      <c r="J160" s="47">
        <f ca="1">IFERROR(__xludf.DUMMYFUNCTION("""COMPUTED_VALUE"""),1)</f>
        <v>1</v>
      </c>
      <c r="K160" s="2" t="str">
        <f ca="1">IFERROR(__xludf.DUMMYFUNCTION("""COMPUTED_VALUE"""),"POSSE VALIDADA")</f>
        <v>POSSE VALIDADA</v>
      </c>
      <c r="L160" s="10"/>
      <c r="M160" s="9" t="str">
        <f ca="1">IFERROR(__xludf.DUMMYFUNCTION("""COMPUTED_VALUE"""),"andtutorabap@gmail.com")</f>
        <v>andtutorabap@gmail.com</v>
      </c>
      <c r="N160" s="2" t="str">
        <f ca="1">IFERROR(__xludf.DUMMYFUNCTION("""COMPUTED_VALUE"""),"andloureno@yahoo.com.br")</f>
        <v>andloureno@yahoo.com.br</v>
      </c>
      <c r="O160" s="2" t="str">
        <f ca="1">IFERROR(__xludf.DUMMYFUNCTION("""COMPUTED_VALUE"""),"(83)996470791")</f>
        <v>(83)996470791</v>
      </c>
      <c r="P160" s="2"/>
      <c r="Q160" s="50" t="str">
        <f ca="1">IFERROR(__xludf.DUMMYFUNCTION("""COMPUTED_VALUE"""),"22/04/2025")</f>
        <v>22/04/2025</v>
      </c>
      <c r="R160" s="50"/>
      <c r="S160" s="2" t="str">
        <f ca="1">IFERROR(VLOOKUP(A160,IMPORT_DESISTENCIA!$A$2:$Q2273,14,0),"NÃO")</f>
        <v>NÃO</v>
      </c>
      <c r="T160" s="35"/>
    </row>
    <row r="161" spans="1:20" ht="45" customHeight="1" x14ac:dyDescent="0.25">
      <c r="A161" s="2" t="str">
        <f t="shared" ca="1" si="1"/>
        <v>004/2025/098.914.234-50</v>
      </c>
      <c r="B161" s="2" t="str">
        <f ca="1">IFERROR(__xludf.DUMMYFUNCTION("""COMPUTED_VALUE"""),"098.914.234-50")</f>
        <v>098.914.234-50</v>
      </c>
      <c r="C161" s="43" t="str">
        <f ca="1">IFERROR(__xludf.DUMMYFUNCTION("""COMPUTED_VALUE"""),"DAVI ANDRE DA SILVA ABRANTES")</f>
        <v>DAVI ANDRE DA SILVA ABRANTES</v>
      </c>
      <c r="D161" s="2" t="str">
        <f ca="1">IFERROR(__xludf.DUMMYFUNCTION("""COMPUTED_VALUE"""),"PROFESSOR")</f>
        <v>PROFESSOR</v>
      </c>
      <c r="E161" s="2" t="str">
        <f ca="1">IFERROR(__xludf.DUMMYFUNCTION("""COMPUTED_VALUE"""),"004/2025")</f>
        <v>004/2025</v>
      </c>
      <c r="F161" s="2" t="str">
        <f ca="1">IFERROR(__xludf.DUMMYFUNCTION("""COMPUTED_VALUE"""),"AREIA")</f>
        <v>AREIA</v>
      </c>
      <c r="G161" s="11" t="str">
        <f ca="1">IFERROR(__xludf.DUMMYFUNCTION("""COMPUTED_VALUE"""),"AGENTE DE DESENVOLVIMENTO COOPERATIVISTA")</f>
        <v>AGENTE DE DESENVOLVIMENTO COOPERATIVISTA</v>
      </c>
      <c r="H161" s="11" t="str">
        <f ca="1">IFERROR(__xludf.DUMMYFUNCTION("""COMPUTED_VALUE"""),"ASSENTAMENTO UNIAO")</f>
        <v>ASSENTAMENTO UNIAO</v>
      </c>
      <c r="I161" s="2" t="str">
        <f ca="1">IFERROR(__xludf.DUMMYFUNCTION("""COMPUTED_VALUE"""),"TARDE")</f>
        <v>TARDE</v>
      </c>
      <c r="J161" s="47">
        <f ca="1">IFERROR(__xludf.DUMMYFUNCTION("""COMPUTED_VALUE"""),2)</f>
        <v>2</v>
      </c>
      <c r="K161" s="2"/>
      <c r="L161" s="10"/>
      <c r="M161" s="9" t="str">
        <f ca="1">IFERROR(__xludf.DUMMYFUNCTION("""COMPUTED_VALUE"""),"daviabrantes83@gmail.com")</f>
        <v>daviabrantes83@gmail.com</v>
      </c>
      <c r="N161" s="2"/>
      <c r="O161" s="2" t="str">
        <f ca="1">IFERROR(__xludf.DUMMYFUNCTION("""COMPUTED_VALUE"""),"(83)99913-6368")</f>
        <v>(83)99913-6368</v>
      </c>
      <c r="P161" s="2"/>
      <c r="Q161" s="50"/>
      <c r="R161" s="50"/>
      <c r="S161" s="2" t="str">
        <f ca="1">IFERROR(VLOOKUP(A161,IMPORT_DESISTENCIA!$A$2:$Q2273,14,0),"NÃO")</f>
        <v>NÃO</v>
      </c>
      <c r="T161" s="35"/>
    </row>
    <row r="162" spans="1:20" ht="45" customHeight="1" x14ac:dyDescent="0.25">
      <c r="A162" s="2" t="str">
        <f t="shared" ca="1" si="1"/>
        <v>004/2025/071.217.984-41</v>
      </c>
      <c r="B162" s="2" t="str">
        <f ca="1">IFERROR(__xludf.DUMMYFUNCTION("""COMPUTED_VALUE"""),"071.217.984-41")</f>
        <v>071.217.984-41</v>
      </c>
      <c r="C162" s="43" t="str">
        <f ca="1">IFERROR(__xludf.DUMMYFUNCTION("""COMPUTED_VALUE"""),"ASTENIA SILVA VIEIRA ALEXANDRE")</f>
        <v>ASTENIA SILVA VIEIRA ALEXANDRE</v>
      </c>
      <c r="D162" s="2" t="str">
        <f ca="1">IFERROR(__xludf.DUMMYFUNCTION("""COMPUTED_VALUE"""),"PROFESSOR")</f>
        <v>PROFESSOR</v>
      </c>
      <c r="E162" s="2" t="str">
        <f ca="1">IFERROR(__xludf.DUMMYFUNCTION("""COMPUTED_VALUE"""),"004/2025")</f>
        <v>004/2025</v>
      </c>
      <c r="F162" s="2" t="str">
        <f ca="1">IFERROR(__xludf.DUMMYFUNCTION("""COMPUTED_VALUE"""),"AREIA")</f>
        <v>AREIA</v>
      </c>
      <c r="G162" s="11" t="str">
        <f ca="1">IFERROR(__xludf.DUMMYFUNCTION("""COMPUTED_VALUE"""),"AGENTE DE DESENVOLVIMENTO COOPERATIVISTA")</f>
        <v>AGENTE DE DESENVOLVIMENTO COOPERATIVISTA</v>
      </c>
      <c r="H162" s="11" t="str">
        <f ca="1">IFERROR(__xludf.DUMMYFUNCTION("""COMPUTED_VALUE"""),"ASSENTAMENTO UNIAO")</f>
        <v>ASSENTAMENTO UNIAO</v>
      </c>
      <c r="I162" s="2" t="str">
        <f ca="1">IFERROR(__xludf.DUMMYFUNCTION("""COMPUTED_VALUE"""),"TARDE")</f>
        <v>TARDE</v>
      </c>
      <c r="J162" s="47">
        <f ca="1">IFERROR(__xludf.DUMMYFUNCTION("""COMPUTED_VALUE"""),3)</f>
        <v>3</v>
      </c>
      <c r="K162" s="2"/>
      <c r="L162" s="10"/>
      <c r="M162" s="9" t="str">
        <f ca="1">IFERROR(__xludf.DUMMYFUNCTION("""COMPUTED_VALUE"""),"irmasvieira2024@gmail.com")</f>
        <v>irmasvieira2024@gmail.com</v>
      </c>
      <c r="N162" s="2" t="str">
        <f ca="1">IFERROR(__xludf.DUMMYFUNCTION("""COMPUTED_VALUE"""),"asteniavieira@hotmail.com")</f>
        <v>asteniavieira@hotmail.com</v>
      </c>
      <c r="O162" s="2" t="str">
        <f ca="1">IFERROR(__xludf.DUMMYFUNCTION("""COMPUTED_VALUE"""),"(83)99902-2127")</f>
        <v>(83)99902-2127</v>
      </c>
      <c r="P162" s="2" t="str">
        <f ca="1">IFERROR(__xludf.DUMMYFUNCTION("""COMPUTED_VALUE"""),"(83)99195-6163")</f>
        <v>(83)99195-6163</v>
      </c>
      <c r="Q162" s="50"/>
      <c r="R162" s="50"/>
      <c r="S162" s="2" t="str">
        <f ca="1">IFERROR(VLOOKUP(A162,IMPORT_DESISTENCIA!$A$2:$Q2273,14,0),"NÃO")</f>
        <v>NÃO</v>
      </c>
      <c r="T162" s="35"/>
    </row>
    <row r="163" spans="1:20" ht="45" customHeight="1" x14ac:dyDescent="0.25">
      <c r="A163" s="2" t="str">
        <f t="shared" ca="1" si="1"/>
        <v>004/2025/016.833.804-10</v>
      </c>
      <c r="B163" s="2" t="str">
        <f ca="1">IFERROR(__xludf.DUMMYFUNCTION("""COMPUTED_VALUE"""),"016.833.804-10")</f>
        <v>016.833.804-10</v>
      </c>
      <c r="C163" s="43" t="str">
        <f ca="1">IFERROR(__xludf.DUMMYFUNCTION("""COMPUTED_VALUE"""),"LELIA NOGUEIRA DA SILVA")</f>
        <v>LELIA NOGUEIRA DA SILVA</v>
      </c>
      <c r="D163" s="2" t="str">
        <f ca="1">IFERROR(__xludf.DUMMYFUNCTION("""COMPUTED_VALUE"""),"PROFESSOR")</f>
        <v>PROFESSOR</v>
      </c>
      <c r="E163" s="2" t="str">
        <f ca="1">IFERROR(__xludf.DUMMYFUNCTION("""COMPUTED_VALUE"""),"004/2025")</f>
        <v>004/2025</v>
      </c>
      <c r="F163" s="2" t="str">
        <f ca="1">IFERROR(__xludf.DUMMYFUNCTION("""COMPUTED_VALUE"""),"AREIA")</f>
        <v>AREIA</v>
      </c>
      <c r="G163" s="11" t="str">
        <f ca="1">IFERROR(__xludf.DUMMYFUNCTION("""COMPUTED_VALUE"""),"AGENTE DE DESENVOLVIMENTO COOPERATIVISTA")</f>
        <v>AGENTE DE DESENVOLVIMENTO COOPERATIVISTA</v>
      </c>
      <c r="H163" s="11" t="str">
        <f ca="1">IFERROR(__xludf.DUMMYFUNCTION("""COMPUTED_VALUE"""),"ASSENTAMENTO MULHERES EM ACAO")</f>
        <v>ASSENTAMENTO MULHERES EM ACAO</v>
      </c>
      <c r="I163" s="2" t="str">
        <f ca="1">IFERROR(__xludf.DUMMYFUNCTION("""COMPUTED_VALUE"""),"TARDE")</f>
        <v>TARDE</v>
      </c>
      <c r="J163" s="47">
        <f ca="1">IFERROR(__xludf.DUMMYFUNCTION("""COMPUTED_VALUE"""),1)</f>
        <v>1</v>
      </c>
      <c r="K163" s="2" t="str">
        <f ca="1">IFERROR(__xludf.DUMMYFUNCTION("""COMPUTED_VALUE"""),"POSSE VALIDADA")</f>
        <v>POSSE VALIDADA</v>
      </c>
      <c r="L163" s="10"/>
      <c r="M163" s="9" t="str">
        <f ca="1">IFERROR(__xludf.DUMMYFUNCTION("""COMPUTED_VALUE"""),"Lelianogueira1992@gmail.com")</f>
        <v>Lelianogueira1992@gmail.com</v>
      </c>
      <c r="N163" s="2" t="str">
        <f ca="1">IFERROR(__xludf.DUMMYFUNCTION("""COMPUTED_VALUE"""),"leliatorres07@gmail.com")</f>
        <v>leliatorres07@gmail.com</v>
      </c>
      <c r="O163" s="2" t="str">
        <f ca="1">IFERROR(__xludf.DUMMYFUNCTION("""COMPUTED_VALUE"""),"(83)996372177")</f>
        <v>(83)996372177</v>
      </c>
      <c r="P163" s="2" t="str">
        <f ca="1">IFERROR(__xludf.DUMMYFUNCTION("""COMPUTED_VALUE"""),"(83)999121605")</f>
        <v>(83)999121605</v>
      </c>
      <c r="Q163" s="50" t="str">
        <f ca="1">IFERROR(__xludf.DUMMYFUNCTION("""COMPUTED_VALUE"""),"18/04/2025")</f>
        <v>18/04/2025</v>
      </c>
      <c r="R163" s="50"/>
      <c r="S163" s="2" t="str">
        <f ca="1">IFERROR(VLOOKUP(A163,IMPORT_DESISTENCIA!$A$2:$Q2273,14,0),"NÃO")</f>
        <v>NÃO</v>
      </c>
      <c r="T163" s="35"/>
    </row>
    <row r="164" spans="1:20" ht="45" customHeight="1" x14ac:dyDescent="0.25">
      <c r="A164" s="2" t="str">
        <f t="shared" ca="1" si="1"/>
        <v>004/2025/090.228.324-30</v>
      </c>
      <c r="B164" s="2" t="str">
        <f ca="1">IFERROR(__xludf.DUMMYFUNCTION("""COMPUTED_VALUE"""),"090.228.324-30")</f>
        <v>090.228.324-30</v>
      </c>
      <c r="C164" s="43" t="str">
        <f ca="1">IFERROR(__xludf.DUMMYFUNCTION("""COMPUTED_VALUE"""),"RAFAELA DIAS FERNANDES")</f>
        <v>RAFAELA DIAS FERNANDES</v>
      </c>
      <c r="D164" s="2" t="str">
        <f ca="1">IFERROR(__xludf.DUMMYFUNCTION("""COMPUTED_VALUE"""),"PROFESSOR")</f>
        <v>PROFESSOR</v>
      </c>
      <c r="E164" s="2" t="str">
        <f ca="1">IFERROR(__xludf.DUMMYFUNCTION("""COMPUTED_VALUE"""),"004/2025")</f>
        <v>004/2025</v>
      </c>
      <c r="F164" s="2" t="str">
        <f ca="1">IFERROR(__xludf.DUMMYFUNCTION("""COMPUTED_VALUE"""),"AREIA")</f>
        <v>AREIA</v>
      </c>
      <c r="G164" s="11" t="str">
        <f ca="1">IFERROR(__xludf.DUMMYFUNCTION("""COMPUTED_VALUE"""),"AGENTE DE DESENVOLVIMENTO COOPERATIVISTA")</f>
        <v>AGENTE DE DESENVOLVIMENTO COOPERATIVISTA</v>
      </c>
      <c r="H164" s="11" t="str">
        <f ca="1">IFERROR(__xludf.DUMMYFUNCTION("""COMPUTED_VALUE"""),"ASSENTAMENTO MULHERES EM ACAO")</f>
        <v>ASSENTAMENTO MULHERES EM ACAO</v>
      </c>
      <c r="I164" s="2" t="str">
        <f ca="1">IFERROR(__xludf.DUMMYFUNCTION("""COMPUTED_VALUE"""),"TARDE")</f>
        <v>TARDE</v>
      </c>
      <c r="J164" s="47">
        <f ca="1">IFERROR(__xludf.DUMMYFUNCTION("""COMPUTED_VALUE"""),2)</f>
        <v>2</v>
      </c>
      <c r="K164" s="2"/>
      <c r="L164" s="10"/>
      <c r="M164" s="9" t="str">
        <f ca="1">IFERROR(__xludf.DUMMYFUNCTION("""COMPUTED_VALUE"""),"rafaeladiasfernandes@gmail.com")</f>
        <v>rafaeladiasfernandes@gmail.com</v>
      </c>
      <c r="N164" s="2"/>
      <c r="O164" s="2" t="str">
        <f ca="1">IFERROR(__xludf.DUMMYFUNCTION("""COMPUTED_VALUE"""),"(83)99846-4228")</f>
        <v>(83)99846-4228</v>
      </c>
      <c r="P164" s="2"/>
      <c r="Q164" s="50"/>
      <c r="R164" s="50"/>
      <c r="S164" s="2" t="str">
        <f ca="1">IFERROR(VLOOKUP(A164,IMPORT_DESISTENCIA!$A$2:$Q2273,14,0),"NÃO")</f>
        <v>NÃO</v>
      </c>
      <c r="T164" s="35"/>
    </row>
    <row r="165" spans="1:20" ht="45" customHeight="1" x14ac:dyDescent="0.25">
      <c r="A165" s="2" t="str">
        <f t="shared" ca="1" si="1"/>
        <v>004/2025/106.753.554-35</v>
      </c>
      <c r="B165" s="2" t="str">
        <f ca="1">IFERROR(__xludf.DUMMYFUNCTION("""COMPUTED_VALUE"""),"106.753.554-35")</f>
        <v>106.753.554-35</v>
      </c>
      <c r="C165" s="43" t="str">
        <f ca="1">IFERROR(__xludf.DUMMYFUNCTION("""COMPUTED_VALUE"""),"JOELSON SOARES DOS SANTOS")</f>
        <v>JOELSON SOARES DOS SANTOS</v>
      </c>
      <c r="D165" s="2" t="str">
        <f ca="1">IFERROR(__xludf.DUMMYFUNCTION("""COMPUTED_VALUE"""),"PROFESSOR")</f>
        <v>PROFESSOR</v>
      </c>
      <c r="E165" s="2" t="str">
        <f ca="1">IFERROR(__xludf.DUMMYFUNCTION("""COMPUTED_VALUE"""),"004/2025")</f>
        <v>004/2025</v>
      </c>
      <c r="F165" s="2" t="str">
        <f ca="1">IFERROR(__xludf.DUMMYFUNCTION("""COMPUTED_VALUE"""),"AREIA")</f>
        <v>AREIA</v>
      </c>
      <c r="G165" s="11" t="str">
        <f ca="1">IFERROR(__xludf.DUMMYFUNCTION("""COMPUTED_VALUE"""),"AGENTE DE DESENVOLVIMENTO COOPERATIVISTA")</f>
        <v>AGENTE DE DESENVOLVIMENTO COOPERATIVISTA</v>
      </c>
      <c r="H165" s="11" t="str">
        <f ca="1">IFERROR(__xludf.DUMMYFUNCTION("""COMPUTED_VALUE"""),"ASSENTAMENTO MULHERES EM ACAO")</f>
        <v>ASSENTAMENTO MULHERES EM ACAO</v>
      </c>
      <c r="I165" s="2" t="str">
        <f ca="1">IFERROR(__xludf.DUMMYFUNCTION("""COMPUTED_VALUE"""),"TARDE")</f>
        <v>TARDE</v>
      </c>
      <c r="J165" s="47">
        <f ca="1">IFERROR(__xludf.DUMMYFUNCTION("""COMPUTED_VALUE"""),3)</f>
        <v>3</v>
      </c>
      <c r="K165" s="2"/>
      <c r="L165" s="10"/>
      <c r="M165" s="9" t="str">
        <f ca="1">IFERROR(__xludf.DUMMYFUNCTION("""COMPUTED_VALUE"""),"joelson.santos.1035.pbtec23@escola.pb.gov.br")</f>
        <v>joelson.santos.1035.pbtec23@escola.pb.gov.br</v>
      </c>
      <c r="N165" s="2" t="str">
        <f ca="1">IFERROR(__xludf.DUMMYFUNCTION("""COMPUTED_VALUE"""),"joelson.soares@academico.ufpb.br")</f>
        <v>joelson.soares@academico.ufpb.br</v>
      </c>
      <c r="O165" s="2" t="str">
        <f ca="1">IFERROR(__xludf.DUMMYFUNCTION("""COMPUTED_VALUE"""),"(83)99186-5500")</f>
        <v>(83)99186-5500</v>
      </c>
      <c r="P165" s="2" t="str">
        <f ca="1">IFERROR(__xludf.DUMMYFUNCTION("""COMPUTED_VALUE"""),"(83)999597112")</f>
        <v>(83)999597112</v>
      </c>
      <c r="Q165" s="50"/>
      <c r="R165" s="50"/>
      <c r="S165" s="2" t="str">
        <f ca="1">IFERROR(VLOOKUP(A165,IMPORT_DESISTENCIA!$A$2:$Q2273,14,0),"NÃO")</f>
        <v>NÃO</v>
      </c>
      <c r="T165" s="35"/>
    </row>
    <row r="166" spans="1:20" ht="45" customHeight="1" x14ac:dyDescent="0.25">
      <c r="A166" s="2" t="str">
        <f t="shared" ca="1" si="1"/>
        <v>004/2025/027.703.214-80</v>
      </c>
      <c r="B166" s="2" t="str">
        <f ca="1">IFERROR(__xludf.DUMMYFUNCTION("""COMPUTED_VALUE"""),"027.703.214-80")</f>
        <v>027.703.214-80</v>
      </c>
      <c r="C166" s="43" t="str">
        <f ca="1">IFERROR(__xludf.DUMMYFUNCTION("""COMPUTED_VALUE"""),"ANTONIO HENRIQUE CARNEIRO ARAUJO")</f>
        <v>ANTONIO HENRIQUE CARNEIRO ARAUJO</v>
      </c>
      <c r="D166" s="2" t="str">
        <f ca="1">IFERROR(__xludf.DUMMYFUNCTION("""COMPUTED_VALUE"""),"PROFESSOR")</f>
        <v>PROFESSOR</v>
      </c>
      <c r="E166" s="2" t="str">
        <f ca="1">IFERROR(__xludf.DUMMYFUNCTION("""COMPUTED_VALUE"""),"004/2025")</f>
        <v>004/2025</v>
      </c>
      <c r="F166" s="2" t="str">
        <f ca="1">IFERROR(__xludf.DUMMYFUNCTION("""COMPUTED_VALUE"""),"BAYEUX")</f>
        <v>BAYEUX</v>
      </c>
      <c r="G166" s="11" t="str">
        <f ca="1">IFERROR(__xludf.DUMMYFUNCTION("""COMPUTED_VALUE"""),"ASSISTENTE ESCOLAR")</f>
        <v>ASSISTENTE ESCOLAR</v>
      </c>
      <c r="H166" s="11" t="str">
        <f ca="1">IFERROR(__xludf.DUMMYFUNCTION("""COMPUTED_VALUE"""),"CENTRO DE CONVIVENCIA DOM HELDER")</f>
        <v>CENTRO DE CONVIVENCIA DOM HELDER</v>
      </c>
      <c r="I166" s="2" t="str">
        <f ca="1">IFERROR(__xludf.DUMMYFUNCTION("""COMPUTED_VALUE"""),"TARDE")</f>
        <v>TARDE</v>
      </c>
      <c r="J166" s="47">
        <f ca="1">IFERROR(__xludf.DUMMYFUNCTION("""COMPUTED_VALUE"""),1)</f>
        <v>1</v>
      </c>
      <c r="K166" s="2"/>
      <c r="L166" s="10"/>
      <c r="M166" s="9" t="str">
        <f ca="1">IFERROR(__xludf.DUMMYFUNCTION("""COMPUTED_VALUE"""),"antoniohenriquepb2@gmail.com")</f>
        <v>antoniohenriquepb2@gmail.com</v>
      </c>
      <c r="N166" s="2" t="str">
        <f ca="1">IFERROR(__xludf.DUMMYFUNCTION("""COMPUTED_VALUE"""),"antoniohenriquepb5@gmail.com")</f>
        <v>antoniohenriquepb5@gmail.com</v>
      </c>
      <c r="O166" s="2" t="str">
        <f ca="1">IFERROR(__xludf.DUMMYFUNCTION("""COMPUTED_VALUE"""),"(83)991700261")</f>
        <v>(83)991700261</v>
      </c>
      <c r="P166" s="2" t="str">
        <f ca="1">IFERROR(__xludf.DUMMYFUNCTION("""COMPUTED_VALUE"""),"(83)991684395")</f>
        <v>(83)991684395</v>
      </c>
      <c r="Q166" s="50"/>
      <c r="R166" s="50"/>
      <c r="S166" s="2" t="str">
        <f ca="1">IFERROR(VLOOKUP(A166,IMPORT_DESISTENCIA!$A$2:$Q2273,14,0),"NÃO")</f>
        <v>NÃO</v>
      </c>
      <c r="T166" s="35"/>
    </row>
    <row r="167" spans="1:20" ht="45" customHeight="1" x14ac:dyDescent="0.25">
      <c r="A167" s="2" t="str">
        <f t="shared" ca="1" si="1"/>
        <v>004/2025/113.390.074-79</v>
      </c>
      <c r="B167" s="2" t="str">
        <f ca="1">IFERROR(__xludf.DUMMYFUNCTION("""COMPUTED_VALUE"""),"113.390.074-79")</f>
        <v>113.390.074-79</v>
      </c>
      <c r="C167" s="43" t="str">
        <f ca="1">IFERROR(__xludf.DUMMYFUNCTION("""COMPUTED_VALUE"""),"FRANCISCO RIBEIRO DOS SANTOS JUNIOR")</f>
        <v>FRANCISCO RIBEIRO DOS SANTOS JUNIOR</v>
      </c>
      <c r="D167" s="2" t="str">
        <f ca="1">IFERROR(__xludf.DUMMYFUNCTION("""COMPUTED_VALUE"""),"PROFESSOR")</f>
        <v>PROFESSOR</v>
      </c>
      <c r="E167" s="2" t="str">
        <f ca="1">IFERROR(__xludf.DUMMYFUNCTION("""COMPUTED_VALUE"""),"004/2025")</f>
        <v>004/2025</v>
      </c>
      <c r="F167" s="2" t="str">
        <f ca="1">IFERROR(__xludf.DUMMYFUNCTION("""COMPUTED_VALUE"""),"BAYEUX")</f>
        <v>BAYEUX</v>
      </c>
      <c r="G167" s="11" t="str">
        <f ca="1">IFERROR(__xludf.DUMMYFUNCTION("""COMPUTED_VALUE"""),"ASSISTENTE ESCOLAR")</f>
        <v>ASSISTENTE ESCOLAR</v>
      </c>
      <c r="H167" s="11" t="str">
        <f ca="1">IFERROR(__xludf.DUMMYFUNCTION("""COMPUTED_VALUE"""),"CENTRO DE CONVIVENCIA DOM HELDER")</f>
        <v>CENTRO DE CONVIVENCIA DOM HELDER</v>
      </c>
      <c r="I167" s="2" t="str">
        <f ca="1">IFERROR(__xludf.DUMMYFUNCTION("""COMPUTED_VALUE"""),"TARDE")</f>
        <v>TARDE</v>
      </c>
      <c r="J167" s="47">
        <f ca="1">IFERROR(__xludf.DUMMYFUNCTION("""COMPUTED_VALUE"""),2)</f>
        <v>2</v>
      </c>
      <c r="K167" s="2" t="str">
        <f ca="1">IFERROR(__xludf.DUMMYFUNCTION("""COMPUTED_VALUE"""),"POSSE VALIDADA")</f>
        <v>POSSE VALIDADA</v>
      </c>
      <c r="L167" s="10"/>
      <c r="M167" s="9" t="str">
        <f ca="1">IFERROR(__xludf.DUMMYFUNCTION("""COMPUTED_VALUE"""),"ribeiro.juniorsantos@gmail.com")</f>
        <v>ribeiro.juniorsantos@gmail.com</v>
      </c>
      <c r="N167" s="2" t="str">
        <f ca="1">IFERROR(__xludf.DUMMYFUNCTION("""COMPUTED_VALUE"""),"ribeiro.juniorsantos@gmail.com")</f>
        <v>ribeiro.juniorsantos@gmail.com</v>
      </c>
      <c r="O167" s="2" t="str">
        <f ca="1">IFERROR(__xludf.DUMMYFUNCTION("""COMPUTED_VALUE"""),"(83)98123-0849")</f>
        <v>(83)98123-0849</v>
      </c>
      <c r="P167" s="2" t="str">
        <f ca="1">IFERROR(__xludf.DUMMYFUNCTION("""COMPUTED_VALUE"""),"(83)98854-7720")</f>
        <v>(83)98854-7720</v>
      </c>
      <c r="Q167" s="50" t="str">
        <f ca="1">IFERROR(__xludf.DUMMYFUNCTION("""COMPUTED_VALUE"""),"07/05/2025")</f>
        <v>07/05/2025</v>
      </c>
      <c r="R167" s="50"/>
      <c r="S167" s="2" t="str">
        <f ca="1">IFERROR(VLOOKUP(A167,IMPORT_DESISTENCIA!$A$2:$Q2273,14,0),"NÃO")</f>
        <v>NÃO</v>
      </c>
      <c r="T167" s="35"/>
    </row>
    <row r="168" spans="1:20" ht="45" customHeight="1" x14ac:dyDescent="0.25">
      <c r="A168" s="2" t="str">
        <f t="shared" ca="1" si="1"/>
        <v>004/2025/043.862.194-80</v>
      </c>
      <c r="B168" s="2" t="str">
        <f ca="1">IFERROR(__xludf.DUMMYFUNCTION("""COMPUTED_VALUE"""),"043.862.194-80")</f>
        <v>043.862.194-80</v>
      </c>
      <c r="C168" s="43" t="str">
        <f ca="1">IFERROR(__xludf.DUMMYFUNCTION("""COMPUTED_VALUE"""),"DANIELI KARINE FRANÇA DA SILVA")</f>
        <v>DANIELI KARINE FRANÇA DA SILVA</v>
      </c>
      <c r="D168" s="2" t="str">
        <f ca="1">IFERROR(__xludf.DUMMYFUNCTION("""COMPUTED_VALUE"""),"PROFESSOR")</f>
        <v>PROFESSOR</v>
      </c>
      <c r="E168" s="2" t="str">
        <f ca="1">IFERROR(__xludf.DUMMYFUNCTION("""COMPUTED_VALUE"""),"004/2025")</f>
        <v>004/2025</v>
      </c>
      <c r="F168" s="2" t="str">
        <f ca="1">IFERROR(__xludf.DUMMYFUNCTION("""COMPUTED_VALUE"""),"BAYEUX")</f>
        <v>BAYEUX</v>
      </c>
      <c r="G168" s="11" t="str">
        <f ca="1">IFERROR(__xludf.DUMMYFUNCTION("""COMPUTED_VALUE"""),"ASSISTENTE ESCOLAR")</f>
        <v>ASSISTENTE ESCOLAR</v>
      </c>
      <c r="H168" s="11" t="str">
        <f ca="1">IFERROR(__xludf.DUMMYFUNCTION("""COMPUTED_VALUE"""),"CENTRO DE CONVIVENCIA DOM HELDER")</f>
        <v>CENTRO DE CONVIVENCIA DOM HELDER</v>
      </c>
      <c r="I168" s="2" t="str">
        <f ca="1">IFERROR(__xludf.DUMMYFUNCTION("""COMPUTED_VALUE"""),"TARDE")</f>
        <v>TARDE</v>
      </c>
      <c r="J168" s="47">
        <f ca="1">IFERROR(__xludf.DUMMYFUNCTION("""COMPUTED_VALUE"""),3)</f>
        <v>3</v>
      </c>
      <c r="K168" s="2"/>
      <c r="L168" s="10"/>
      <c r="M168" s="9" t="str">
        <f ca="1">IFERROR(__xludf.DUMMYFUNCTION("""COMPUTED_VALUE"""),"danielikarinefranca@gmail.com")</f>
        <v>danielikarinefranca@gmail.com</v>
      </c>
      <c r="N168" s="2" t="str">
        <f ca="1">IFERROR(__xludf.DUMMYFUNCTION("""COMPUTED_VALUE"""),"danieli_karine@yahoo.com.br")</f>
        <v>danieli_karine@yahoo.com.br</v>
      </c>
      <c r="O168" s="2" t="str">
        <f ca="1">IFERROR(__xludf.DUMMYFUNCTION("""COMPUTED_VALUE"""),"(83)99118-1593")</f>
        <v>(83)99118-1593</v>
      </c>
      <c r="P168" s="2" t="str">
        <f ca="1">IFERROR(__xludf.DUMMYFUNCTION("""COMPUTED_VALUE"""),"(83)99180-0955")</f>
        <v>(83)99180-0955</v>
      </c>
      <c r="Q168" s="50"/>
      <c r="R168" s="50"/>
      <c r="S168" s="2" t="str">
        <f ca="1">IFERROR(VLOOKUP(A168,IMPORT_DESISTENCIA!$A$2:$Q2273,14,0),"NÃO")</f>
        <v>NÃO</v>
      </c>
      <c r="T168" s="35"/>
    </row>
    <row r="169" spans="1:20" ht="45" customHeight="1" x14ac:dyDescent="0.25">
      <c r="A169" s="2" t="str">
        <f t="shared" ca="1" si="1"/>
        <v>004/2025/080.611.294-85</v>
      </c>
      <c r="B169" s="2" t="str">
        <f ca="1">IFERROR(__xludf.DUMMYFUNCTION("""COMPUTED_VALUE"""),"080.611.294-85")</f>
        <v>080.611.294-85</v>
      </c>
      <c r="C169" s="43" t="str">
        <f ca="1">IFERROR(__xludf.DUMMYFUNCTION("""COMPUTED_VALUE"""),"RODRIGO HOLMES DIAS DE LIMA")</f>
        <v>RODRIGO HOLMES DIAS DE LIMA</v>
      </c>
      <c r="D169" s="2" t="str">
        <f ca="1">IFERROR(__xludf.DUMMYFUNCTION("""COMPUTED_VALUE"""),"PROFESSOR")</f>
        <v>PROFESSOR</v>
      </c>
      <c r="E169" s="2" t="str">
        <f ca="1">IFERROR(__xludf.DUMMYFUNCTION("""COMPUTED_VALUE"""),"004/2025")</f>
        <v>004/2025</v>
      </c>
      <c r="F169" s="2" t="str">
        <f ca="1">IFERROR(__xludf.DUMMYFUNCTION("""COMPUTED_VALUE"""),"BAYEUX")</f>
        <v>BAYEUX</v>
      </c>
      <c r="G169" s="11" t="str">
        <f ca="1">IFERROR(__xludf.DUMMYFUNCTION("""COMPUTED_VALUE"""),"ASSISTENTE ESCOLAR")</f>
        <v>ASSISTENTE ESCOLAR</v>
      </c>
      <c r="H169" s="11" t="str">
        <f ca="1">IFERROR(__xludf.DUMMYFUNCTION("""COMPUTED_VALUE"""),"CENTRO DE CONVIVENCIA DOM HELDER")</f>
        <v>CENTRO DE CONVIVENCIA DOM HELDER</v>
      </c>
      <c r="I169" s="2" t="str">
        <f ca="1">IFERROR(__xludf.DUMMYFUNCTION("""COMPUTED_VALUE"""),"TARDE")</f>
        <v>TARDE</v>
      </c>
      <c r="J169" s="47">
        <f ca="1">IFERROR(__xludf.DUMMYFUNCTION("""COMPUTED_VALUE"""),4)</f>
        <v>4</v>
      </c>
      <c r="K169" s="2"/>
      <c r="L169" s="10"/>
      <c r="M169" s="9" t="str">
        <f ca="1">IFERROR(__xludf.DUMMYFUNCTION("""COMPUTED_VALUE"""),"rodrigoholmes17@gmail.com")</f>
        <v>rodrigoholmes17@gmail.com</v>
      </c>
      <c r="N169" s="2"/>
      <c r="O169" s="2" t="str">
        <f ca="1">IFERROR(__xludf.DUMMYFUNCTION("""COMPUTED_VALUE"""),"(83)99103-7799")</f>
        <v>(83)99103-7799</v>
      </c>
      <c r="P169" s="2"/>
      <c r="Q169" s="50"/>
      <c r="R169" s="50"/>
      <c r="S169" s="2" t="str">
        <f ca="1">IFERROR(VLOOKUP(A169,IMPORT_DESISTENCIA!$A$2:$Q2273,14,0),"NÃO")</f>
        <v>NÃO</v>
      </c>
      <c r="T169" s="35"/>
    </row>
    <row r="170" spans="1:20" ht="45" customHeight="1" x14ac:dyDescent="0.25">
      <c r="A170" s="2" t="str">
        <f t="shared" ca="1" si="1"/>
        <v>004/2025/072.602.674-37</v>
      </c>
      <c r="B170" s="2" t="str">
        <f ca="1">IFERROR(__xludf.DUMMYFUNCTION("""COMPUTED_VALUE"""),"072.602.674-37")</f>
        <v>072.602.674-37</v>
      </c>
      <c r="C170" s="43" t="str">
        <f ca="1">IFERROR(__xludf.DUMMYFUNCTION("""COMPUTED_VALUE"""),"CLARO ALVINO SEGUNDO FILHO")</f>
        <v>CLARO ALVINO SEGUNDO FILHO</v>
      </c>
      <c r="D170" s="2" t="str">
        <f ca="1">IFERROR(__xludf.DUMMYFUNCTION("""COMPUTED_VALUE"""),"PROFESSOR")</f>
        <v>PROFESSOR</v>
      </c>
      <c r="E170" s="2" t="str">
        <f ca="1">IFERROR(__xludf.DUMMYFUNCTION("""COMPUTED_VALUE"""),"004/2025")</f>
        <v>004/2025</v>
      </c>
      <c r="F170" s="2" t="str">
        <f ca="1">IFERROR(__xludf.DUMMYFUNCTION("""COMPUTED_VALUE"""),"BAYEUX")</f>
        <v>BAYEUX</v>
      </c>
      <c r="G170" s="11" t="str">
        <f ca="1">IFERROR(__xludf.DUMMYFUNCTION("""COMPUTED_VALUE"""),"ASSISTENTE ESCOLAR")</f>
        <v>ASSISTENTE ESCOLAR</v>
      </c>
      <c r="H170" s="11" t="str">
        <f ca="1">IFERROR(__xludf.DUMMYFUNCTION("""COMPUTED_VALUE"""),"CENTRO DE CONVIVENCIA DOM HELDER")</f>
        <v>CENTRO DE CONVIVENCIA DOM HELDER</v>
      </c>
      <c r="I170" s="2" t="str">
        <f ca="1">IFERROR(__xludf.DUMMYFUNCTION("""COMPUTED_VALUE"""),"TARDE")</f>
        <v>TARDE</v>
      </c>
      <c r="J170" s="47">
        <f ca="1">IFERROR(__xludf.DUMMYFUNCTION("""COMPUTED_VALUE"""),5)</f>
        <v>5</v>
      </c>
      <c r="K170" s="2"/>
      <c r="L170" s="10"/>
      <c r="M170" s="9" t="str">
        <f ca="1">IFERROR(__xludf.DUMMYFUNCTION("""COMPUTED_VALUE"""),"engsegalvino@gmail.com")</f>
        <v>engsegalvino@gmail.com</v>
      </c>
      <c r="N170" s="2" t="str">
        <f ca="1">IFERROR(__xludf.DUMMYFUNCTION("""COMPUTED_VALUE"""),"segundoalvinofilho@hotmail.com")</f>
        <v>segundoalvinofilho@hotmail.com</v>
      </c>
      <c r="O170" s="2" t="str">
        <f ca="1">IFERROR(__xludf.DUMMYFUNCTION("""COMPUTED_VALUE"""),"(84)99939-7837")</f>
        <v>(84)99939-7837</v>
      </c>
      <c r="P170" s="2" t="str">
        <f ca="1">IFERROR(__xludf.DUMMYFUNCTION("""COMPUTED_VALUE"""),"(83)99358-0336")</f>
        <v>(83)99358-0336</v>
      </c>
      <c r="Q170" s="50"/>
      <c r="R170" s="50"/>
      <c r="S170" s="2" t="str">
        <f ca="1">IFERROR(VLOOKUP(A170,IMPORT_DESISTENCIA!$A$2:$Q2273,14,0),"NÃO")</f>
        <v>NÃO</v>
      </c>
      <c r="T170" s="35"/>
    </row>
    <row r="171" spans="1:20" ht="45" customHeight="1" x14ac:dyDescent="0.25">
      <c r="A171" s="2" t="str">
        <f t="shared" ca="1" si="1"/>
        <v>004/2025/095.266.124-18</v>
      </c>
      <c r="B171" s="2" t="str">
        <f ca="1">IFERROR(__xludf.DUMMYFUNCTION("""COMPUTED_VALUE"""),"095.266.124-18")</f>
        <v>095.266.124-18</v>
      </c>
      <c r="C171" s="43" t="str">
        <f ca="1">IFERROR(__xludf.DUMMYFUNCTION("""COMPUTED_VALUE"""),"FERNANDO ANTONIO LIMA GOMES")</f>
        <v>FERNANDO ANTONIO LIMA GOMES</v>
      </c>
      <c r="D171" s="2" t="str">
        <f ca="1">IFERROR(__xludf.DUMMYFUNCTION("""COMPUTED_VALUE"""),"PROFESSOR")</f>
        <v>PROFESSOR</v>
      </c>
      <c r="E171" s="2" t="str">
        <f ca="1">IFERROR(__xludf.DUMMYFUNCTION("""COMPUTED_VALUE"""),"004/2025")</f>
        <v>004/2025</v>
      </c>
      <c r="F171" s="2" t="str">
        <f ca="1">IFERROR(__xludf.DUMMYFUNCTION("""COMPUTED_VALUE"""),"BAIA DA TRAICAO")</f>
        <v>BAIA DA TRAICAO</v>
      </c>
      <c r="G171" s="11" t="str">
        <f ca="1">IFERROR(__xludf.DUMMYFUNCTION("""COMPUTED_VALUE"""),"AGRICULTOR ORGANICO")</f>
        <v>AGRICULTOR ORGANICO</v>
      </c>
      <c r="H171" s="11" t="str">
        <f ca="1">IFERROR(__xludf.DUMMYFUNCTION("""COMPUTED_VALUE"""),"EMEF CENTRO SOCIAL SAO MIGUEL")</f>
        <v>EMEF CENTRO SOCIAL SAO MIGUEL</v>
      </c>
      <c r="I171" s="2" t="str">
        <f ca="1">IFERROR(__xludf.DUMMYFUNCTION("""COMPUTED_VALUE"""),"TARDE")</f>
        <v>TARDE</v>
      </c>
      <c r="J171" s="47">
        <f ca="1">IFERROR(__xludf.DUMMYFUNCTION("""COMPUTED_VALUE"""),1)</f>
        <v>1</v>
      </c>
      <c r="K171" s="2"/>
      <c r="L171" s="10"/>
      <c r="M171" s="9" t="str">
        <f ca="1">IFERROR(__xludf.DUMMYFUNCTION("""COMPUTED_VALUE"""),"nandoagro13@gmail.com")</f>
        <v>nandoagro13@gmail.com</v>
      </c>
      <c r="N171" s="2" t="str">
        <f ca="1">IFERROR(__xludf.DUMMYFUNCTION("""COMPUTED_VALUE"""),"gerlania.melo@gmail.com")</f>
        <v>gerlania.melo@gmail.com</v>
      </c>
      <c r="O171" s="2" t="str">
        <f ca="1">IFERROR(__xludf.DUMMYFUNCTION("""COMPUTED_VALUE"""),"(83)998919397")</f>
        <v>(83)998919397</v>
      </c>
      <c r="P171" s="2"/>
      <c r="Q171" s="50"/>
      <c r="R171" s="50"/>
      <c r="S171" s="2" t="str">
        <f ca="1">IFERROR(VLOOKUP(A171,IMPORT_DESISTENCIA!$A$2:$Q2273,14,0),"NÃO")</f>
        <v>NÃO</v>
      </c>
      <c r="T171" s="35"/>
    </row>
    <row r="172" spans="1:20" ht="45" customHeight="1" x14ac:dyDescent="0.25">
      <c r="A172" s="2" t="str">
        <f t="shared" ca="1" si="1"/>
        <v>004/2025/701.307.224-99</v>
      </c>
      <c r="B172" s="2" t="str">
        <f ca="1">IFERROR(__xludf.DUMMYFUNCTION("""COMPUTED_VALUE"""),"701.307.224-99")</f>
        <v>701.307.224-99</v>
      </c>
      <c r="C172" s="43" t="str">
        <f ca="1">IFERROR(__xludf.DUMMYFUNCTION("""COMPUTED_VALUE"""),"IHEDILLA HUMBERTA SINESIO CANDIDO DA SILVA")</f>
        <v>IHEDILLA HUMBERTA SINESIO CANDIDO DA SILVA</v>
      </c>
      <c r="D172" s="2" t="str">
        <f ca="1">IFERROR(__xludf.DUMMYFUNCTION("""COMPUTED_VALUE"""),"PROFESSOR")</f>
        <v>PROFESSOR</v>
      </c>
      <c r="E172" s="2" t="str">
        <f ca="1">IFERROR(__xludf.DUMMYFUNCTION("""COMPUTED_VALUE"""),"004/2025")</f>
        <v>004/2025</v>
      </c>
      <c r="F172" s="2" t="str">
        <f ca="1">IFERROR(__xludf.DUMMYFUNCTION("""COMPUTED_VALUE"""),"BAIA DA TRAICAO")</f>
        <v>BAIA DA TRAICAO</v>
      </c>
      <c r="G172" s="11" t="str">
        <f ca="1">IFERROR(__xludf.DUMMYFUNCTION("""COMPUTED_VALUE"""),"AGRICULTOR ORGANICO")</f>
        <v>AGRICULTOR ORGANICO</v>
      </c>
      <c r="H172" s="11" t="str">
        <f ca="1">IFERROR(__xludf.DUMMYFUNCTION("""COMPUTED_VALUE"""),"EMEF CENTRO SOCIAL SAO MIGUEL")</f>
        <v>EMEF CENTRO SOCIAL SAO MIGUEL</v>
      </c>
      <c r="I172" s="2" t="str">
        <f ca="1">IFERROR(__xludf.DUMMYFUNCTION("""COMPUTED_VALUE"""),"TARDE")</f>
        <v>TARDE</v>
      </c>
      <c r="J172" s="47">
        <f ca="1">IFERROR(__xludf.DUMMYFUNCTION("""COMPUTED_VALUE"""),2)</f>
        <v>2</v>
      </c>
      <c r="K172" s="2" t="str">
        <f ca="1">IFERROR(__xludf.DUMMYFUNCTION("""COMPUTED_VALUE"""),"POSSE VALIDADA")</f>
        <v>POSSE VALIDADA</v>
      </c>
      <c r="L172" s="10"/>
      <c r="M172" s="9" t="str">
        <f ca="1">IFERROR(__xludf.DUMMYFUNCTION("""COMPUTED_VALUE"""),"ihedilla.silva@ufv.br")</f>
        <v>ihedilla.silva@ufv.br</v>
      </c>
      <c r="N172" s="2" t="str">
        <f ca="1">IFERROR(__xludf.DUMMYFUNCTION("""COMPUTED_VALUE"""),"ihedillah@gmail.com")</f>
        <v>ihedillah@gmail.com</v>
      </c>
      <c r="O172" s="2" t="str">
        <f ca="1">IFERROR(__xludf.DUMMYFUNCTION("""COMPUTED_VALUE"""),"(83)998365142")</f>
        <v>(83)998365142</v>
      </c>
      <c r="P172" s="2" t="str">
        <f ca="1">IFERROR(__xludf.DUMMYFUNCTION("""COMPUTED_VALUE"""),"(83)998365142")</f>
        <v>(83)998365142</v>
      </c>
      <c r="Q172" s="50" t="str">
        <f ca="1">IFERROR(__xludf.DUMMYFUNCTION("""COMPUTED_VALUE"""),"05/05/2025")</f>
        <v>05/05/2025</v>
      </c>
      <c r="R172" s="50"/>
      <c r="S172" s="2" t="str">
        <f ca="1">IFERROR(VLOOKUP(A172,IMPORT_DESISTENCIA!$A$2:$Q2273,14,0),"NÃO")</f>
        <v>NÃO</v>
      </c>
      <c r="T172" s="35"/>
    </row>
    <row r="173" spans="1:20" ht="45" customHeight="1" x14ac:dyDescent="0.25">
      <c r="A173" s="2" t="str">
        <f t="shared" ca="1" si="1"/>
        <v>004/2025/035.536.244-93</v>
      </c>
      <c r="B173" s="2" t="str">
        <f ca="1">IFERROR(__xludf.DUMMYFUNCTION("""COMPUTED_VALUE"""),"035.536.244-93")</f>
        <v>035.536.244-93</v>
      </c>
      <c r="C173" s="43" t="str">
        <f ca="1">IFERROR(__xludf.DUMMYFUNCTION("""COMPUTED_VALUE"""),"CRISTINA APARECIDA SANTOS DE SOUZA")</f>
        <v>CRISTINA APARECIDA SANTOS DE SOUZA</v>
      </c>
      <c r="D173" s="2" t="str">
        <f ca="1">IFERROR(__xludf.DUMMYFUNCTION("""COMPUTED_VALUE"""),"PROFESSOR")</f>
        <v>PROFESSOR</v>
      </c>
      <c r="E173" s="2" t="str">
        <f ca="1">IFERROR(__xludf.DUMMYFUNCTION("""COMPUTED_VALUE"""),"004/2025")</f>
        <v>004/2025</v>
      </c>
      <c r="F173" s="2" t="str">
        <f ca="1">IFERROR(__xludf.DUMMYFUNCTION("""COMPUTED_VALUE"""),"BAIA DA TRAICAO")</f>
        <v>BAIA DA TRAICAO</v>
      </c>
      <c r="G173" s="11" t="str">
        <f ca="1">IFERROR(__xludf.DUMMYFUNCTION("""COMPUTED_VALUE"""),"AGRICULTOR ORGANICO")</f>
        <v>AGRICULTOR ORGANICO</v>
      </c>
      <c r="H173" s="11" t="str">
        <f ca="1">IFERROR(__xludf.DUMMYFUNCTION("""COMPUTED_VALUE"""),"EMEF CENTRO SOCIAL SAO MIGUEL")</f>
        <v>EMEF CENTRO SOCIAL SAO MIGUEL</v>
      </c>
      <c r="I173" s="2" t="str">
        <f ca="1">IFERROR(__xludf.DUMMYFUNCTION("""COMPUTED_VALUE"""),"TARDE")</f>
        <v>TARDE</v>
      </c>
      <c r="J173" s="47">
        <f ca="1">IFERROR(__xludf.DUMMYFUNCTION("""COMPUTED_VALUE"""),3)</f>
        <v>3</v>
      </c>
      <c r="K173" s="2"/>
      <c r="L173" s="10"/>
      <c r="M173" s="9" t="str">
        <f ca="1">IFERROR(__xludf.DUMMYFUNCTION("""COMPUTED_VALUE"""),"rodriguesnapuliao@gmail.com")</f>
        <v>rodriguesnapuliao@gmail.com</v>
      </c>
      <c r="N173" s="2" t="str">
        <f ca="1">IFERROR(__xludf.DUMMYFUNCTION("""COMPUTED_VALUE"""),"crisclivian@hotmail.com")</f>
        <v>crisclivian@hotmail.com</v>
      </c>
      <c r="O173" s="2" t="str">
        <f ca="1">IFERROR(__xludf.DUMMYFUNCTION("""COMPUTED_VALUE"""),"(83)988269262")</f>
        <v>(83)988269262</v>
      </c>
      <c r="P173" s="2" t="str">
        <f ca="1">IFERROR(__xludf.DUMMYFUNCTION("""COMPUTED_VALUE"""),"(83)988205164")</f>
        <v>(83)988205164</v>
      </c>
      <c r="Q173" s="50"/>
      <c r="R173" s="50"/>
      <c r="S173" s="2" t="str">
        <f ca="1">IFERROR(VLOOKUP(A173,IMPORT_DESISTENCIA!$A$2:$Q2273,14,0),"NÃO")</f>
        <v>NÃO</v>
      </c>
      <c r="T173" s="35"/>
    </row>
    <row r="174" spans="1:20" ht="45" customHeight="1" x14ac:dyDescent="0.25">
      <c r="A174" s="2" t="str">
        <f t="shared" ca="1" si="1"/>
        <v>004/2025/113.312.544-18</v>
      </c>
      <c r="B174" s="2" t="str">
        <f ca="1">IFERROR(__xludf.DUMMYFUNCTION("""COMPUTED_VALUE"""),"113.312.544-18")</f>
        <v>113.312.544-18</v>
      </c>
      <c r="C174" s="43" t="str">
        <f ca="1">IFERROR(__xludf.DUMMYFUNCTION("""COMPUTED_VALUE"""),"KESSIA JEOVANA SOARES DE ALMEIDA")</f>
        <v>KESSIA JEOVANA SOARES DE ALMEIDA</v>
      </c>
      <c r="D174" s="2" t="str">
        <f ca="1">IFERROR(__xludf.DUMMYFUNCTION("""COMPUTED_VALUE"""),"PROFESSOR")</f>
        <v>PROFESSOR</v>
      </c>
      <c r="E174" s="2" t="str">
        <f ca="1">IFERROR(__xludf.DUMMYFUNCTION("""COMPUTED_VALUE"""),"004/2025")</f>
        <v>004/2025</v>
      </c>
      <c r="F174" s="2" t="str">
        <f ca="1">IFERROR(__xludf.DUMMYFUNCTION("""COMPUTED_VALUE"""),"CAJAZEIRAS")</f>
        <v>CAJAZEIRAS</v>
      </c>
      <c r="G174" s="11" t="str">
        <f ca="1">IFERROR(__xludf.DUMMYFUNCTION("""COMPUTED_VALUE"""),"RECEPCIONISTA")</f>
        <v>RECEPCIONISTA</v>
      </c>
      <c r="H174" s="11" t="str">
        <f ca="1">IFERROR(__xludf.DUMMYFUNCTION("""COMPUTED_VALUE"""),"CADEIA PUBLICA FEMININA DE CAJAZEIRAS")</f>
        <v>CADEIA PUBLICA FEMININA DE CAJAZEIRAS</v>
      </c>
      <c r="I174" s="2" t="str">
        <f ca="1">IFERROR(__xludf.DUMMYFUNCTION("""COMPUTED_VALUE"""),"TARDE")</f>
        <v>TARDE</v>
      </c>
      <c r="J174" s="47">
        <f ca="1">IFERROR(__xludf.DUMMYFUNCTION("""COMPUTED_VALUE"""),1)</f>
        <v>1</v>
      </c>
      <c r="K174" s="2" t="str">
        <f ca="1">IFERROR(__xludf.DUMMYFUNCTION("""COMPUTED_VALUE"""),"POSSE VALIDADA")</f>
        <v>POSSE VALIDADA</v>
      </c>
      <c r="L174" s="10"/>
      <c r="M174" s="9" t="str">
        <f ca="1">IFERROR(__xludf.DUMMYFUNCTION("""COMPUTED_VALUE"""),"k.jeovannatf@gmail.com")</f>
        <v>k.jeovannatf@gmail.com</v>
      </c>
      <c r="N174" s="2" t="str">
        <f ca="1">IFERROR(__xludf.DUMMYFUNCTION("""COMPUTED_VALUE"""),"kessia.almeida@professor.pb.gov.br")</f>
        <v>kessia.almeida@professor.pb.gov.br</v>
      </c>
      <c r="O174" s="2" t="str">
        <f ca="1">IFERROR(__xludf.DUMMYFUNCTION("""COMPUTED_VALUE"""),"(83)99136-7772")</f>
        <v>(83)99136-7772</v>
      </c>
      <c r="P174" s="2" t="str">
        <f ca="1">IFERROR(__xludf.DUMMYFUNCTION("""COMPUTED_VALUE"""),"(83)99159-7886")</f>
        <v>(83)99159-7886</v>
      </c>
      <c r="Q174" s="50" t="str">
        <f ca="1">IFERROR(__xludf.DUMMYFUNCTION("""COMPUTED_VALUE"""),"23/04/2025")</f>
        <v>23/04/2025</v>
      </c>
      <c r="R174" s="50"/>
      <c r="S174" s="2" t="str">
        <f ca="1">IFERROR(VLOOKUP(A174,IMPORT_DESISTENCIA!$A$2:$Q2273,14,0),"NÃO")</f>
        <v>NÃO</v>
      </c>
      <c r="T174" s="35"/>
    </row>
    <row r="175" spans="1:20" ht="45" customHeight="1" x14ac:dyDescent="0.25">
      <c r="A175" s="2" t="str">
        <f t="shared" ca="1" si="1"/>
        <v>004/2025/036.855.533-05</v>
      </c>
      <c r="B175" s="2" t="str">
        <f ca="1">IFERROR(__xludf.DUMMYFUNCTION("""COMPUTED_VALUE"""),"036.855.533-05")</f>
        <v>036.855.533-05</v>
      </c>
      <c r="C175" s="43" t="str">
        <f ca="1">IFERROR(__xludf.DUMMYFUNCTION("""COMPUTED_VALUE"""),"MICHAEL DOUGLAS SOUSA LEITE")</f>
        <v>MICHAEL DOUGLAS SOUSA LEITE</v>
      </c>
      <c r="D175" s="2" t="str">
        <f ca="1">IFERROR(__xludf.DUMMYFUNCTION("""COMPUTED_VALUE"""),"PROFESSOR")</f>
        <v>PROFESSOR</v>
      </c>
      <c r="E175" s="2" t="str">
        <f ca="1">IFERROR(__xludf.DUMMYFUNCTION("""COMPUTED_VALUE"""),"004/2025")</f>
        <v>004/2025</v>
      </c>
      <c r="F175" s="2" t="str">
        <f ca="1">IFERROR(__xludf.DUMMYFUNCTION("""COMPUTED_VALUE"""),"CAJAZEIRAS")</f>
        <v>CAJAZEIRAS</v>
      </c>
      <c r="G175" s="11" t="str">
        <f ca="1">IFERROR(__xludf.DUMMYFUNCTION("""COMPUTED_VALUE"""),"RECEPCIONISTA")</f>
        <v>RECEPCIONISTA</v>
      </c>
      <c r="H175" s="11" t="str">
        <f ca="1">IFERROR(__xludf.DUMMYFUNCTION("""COMPUTED_VALUE"""),"CADEIA PUBLICA FEMININA DE CAJAZEIRAS")</f>
        <v>CADEIA PUBLICA FEMININA DE CAJAZEIRAS</v>
      </c>
      <c r="I175" s="2" t="str">
        <f ca="1">IFERROR(__xludf.DUMMYFUNCTION("""COMPUTED_VALUE"""),"TARDE")</f>
        <v>TARDE</v>
      </c>
      <c r="J175" s="47">
        <f ca="1">IFERROR(__xludf.DUMMYFUNCTION("""COMPUTED_VALUE"""),2)</f>
        <v>2</v>
      </c>
      <c r="K175" s="2"/>
      <c r="L175" s="10"/>
      <c r="M175" s="9" t="str">
        <f ca="1">IFERROR(__xludf.DUMMYFUNCTION("""COMPUTED_VALUE"""),"m.dcz167@gmail.com")</f>
        <v>m.dcz167@gmail.com</v>
      </c>
      <c r="N175" s="2" t="str">
        <f ca="1">IFERROR(__xludf.DUMMYFUNCTION("""COMPUTED_VALUE"""),"michael@fcst.edu.br")</f>
        <v>michael@fcst.edu.br</v>
      </c>
      <c r="O175" s="2" t="str">
        <f ca="1">IFERROR(__xludf.DUMMYFUNCTION("""COMPUTED_VALUE"""),"(83)99956-9661")</f>
        <v>(83)99956-9661</v>
      </c>
      <c r="P175" s="2" t="str">
        <f ca="1">IFERROR(__xludf.DUMMYFUNCTION("""COMPUTED_VALUE"""),"(83)99392-9335")</f>
        <v>(83)99392-9335</v>
      </c>
      <c r="Q175" s="50"/>
      <c r="R175" s="50"/>
      <c r="S175" s="2" t="str">
        <f ca="1">IFERROR(VLOOKUP(A175,IMPORT_DESISTENCIA!$A$2:$Q2273,14,0),"NÃO")</f>
        <v>NÃO</v>
      </c>
      <c r="T175" s="35"/>
    </row>
    <row r="176" spans="1:20" ht="45" customHeight="1" x14ac:dyDescent="0.25">
      <c r="A176" s="2" t="str">
        <f t="shared" ca="1" si="1"/>
        <v>004/2025/044.931.474-07</v>
      </c>
      <c r="B176" s="2" t="str">
        <f ca="1">IFERROR(__xludf.DUMMYFUNCTION("""COMPUTED_VALUE"""),"044.931.474-07")</f>
        <v>044.931.474-07</v>
      </c>
      <c r="C176" s="43" t="str">
        <f ca="1">IFERROR(__xludf.DUMMYFUNCTION("""COMPUTED_VALUE"""),"EDNA MARIA DE MELO VIEIRA")</f>
        <v>EDNA MARIA DE MELO VIEIRA</v>
      </c>
      <c r="D176" s="2" t="str">
        <f ca="1">IFERROR(__xludf.DUMMYFUNCTION("""COMPUTED_VALUE"""),"PROFESSOR")</f>
        <v>PROFESSOR</v>
      </c>
      <c r="E176" s="2" t="str">
        <f ca="1">IFERROR(__xludf.DUMMYFUNCTION("""COMPUTED_VALUE"""),"004/2025")</f>
        <v>004/2025</v>
      </c>
      <c r="F176" s="2" t="str">
        <f ca="1">IFERROR(__xludf.DUMMYFUNCTION("""COMPUTED_VALUE"""),"CAJAZEIRAS")</f>
        <v>CAJAZEIRAS</v>
      </c>
      <c r="G176" s="11" t="str">
        <f ca="1">IFERROR(__xludf.DUMMYFUNCTION("""COMPUTED_VALUE"""),"RECEPCIONISTA")</f>
        <v>RECEPCIONISTA</v>
      </c>
      <c r="H176" s="11" t="str">
        <f ca="1">IFERROR(__xludf.DUMMYFUNCTION("""COMPUTED_VALUE"""),"CADEIA PUBLICA FEMININA DE CAJAZEIRAS")</f>
        <v>CADEIA PUBLICA FEMININA DE CAJAZEIRAS</v>
      </c>
      <c r="I176" s="2" t="str">
        <f ca="1">IFERROR(__xludf.DUMMYFUNCTION("""COMPUTED_VALUE"""),"TARDE")</f>
        <v>TARDE</v>
      </c>
      <c r="J176" s="47">
        <f ca="1">IFERROR(__xludf.DUMMYFUNCTION("""COMPUTED_VALUE"""),3)</f>
        <v>3</v>
      </c>
      <c r="K176" s="2"/>
      <c r="L176" s="10"/>
      <c r="M176" s="9" t="str">
        <f ca="1">IFERROR(__xludf.DUMMYFUNCTION("""COMPUTED_VALUE"""),"ednamelo2@gmail.com")</f>
        <v>ednamelo2@gmail.com</v>
      </c>
      <c r="N176" s="2" t="str">
        <f ca="1">IFERROR(__xludf.DUMMYFUNCTION("""COMPUTED_VALUE"""),"gilbertovieira05@gmail.com")</f>
        <v>gilbertovieira05@gmail.com</v>
      </c>
      <c r="O176" s="2" t="str">
        <f ca="1">IFERROR(__xludf.DUMMYFUNCTION("""COMPUTED_VALUE"""),"(83)99935-5055")</f>
        <v>(83)99935-5055</v>
      </c>
      <c r="P176" s="2" t="str">
        <f ca="1">IFERROR(__xludf.DUMMYFUNCTION("""COMPUTED_VALUE"""),"(83)99195-2590")</f>
        <v>(83)99195-2590</v>
      </c>
      <c r="Q176" s="50"/>
      <c r="R176" s="50"/>
      <c r="S176" s="2" t="str">
        <f ca="1">IFERROR(VLOOKUP(A176,IMPORT_DESISTENCIA!$A$2:$Q2273,14,0),"NÃO")</f>
        <v>NÃO</v>
      </c>
      <c r="T176" s="35"/>
    </row>
    <row r="177" spans="1:20" ht="45" customHeight="1" x14ac:dyDescent="0.25">
      <c r="A177" s="2" t="str">
        <f t="shared" ca="1" si="1"/>
        <v>004/2025/077.107.904-45</v>
      </c>
      <c r="B177" s="2" t="str">
        <f ca="1">IFERROR(__xludf.DUMMYFUNCTION("""COMPUTED_VALUE"""),"077.107.904-45")</f>
        <v>077.107.904-45</v>
      </c>
      <c r="C177" s="43" t="str">
        <f ca="1">IFERROR(__xludf.DUMMYFUNCTION("""COMPUTED_VALUE"""),"MARIANA FERREIRA PESSOA")</f>
        <v>MARIANA FERREIRA PESSOA</v>
      </c>
      <c r="D177" s="2" t="str">
        <f ca="1">IFERROR(__xludf.DUMMYFUNCTION("""COMPUTED_VALUE"""),"PROFESSOR")</f>
        <v>PROFESSOR</v>
      </c>
      <c r="E177" s="2" t="str">
        <f ca="1">IFERROR(__xludf.DUMMYFUNCTION("""COMPUTED_VALUE"""),"004/2025")</f>
        <v>004/2025</v>
      </c>
      <c r="F177" s="2" t="str">
        <f ca="1">IFERROR(__xludf.DUMMYFUNCTION("""COMPUTED_VALUE"""),"CAJAZEIRAS")</f>
        <v>CAJAZEIRAS</v>
      </c>
      <c r="G177" s="11" t="str">
        <f ca="1">IFERROR(__xludf.DUMMYFUNCTION("""COMPUTED_VALUE"""),"RECEPCIONISTA")</f>
        <v>RECEPCIONISTA</v>
      </c>
      <c r="H177" s="11" t="str">
        <f ca="1">IFERROR(__xludf.DUMMYFUNCTION("""COMPUTED_VALUE"""),"CADEIA PUBLICA FEMININA DE CAJAZEIRAS")</f>
        <v>CADEIA PUBLICA FEMININA DE CAJAZEIRAS</v>
      </c>
      <c r="I177" s="2" t="str">
        <f ca="1">IFERROR(__xludf.DUMMYFUNCTION("""COMPUTED_VALUE"""),"TARDE")</f>
        <v>TARDE</v>
      </c>
      <c r="J177" s="47">
        <f ca="1">IFERROR(__xludf.DUMMYFUNCTION("""COMPUTED_VALUE"""),4)</f>
        <v>4</v>
      </c>
      <c r="K177" s="2"/>
      <c r="L177" s="10"/>
      <c r="M177" s="9" t="str">
        <f ca="1">IFERROR(__xludf.DUMMYFUNCTION("""COMPUTED_VALUE"""),"marianafepessoa@gmail.com")</f>
        <v>marianafepessoa@gmail.com</v>
      </c>
      <c r="N177" s="2"/>
      <c r="O177" s="2" t="str">
        <f ca="1">IFERROR(__xludf.DUMMYFUNCTION("""COMPUTED_VALUE"""),"(83)99981-0477")</f>
        <v>(83)99981-0477</v>
      </c>
      <c r="P177" s="2"/>
      <c r="Q177" s="50"/>
      <c r="R177" s="50"/>
      <c r="S177" s="2" t="str">
        <f ca="1">IFERROR(VLOOKUP(A177,IMPORT_DESISTENCIA!$A$2:$Q2273,14,0),"NÃO")</f>
        <v>NÃO</v>
      </c>
      <c r="T177" s="35"/>
    </row>
    <row r="178" spans="1:20" ht="45" customHeight="1" x14ac:dyDescent="0.25">
      <c r="A178" s="2" t="str">
        <f t="shared" ca="1" si="1"/>
        <v>004/2025/055.714.013-70</v>
      </c>
      <c r="B178" s="2" t="str">
        <f ca="1">IFERROR(__xludf.DUMMYFUNCTION("""COMPUTED_VALUE"""),"055.714.013-70")</f>
        <v>055.714.013-70</v>
      </c>
      <c r="C178" s="43" t="str">
        <f ca="1">IFERROR(__xludf.DUMMYFUNCTION("""COMPUTED_VALUE"""),"FRANCISCO ISAAC NOGUEIRA DE OLIVEIRA")</f>
        <v>FRANCISCO ISAAC NOGUEIRA DE OLIVEIRA</v>
      </c>
      <c r="D178" s="2" t="str">
        <f ca="1">IFERROR(__xludf.DUMMYFUNCTION("""COMPUTED_VALUE"""),"PROFESSOR")</f>
        <v>PROFESSOR</v>
      </c>
      <c r="E178" s="2" t="str">
        <f ca="1">IFERROR(__xludf.DUMMYFUNCTION("""COMPUTED_VALUE"""),"004/2025")</f>
        <v>004/2025</v>
      </c>
      <c r="F178" s="2" t="str">
        <f ca="1">IFERROR(__xludf.DUMMYFUNCTION("""COMPUTED_VALUE"""),"CAJAZEIRAS")</f>
        <v>CAJAZEIRAS</v>
      </c>
      <c r="G178" s="11" t="str">
        <f ca="1">IFERROR(__xludf.DUMMYFUNCTION("""COMPUTED_VALUE"""),"RECEPCIONISTA")</f>
        <v>RECEPCIONISTA</v>
      </c>
      <c r="H178" s="11" t="str">
        <f ca="1">IFERROR(__xludf.DUMMYFUNCTION("""COMPUTED_VALUE"""),"CADEIA PUBLICA FEMININA DE CAJAZEIRAS")</f>
        <v>CADEIA PUBLICA FEMININA DE CAJAZEIRAS</v>
      </c>
      <c r="I178" s="2" t="str">
        <f ca="1">IFERROR(__xludf.DUMMYFUNCTION("""COMPUTED_VALUE"""),"TARDE")</f>
        <v>TARDE</v>
      </c>
      <c r="J178" s="47">
        <f ca="1">IFERROR(__xludf.DUMMYFUNCTION("""COMPUTED_VALUE"""),5)</f>
        <v>5</v>
      </c>
      <c r="K178" s="2"/>
      <c r="L178" s="10"/>
      <c r="M178" s="9" t="str">
        <f ca="1">IFERROR(__xludf.DUMMYFUNCTION("""COMPUTED_VALUE"""),"is.a.ac@hotmail.com")</f>
        <v>is.a.ac@hotmail.com</v>
      </c>
      <c r="N178" s="2"/>
      <c r="O178" s="2" t="str">
        <f ca="1">IFERROR(__xludf.DUMMYFUNCTION("""COMPUTED_VALUE"""),"(88)99910-9759")</f>
        <v>(88)99910-9759</v>
      </c>
      <c r="P178" s="2"/>
      <c r="Q178" s="50"/>
      <c r="R178" s="50"/>
      <c r="S178" s="2" t="str">
        <f ca="1">IFERROR(VLOOKUP(A178,IMPORT_DESISTENCIA!$A$2:$Q2273,14,0),"NÃO")</f>
        <v>NÃO</v>
      </c>
      <c r="T178" s="35"/>
    </row>
    <row r="179" spans="1:20" ht="45" customHeight="1" x14ac:dyDescent="0.25">
      <c r="A179" s="2" t="str">
        <f t="shared" ca="1" si="1"/>
        <v>004/2025/026.955.102-68</v>
      </c>
      <c r="B179" s="2" t="str">
        <f ca="1">IFERROR(__xludf.DUMMYFUNCTION("""COMPUTED_VALUE"""),"026.955.102-68")</f>
        <v>026.955.102-68</v>
      </c>
      <c r="C179" s="43" t="str">
        <f ca="1">IFERROR(__xludf.DUMMYFUNCTION("""COMPUTED_VALUE"""),"MARIA DO PERPETUO SOCORRO MENDONÇA DE SALES")</f>
        <v>MARIA DO PERPETUO SOCORRO MENDONÇA DE SALES</v>
      </c>
      <c r="D179" s="2" t="str">
        <f ca="1">IFERROR(__xludf.DUMMYFUNCTION("""COMPUTED_VALUE"""),"PROFESSOR")</f>
        <v>PROFESSOR</v>
      </c>
      <c r="E179" s="2" t="str">
        <f ca="1">IFERROR(__xludf.DUMMYFUNCTION("""COMPUTED_VALUE"""),"004/2025")</f>
        <v>004/2025</v>
      </c>
      <c r="F179" s="2" t="str">
        <f ca="1">IFERROR(__xludf.DUMMYFUNCTION("""COMPUTED_VALUE"""),"CAJAZEIRAS")</f>
        <v>CAJAZEIRAS</v>
      </c>
      <c r="G179" s="11" t="str">
        <f ca="1">IFERROR(__xludf.DUMMYFUNCTION("""COMPUTED_VALUE"""),"RECEPCIONISTA")</f>
        <v>RECEPCIONISTA</v>
      </c>
      <c r="H179" s="11" t="str">
        <f ca="1">IFERROR(__xludf.DUMMYFUNCTION("""COMPUTED_VALUE"""),"CADEIA PUBLICA FEMININA DE CAJAZEIRAS")</f>
        <v>CADEIA PUBLICA FEMININA DE CAJAZEIRAS</v>
      </c>
      <c r="I179" s="2" t="str">
        <f ca="1">IFERROR(__xludf.DUMMYFUNCTION("""COMPUTED_VALUE"""),"TARDE")</f>
        <v>TARDE</v>
      </c>
      <c r="J179" s="47">
        <f ca="1">IFERROR(__xludf.DUMMYFUNCTION("""COMPUTED_VALUE"""),6)</f>
        <v>6</v>
      </c>
      <c r="K179" s="2"/>
      <c r="L179" s="10"/>
      <c r="M179" s="9" t="str">
        <f ca="1">IFERROR(__xludf.DUMMYFUNCTION("""COMPUTED_VALUE"""),"helpsales@bol.com.br")</f>
        <v>helpsales@bol.com.br</v>
      </c>
      <c r="N179" s="2" t="str">
        <f ca="1">IFERROR(__xludf.DUMMYFUNCTION("""COMPUTED_VALUE"""),"helpsales1953@gmail.com")</f>
        <v>helpsales1953@gmail.com</v>
      </c>
      <c r="O179" s="2" t="str">
        <f ca="1">IFERROR(__xludf.DUMMYFUNCTION("""COMPUTED_VALUE"""),"(92)99265-3841")</f>
        <v>(92)99265-3841</v>
      </c>
      <c r="P179" s="2" t="str">
        <f ca="1">IFERROR(__xludf.DUMMYFUNCTION("""COMPUTED_VALUE"""),"(92)98150-1922")</f>
        <v>(92)98150-1922</v>
      </c>
      <c r="Q179" s="50"/>
      <c r="R179" s="50"/>
      <c r="S179" s="2" t="str">
        <f ca="1">IFERROR(VLOOKUP(A179,IMPORT_DESISTENCIA!$A$2:$Q2273,14,0),"NÃO")</f>
        <v>NÃO</v>
      </c>
      <c r="T179" s="35"/>
    </row>
    <row r="180" spans="1:20" ht="45" customHeight="1" x14ac:dyDescent="0.25">
      <c r="A180" s="2" t="str">
        <f t="shared" ca="1" si="1"/>
        <v>004/2025/079.947.283-24</v>
      </c>
      <c r="B180" s="2" t="str">
        <f ca="1">IFERROR(__xludf.DUMMYFUNCTION("""COMPUTED_VALUE"""),"079.947.283-24")</f>
        <v>079.947.283-24</v>
      </c>
      <c r="C180" s="43" t="str">
        <f ca="1">IFERROR(__xludf.DUMMYFUNCTION("""COMPUTED_VALUE"""),"EDCLEBERTON DO NASCIMENTO SOUSA")</f>
        <v>EDCLEBERTON DO NASCIMENTO SOUSA</v>
      </c>
      <c r="D180" s="2" t="str">
        <f ca="1">IFERROR(__xludf.DUMMYFUNCTION("""COMPUTED_VALUE"""),"PROFESSOR")</f>
        <v>PROFESSOR</v>
      </c>
      <c r="E180" s="2" t="str">
        <f ca="1">IFERROR(__xludf.DUMMYFUNCTION("""COMPUTED_VALUE"""),"004/2025")</f>
        <v>004/2025</v>
      </c>
      <c r="F180" s="2" t="str">
        <f ca="1">IFERROR(__xludf.DUMMYFUNCTION("""COMPUTED_VALUE"""),"CAJAZEIRAS")</f>
        <v>CAJAZEIRAS</v>
      </c>
      <c r="G180" s="11" t="str">
        <f ca="1">IFERROR(__xludf.DUMMYFUNCTION("""COMPUTED_VALUE"""),"RECEPCIONISTA")</f>
        <v>RECEPCIONISTA</v>
      </c>
      <c r="H180" s="11" t="str">
        <f ca="1">IFERROR(__xludf.DUMMYFUNCTION("""COMPUTED_VALUE"""),"CADEIA PUBLICA FEMININA DE CAJAZEIRAS")</f>
        <v>CADEIA PUBLICA FEMININA DE CAJAZEIRAS</v>
      </c>
      <c r="I180" s="2" t="str">
        <f ca="1">IFERROR(__xludf.DUMMYFUNCTION("""COMPUTED_VALUE"""),"TARDE")</f>
        <v>TARDE</v>
      </c>
      <c r="J180" s="47">
        <f ca="1">IFERROR(__xludf.DUMMYFUNCTION("""COMPUTED_VALUE"""),7)</f>
        <v>7</v>
      </c>
      <c r="K180" s="2"/>
      <c r="L180" s="10"/>
      <c r="M180" s="9" t="str">
        <f ca="1">IFERROR(__xludf.DUMMYFUNCTION("""COMPUTED_VALUE"""),"kleberns222@gmail.com")</f>
        <v>kleberns222@gmail.com</v>
      </c>
      <c r="N180" s="2" t="str">
        <f ca="1">IFERROR(__xludf.DUMMYFUNCTION("""COMPUTED_VALUE"""),"edcleberton.sousa@prof.ce.gov.br")</f>
        <v>edcleberton.sousa@prof.ce.gov.br</v>
      </c>
      <c r="O180" s="2" t="str">
        <f ca="1">IFERROR(__xludf.DUMMYFUNCTION("""COMPUTED_VALUE"""),"(88)99342-8753")</f>
        <v>(88)99342-8753</v>
      </c>
      <c r="P180" s="2"/>
      <c r="Q180" s="50"/>
      <c r="R180" s="50"/>
      <c r="S180" s="2" t="str">
        <f ca="1">IFERROR(VLOOKUP(A180,IMPORT_DESISTENCIA!$A$2:$Q2273,14,0),"NÃO")</f>
        <v>NÃO</v>
      </c>
      <c r="T180" s="35"/>
    </row>
    <row r="181" spans="1:20" ht="45" customHeight="1" x14ac:dyDescent="0.25">
      <c r="A181" s="2" t="str">
        <f t="shared" ca="1" si="1"/>
        <v>004/2025/076.770.834-20</v>
      </c>
      <c r="B181" s="2" t="str">
        <f ca="1">IFERROR(__xludf.DUMMYFUNCTION("""COMPUTED_VALUE"""),"076.770.834-20")</f>
        <v>076.770.834-20</v>
      </c>
      <c r="C181" s="43" t="str">
        <f ca="1">IFERROR(__xludf.DUMMYFUNCTION("""COMPUTED_VALUE"""),"KYLNARA SILVA DANTAS")</f>
        <v>KYLNARA SILVA DANTAS</v>
      </c>
      <c r="D181" s="2" t="str">
        <f ca="1">IFERROR(__xludf.DUMMYFUNCTION("""COMPUTED_VALUE"""),"PROFESSOR")</f>
        <v>PROFESSOR</v>
      </c>
      <c r="E181" s="2" t="str">
        <f ca="1">IFERROR(__xludf.DUMMYFUNCTION("""COMPUTED_VALUE"""),"004/2025")</f>
        <v>004/2025</v>
      </c>
      <c r="F181" s="2" t="str">
        <f ca="1">IFERROR(__xludf.DUMMYFUNCTION("""COMPUTED_VALUE"""),"CAJAZEIRAS")</f>
        <v>CAJAZEIRAS</v>
      </c>
      <c r="G181" s="11" t="str">
        <f ca="1">IFERROR(__xludf.DUMMYFUNCTION("""COMPUTED_VALUE"""),"RECEPCIONISTA")</f>
        <v>RECEPCIONISTA</v>
      </c>
      <c r="H181" s="11" t="str">
        <f ca="1">IFERROR(__xludf.DUMMYFUNCTION("""COMPUTED_VALUE"""),"CADEIA PUBLICA FEMININA DE CAJAZEIRAS")</f>
        <v>CADEIA PUBLICA FEMININA DE CAJAZEIRAS</v>
      </c>
      <c r="I181" s="2" t="str">
        <f ca="1">IFERROR(__xludf.DUMMYFUNCTION("""COMPUTED_VALUE"""),"TARDE")</f>
        <v>TARDE</v>
      </c>
      <c r="J181" s="47">
        <f ca="1">IFERROR(__xludf.DUMMYFUNCTION("""COMPUTED_VALUE"""),8)</f>
        <v>8</v>
      </c>
      <c r="K181" s="2"/>
      <c r="L181" s="10"/>
      <c r="M181" s="9" t="str">
        <f ca="1">IFERROR(__xludf.DUMMYFUNCTION("""COMPUTED_VALUE"""),"kylnaradantas@hotmail.com")</f>
        <v>kylnaradantas@hotmail.com</v>
      </c>
      <c r="N181" s="2" t="str">
        <f ca="1">IFERROR(__xludf.DUMMYFUNCTION("""COMPUTED_VALUE"""),"kylnaradantas@hotmail.com")</f>
        <v>kylnaradantas@hotmail.com</v>
      </c>
      <c r="O181" s="2" t="str">
        <f ca="1">IFERROR(__xludf.DUMMYFUNCTION("""COMPUTED_VALUE"""),"(83)99941-8285")</f>
        <v>(83)99941-8285</v>
      </c>
      <c r="P181" s="2" t="str">
        <f ca="1">IFERROR(__xludf.DUMMYFUNCTION("""COMPUTED_VALUE"""),"(83)99953-0377")</f>
        <v>(83)99953-0377</v>
      </c>
      <c r="Q181" s="50"/>
      <c r="R181" s="50"/>
      <c r="S181" s="2" t="str">
        <f ca="1">IFERROR(VLOOKUP(A181,IMPORT_DESISTENCIA!$A$2:$Q2273,14,0),"NÃO")</f>
        <v>NÃO</v>
      </c>
      <c r="T181" s="35"/>
    </row>
    <row r="182" spans="1:20" ht="45" customHeight="1" x14ac:dyDescent="0.25">
      <c r="A182" s="2" t="str">
        <f t="shared" ca="1" si="1"/>
        <v>004/2025/047.951.094-60</v>
      </c>
      <c r="B182" s="2" t="str">
        <f ca="1">IFERROR(__xludf.DUMMYFUNCTION("""COMPUTED_VALUE"""),"047.951.094-60")</f>
        <v>047.951.094-60</v>
      </c>
      <c r="C182" s="43" t="str">
        <f ca="1">IFERROR(__xludf.DUMMYFUNCTION("""COMPUTED_VALUE"""),"ITAIANA DE OLIVEIRA")</f>
        <v>ITAIANA DE OLIVEIRA</v>
      </c>
      <c r="D182" s="2" t="str">
        <f ca="1">IFERROR(__xludf.DUMMYFUNCTION("""COMPUTED_VALUE"""),"PROFESSOR")</f>
        <v>PROFESSOR</v>
      </c>
      <c r="E182" s="2" t="str">
        <f ca="1">IFERROR(__xludf.DUMMYFUNCTION("""COMPUTED_VALUE"""),"004/2025")</f>
        <v>004/2025</v>
      </c>
      <c r="F182" s="2" t="str">
        <f ca="1">IFERROR(__xludf.DUMMYFUNCTION("""COMPUTED_VALUE"""),"CAJAZEIRAS")</f>
        <v>CAJAZEIRAS</v>
      </c>
      <c r="G182" s="11" t="str">
        <f ca="1">IFERROR(__xludf.DUMMYFUNCTION("""COMPUTED_VALUE"""),"RECEPCIONISTA")</f>
        <v>RECEPCIONISTA</v>
      </c>
      <c r="H182" s="11" t="str">
        <f ca="1">IFERROR(__xludf.DUMMYFUNCTION("""COMPUTED_VALUE"""),"CADEIA PUBLICA FEMININA DE CAJAZEIRAS")</f>
        <v>CADEIA PUBLICA FEMININA DE CAJAZEIRAS</v>
      </c>
      <c r="I182" s="2" t="str">
        <f ca="1">IFERROR(__xludf.DUMMYFUNCTION("""COMPUTED_VALUE"""),"TARDE")</f>
        <v>TARDE</v>
      </c>
      <c r="J182" s="47">
        <f ca="1">IFERROR(__xludf.DUMMYFUNCTION("""COMPUTED_VALUE"""),9)</f>
        <v>9</v>
      </c>
      <c r="K182" s="2"/>
      <c r="L182" s="10"/>
      <c r="M182" s="9" t="str">
        <f ca="1">IFERROR(__xludf.DUMMYFUNCTION("""COMPUTED_VALUE"""),"itaianaoliveira0@gmail.com")</f>
        <v>itaianaoliveira0@gmail.com</v>
      </c>
      <c r="N182" s="2" t="str">
        <f ca="1">IFERROR(__xludf.DUMMYFUNCTION("""COMPUTED_VALUE"""),"itaianaoliveira010@gmail.com")</f>
        <v>itaianaoliveira010@gmail.com</v>
      </c>
      <c r="O182" s="2" t="str">
        <f ca="1">IFERROR(__xludf.DUMMYFUNCTION("""COMPUTED_VALUE"""),"(83)99138-7980")</f>
        <v>(83)99138-7980</v>
      </c>
      <c r="P182" s="2" t="str">
        <f ca="1">IFERROR(__xludf.DUMMYFUNCTION("""COMPUTED_VALUE"""),"(83)99138-7980")</f>
        <v>(83)99138-7980</v>
      </c>
      <c r="Q182" s="50"/>
      <c r="R182" s="50"/>
      <c r="S182" s="2" t="str">
        <f ca="1">IFERROR(VLOOKUP(A182,IMPORT_DESISTENCIA!$A$2:$Q2273,14,0),"NÃO")</f>
        <v>NÃO</v>
      </c>
      <c r="T182" s="35"/>
    </row>
    <row r="183" spans="1:20" ht="45" customHeight="1" x14ac:dyDescent="0.25">
      <c r="A183" s="2" t="str">
        <f t="shared" ca="1" si="1"/>
        <v>004/2025/016.713.464-75</v>
      </c>
      <c r="B183" s="2" t="str">
        <f ca="1">IFERROR(__xludf.DUMMYFUNCTION("""COMPUTED_VALUE"""),"016.713.464-75")</f>
        <v>016.713.464-75</v>
      </c>
      <c r="C183" s="43" t="str">
        <f ca="1">IFERROR(__xludf.DUMMYFUNCTION("""COMPUTED_VALUE"""),"JOSE RAFAEL DA SILVA DANTAS")</f>
        <v>JOSE RAFAEL DA SILVA DANTAS</v>
      </c>
      <c r="D183" s="2" t="str">
        <f ca="1">IFERROR(__xludf.DUMMYFUNCTION("""COMPUTED_VALUE"""),"PROFESSOR")</f>
        <v>PROFESSOR</v>
      </c>
      <c r="E183" s="2" t="str">
        <f ca="1">IFERROR(__xludf.DUMMYFUNCTION("""COMPUTED_VALUE"""),"004/2025")</f>
        <v>004/2025</v>
      </c>
      <c r="F183" s="2" t="str">
        <f ca="1">IFERROR(__xludf.DUMMYFUNCTION("""COMPUTED_VALUE"""),"CAMPINA GRANDE")</f>
        <v>CAMPINA GRANDE</v>
      </c>
      <c r="G183" s="11" t="str">
        <f ca="1">IFERROR(__xludf.DUMMYFUNCTION("""COMPUTED_VALUE"""),"VENDEDOR")</f>
        <v>VENDEDOR</v>
      </c>
      <c r="H183" s="11" t="str">
        <f ca="1">IFERROR(__xludf.DUMMYFUNCTION("""COMPUTED_VALUE"""),"EEEFM SEN ARGEMIRO DE FIGUEIREDO")</f>
        <v>EEEFM SEN ARGEMIRO DE FIGUEIREDO</v>
      </c>
      <c r="I183" s="2" t="str">
        <f ca="1">IFERROR(__xludf.DUMMYFUNCTION("""COMPUTED_VALUE"""),"NOITE")</f>
        <v>NOITE</v>
      </c>
      <c r="J183" s="47">
        <f ca="1">IFERROR(__xludf.DUMMYFUNCTION("""COMPUTED_VALUE"""),1)</f>
        <v>1</v>
      </c>
      <c r="K183" s="2"/>
      <c r="L183" s="10"/>
      <c r="M183" s="9" t="str">
        <f ca="1">IFERROR(__xludf.DUMMYFUNCTION("""COMPUTED_VALUE"""),"jose.dantas02@professor.pb.gov.br")</f>
        <v>jose.dantas02@professor.pb.gov.br</v>
      </c>
      <c r="N183" s="2"/>
      <c r="O183" s="2" t="str">
        <f ca="1">IFERROR(__xludf.DUMMYFUNCTION("""COMPUTED_VALUE"""),"(83)99979-9286")</f>
        <v>(83)99979-9286</v>
      </c>
      <c r="P183" s="2"/>
      <c r="Q183" s="50"/>
      <c r="R183" s="50"/>
      <c r="S183" s="2" t="str">
        <f ca="1">IFERROR(VLOOKUP(A183,IMPORT_DESISTENCIA!$A$2:$Q2273,14,0),"NÃO")</f>
        <v>NÃO</v>
      </c>
      <c r="T183" s="35"/>
    </row>
    <row r="184" spans="1:20" ht="45" customHeight="1" x14ac:dyDescent="0.25">
      <c r="A184" s="2" t="str">
        <f t="shared" ca="1" si="1"/>
        <v>004/2025/080.767.244-06</v>
      </c>
      <c r="B184" s="2" t="str">
        <f ca="1">IFERROR(__xludf.DUMMYFUNCTION("""COMPUTED_VALUE"""),"080.767.244-06")</f>
        <v>080.767.244-06</v>
      </c>
      <c r="C184" s="43" t="str">
        <f ca="1">IFERROR(__xludf.DUMMYFUNCTION("""COMPUTED_VALUE"""),"MARCILIO MARCIO SILVA CORREIA")</f>
        <v>MARCILIO MARCIO SILVA CORREIA</v>
      </c>
      <c r="D184" s="2" t="str">
        <f ca="1">IFERROR(__xludf.DUMMYFUNCTION("""COMPUTED_VALUE"""),"PROFESSOR")</f>
        <v>PROFESSOR</v>
      </c>
      <c r="E184" s="2" t="str">
        <f ca="1">IFERROR(__xludf.DUMMYFUNCTION("""COMPUTED_VALUE"""),"004/2025")</f>
        <v>004/2025</v>
      </c>
      <c r="F184" s="2" t="str">
        <f ca="1">IFERROR(__xludf.DUMMYFUNCTION("""COMPUTED_VALUE"""),"CAMPINA GRANDE")</f>
        <v>CAMPINA GRANDE</v>
      </c>
      <c r="G184" s="11" t="str">
        <f ca="1">IFERROR(__xludf.DUMMYFUNCTION("""COMPUTED_VALUE"""),"VENDEDOR")</f>
        <v>VENDEDOR</v>
      </c>
      <c r="H184" s="11" t="str">
        <f ca="1">IFERROR(__xludf.DUMMYFUNCTION("""COMPUTED_VALUE"""),"EEEFM SEN ARGEMIRO DE FIGUEIREDO")</f>
        <v>EEEFM SEN ARGEMIRO DE FIGUEIREDO</v>
      </c>
      <c r="I184" s="2" t="str">
        <f ca="1">IFERROR(__xludf.DUMMYFUNCTION("""COMPUTED_VALUE"""),"NOITE")</f>
        <v>NOITE</v>
      </c>
      <c r="J184" s="47">
        <f ca="1">IFERROR(__xludf.DUMMYFUNCTION("""COMPUTED_VALUE"""),2)</f>
        <v>2</v>
      </c>
      <c r="K184" s="2" t="str">
        <f ca="1">IFERROR(__xludf.DUMMYFUNCTION("""COMPUTED_VALUE"""),"POSSE VALIDADA")</f>
        <v>POSSE VALIDADA</v>
      </c>
      <c r="L184" s="10"/>
      <c r="M184" s="9" t="str">
        <f ca="1">IFERROR(__xludf.DUMMYFUNCTION("""COMPUTED_VALUE"""),"marciliocorreia.professor@gmail.com")</f>
        <v>marciliocorreia.professor@gmail.com</v>
      </c>
      <c r="N184" s="2"/>
      <c r="O184" s="2" t="str">
        <f ca="1">IFERROR(__xludf.DUMMYFUNCTION("""COMPUTED_VALUE"""),"(83)99615-7692")</f>
        <v>(83)99615-7692</v>
      </c>
      <c r="P184" s="2" t="str">
        <f ca="1">IFERROR(__xludf.DUMMYFUNCTION("""COMPUTED_VALUE"""),"(83)98809-7658")</f>
        <v>(83)98809-7658</v>
      </c>
      <c r="Q184" s="50" t="str">
        <f ca="1">IFERROR(__xludf.DUMMYFUNCTION("""COMPUTED_VALUE"""),"05/05/2025")</f>
        <v>05/05/2025</v>
      </c>
      <c r="R184" s="50"/>
      <c r="S184" s="2" t="str">
        <f ca="1">IFERROR(VLOOKUP(A184,IMPORT_DESISTENCIA!$A$2:$Q2273,14,0),"NÃO")</f>
        <v>NÃO</v>
      </c>
      <c r="T184" s="35"/>
    </row>
    <row r="185" spans="1:20" ht="45" customHeight="1" x14ac:dyDescent="0.25">
      <c r="A185" s="2" t="str">
        <f t="shared" ca="1" si="1"/>
        <v>004/2025/033.416.814-77</v>
      </c>
      <c r="B185" s="2" t="str">
        <f ca="1">IFERROR(__xludf.DUMMYFUNCTION("""COMPUTED_VALUE"""),"033.416.814-77")</f>
        <v>033.416.814-77</v>
      </c>
      <c r="C185" s="43" t="str">
        <f ca="1">IFERROR(__xludf.DUMMYFUNCTION("""COMPUTED_VALUE"""),"FAYRUSSE CORREIA DE MEDEIROS")</f>
        <v>FAYRUSSE CORREIA DE MEDEIROS</v>
      </c>
      <c r="D185" s="2" t="str">
        <f ca="1">IFERROR(__xludf.DUMMYFUNCTION("""COMPUTED_VALUE"""),"PROFESSOR")</f>
        <v>PROFESSOR</v>
      </c>
      <c r="E185" s="2" t="str">
        <f ca="1">IFERROR(__xludf.DUMMYFUNCTION("""COMPUTED_VALUE"""),"004/2025")</f>
        <v>004/2025</v>
      </c>
      <c r="F185" s="2" t="str">
        <f ca="1">IFERROR(__xludf.DUMMYFUNCTION("""COMPUTED_VALUE"""),"CAMPINA GRANDE")</f>
        <v>CAMPINA GRANDE</v>
      </c>
      <c r="G185" s="11" t="str">
        <f ca="1">IFERROR(__xludf.DUMMYFUNCTION("""COMPUTED_VALUE"""),"VENDEDOR")</f>
        <v>VENDEDOR</v>
      </c>
      <c r="H185" s="11" t="str">
        <f ca="1">IFERROR(__xludf.DUMMYFUNCTION("""COMPUTED_VALUE"""),"EEEFM SEN ARGEMIRO DE FIGUEIREDO")</f>
        <v>EEEFM SEN ARGEMIRO DE FIGUEIREDO</v>
      </c>
      <c r="I185" s="2" t="str">
        <f ca="1">IFERROR(__xludf.DUMMYFUNCTION("""COMPUTED_VALUE"""),"NOITE")</f>
        <v>NOITE</v>
      </c>
      <c r="J185" s="47">
        <f ca="1">IFERROR(__xludf.DUMMYFUNCTION("""COMPUTED_VALUE"""),3)</f>
        <v>3</v>
      </c>
      <c r="K185" s="2"/>
      <c r="L185" s="10"/>
      <c r="M185" s="9" t="str">
        <f ca="1">IFERROR(__xludf.DUMMYFUNCTION("""COMPUTED_VALUE"""),"fayrusse@hotmail.com")</f>
        <v>fayrusse@hotmail.com</v>
      </c>
      <c r="N185" s="2" t="str">
        <f ca="1">IFERROR(__xludf.DUMMYFUNCTION("""COMPUTED_VALUE"""),"fayrusse@gmail.com")</f>
        <v>fayrusse@gmail.com</v>
      </c>
      <c r="O185" s="2" t="str">
        <f ca="1">IFERROR(__xludf.DUMMYFUNCTION("""COMPUTED_VALUE"""),"(83)996217050")</f>
        <v>(83)996217050</v>
      </c>
      <c r="P185" s="2"/>
      <c r="Q185" s="50"/>
      <c r="R185" s="50"/>
      <c r="S185" s="2" t="str">
        <f ca="1">IFERROR(VLOOKUP(A185,IMPORT_DESISTENCIA!$A$2:$Q2273,14,0),"NÃO")</f>
        <v>NÃO</v>
      </c>
      <c r="T185" s="35"/>
    </row>
    <row r="186" spans="1:20" ht="45" customHeight="1" x14ac:dyDescent="0.25">
      <c r="A186" s="2" t="str">
        <f t="shared" ca="1" si="1"/>
        <v>004/2025/090.208.004-00</v>
      </c>
      <c r="B186" s="2" t="str">
        <f ca="1">IFERROR(__xludf.DUMMYFUNCTION("""COMPUTED_VALUE"""),"090.208.004-00")</f>
        <v>090.208.004-00</v>
      </c>
      <c r="C186" s="43" t="str">
        <f ca="1">IFERROR(__xludf.DUMMYFUNCTION("""COMPUTED_VALUE"""),"JAYSA ELIUDE AGUIAR DOS SANTOS")</f>
        <v>JAYSA ELIUDE AGUIAR DOS SANTOS</v>
      </c>
      <c r="D186" s="2" t="str">
        <f ca="1">IFERROR(__xludf.DUMMYFUNCTION("""COMPUTED_VALUE"""),"PROFESSOR")</f>
        <v>PROFESSOR</v>
      </c>
      <c r="E186" s="2" t="str">
        <f ca="1">IFERROR(__xludf.DUMMYFUNCTION("""COMPUTED_VALUE"""),"004/2025")</f>
        <v>004/2025</v>
      </c>
      <c r="F186" s="2" t="str">
        <f ca="1">IFERROR(__xludf.DUMMYFUNCTION("""COMPUTED_VALUE"""),"CAMPINA GRANDE")</f>
        <v>CAMPINA GRANDE</v>
      </c>
      <c r="G186" s="11" t="str">
        <f ca="1">IFERROR(__xludf.DUMMYFUNCTION("""COMPUTED_VALUE"""),"VENDEDOR")</f>
        <v>VENDEDOR</v>
      </c>
      <c r="H186" s="11" t="str">
        <f ca="1">IFERROR(__xludf.DUMMYFUNCTION("""COMPUTED_VALUE"""),"EEEFM SEN ARGEMIRO DE FIGUEIREDO")</f>
        <v>EEEFM SEN ARGEMIRO DE FIGUEIREDO</v>
      </c>
      <c r="I186" s="2" t="str">
        <f ca="1">IFERROR(__xludf.DUMMYFUNCTION("""COMPUTED_VALUE"""),"NOITE")</f>
        <v>NOITE</v>
      </c>
      <c r="J186" s="47">
        <f ca="1">IFERROR(__xludf.DUMMYFUNCTION("""COMPUTED_VALUE"""),4)</f>
        <v>4</v>
      </c>
      <c r="K186" s="2"/>
      <c r="L186" s="10"/>
      <c r="M186" s="9" t="str">
        <f ca="1">IFERROR(__xludf.DUMMYFUNCTION("""COMPUTED_VALUE"""),"jaysaeliude@gmail.com")</f>
        <v>jaysaeliude@gmail.com</v>
      </c>
      <c r="N186" s="2"/>
      <c r="O186" s="2" t="str">
        <f ca="1">IFERROR(__xludf.DUMMYFUNCTION("""COMPUTED_VALUE"""),"(83)99802-2903")</f>
        <v>(83)99802-2903</v>
      </c>
      <c r="P186" s="2"/>
      <c r="Q186" s="50"/>
      <c r="R186" s="50"/>
      <c r="S186" s="2" t="str">
        <f ca="1">IFERROR(VLOOKUP(A186,IMPORT_DESISTENCIA!$A$2:$Q2273,14,0),"NÃO")</f>
        <v>NÃO</v>
      </c>
      <c r="T186" s="35"/>
    </row>
    <row r="187" spans="1:20" ht="45" customHeight="1" x14ac:dyDescent="0.25">
      <c r="A187" s="2" t="str">
        <f t="shared" ca="1" si="1"/>
        <v>004/2025/288.490.944-34</v>
      </c>
      <c r="B187" s="2" t="str">
        <f ca="1">IFERROR(__xludf.DUMMYFUNCTION("""COMPUTED_VALUE"""),"288.490.944-34")</f>
        <v>288.490.944-34</v>
      </c>
      <c r="C187" s="43" t="str">
        <f ca="1">IFERROR(__xludf.DUMMYFUNCTION("""COMPUTED_VALUE"""),"DAMARIS ALVES DE MELO")</f>
        <v>DAMARIS ALVES DE MELO</v>
      </c>
      <c r="D187" s="2" t="str">
        <f ca="1">IFERROR(__xludf.DUMMYFUNCTION("""COMPUTED_VALUE"""),"PROFESSOR")</f>
        <v>PROFESSOR</v>
      </c>
      <c r="E187" s="2" t="str">
        <f ca="1">IFERROR(__xludf.DUMMYFUNCTION("""COMPUTED_VALUE"""),"004/2025")</f>
        <v>004/2025</v>
      </c>
      <c r="F187" s="2" t="str">
        <f ca="1">IFERROR(__xludf.DUMMYFUNCTION("""COMPUTED_VALUE"""),"CAMPINA GRANDE")</f>
        <v>CAMPINA GRANDE</v>
      </c>
      <c r="G187" s="11" t="str">
        <f ca="1">IFERROR(__xludf.DUMMYFUNCTION("""COMPUTED_VALUE"""),"VENDEDOR")</f>
        <v>VENDEDOR</v>
      </c>
      <c r="H187" s="11" t="str">
        <f ca="1">IFERROR(__xludf.DUMMYFUNCTION("""COMPUTED_VALUE"""),"EEEFM SEN ARGEMIRO DE FIGUEIREDO")</f>
        <v>EEEFM SEN ARGEMIRO DE FIGUEIREDO</v>
      </c>
      <c r="I187" s="2" t="str">
        <f ca="1">IFERROR(__xludf.DUMMYFUNCTION("""COMPUTED_VALUE"""),"NOITE")</f>
        <v>NOITE</v>
      </c>
      <c r="J187" s="47">
        <f ca="1">IFERROR(__xludf.DUMMYFUNCTION("""COMPUTED_VALUE"""),5)</f>
        <v>5</v>
      </c>
      <c r="K187" s="2"/>
      <c r="L187" s="10"/>
      <c r="M187" s="9" t="str">
        <f ca="1">IFERROR(__xludf.DUMMYFUNCTION("""COMPUTED_VALUE"""),"dam.mra@gmail.com")</f>
        <v>dam.mra@gmail.com</v>
      </c>
      <c r="N187" s="2" t="str">
        <f ca="1">IFERROR(__xludf.DUMMYFUNCTION("""COMPUTED_VALUE"""),"mmra.araujo@gmail.com")</f>
        <v>mmra.araujo@gmail.com</v>
      </c>
      <c r="O187" s="2" t="str">
        <f ca="1">IFERROR(__xludf.DUMMYFUNCTION("""COMPUTED_VALUE"""),"(83)99926-8886")</f>
        <v>(83)99926-8886</v>
      </c>
      <c r="P187" s="2" t="str">
        <f ca="1">IFERROR(__xludf.DUMMYFUNCTION("""COMPUTED_VALUE"""),"(83)99411-3624")</f>
        <v>(83)99411-3624</v>
      </c>
      <c r="Q187" s="50"/>
      <c r="R187" s="50"/>
      <c r="S187" s="2" t="str">
        <f ca="1">IFERROR(VLOOKUP(A187,IMPORT_DESISTENCIA!$A$2:$Q2273,14,0),"NÃO")</f>
        <v>NÃO</v>
      </c>
      <c r="T187" s="35"/>
    </row>
    <row r="188" spans="1:20" ht="45" customHeight="1" x14ac:dyDescent="0.25">
      <c r="A188" s="2" t="str">
        <f t="shared" ca="1" si="1"/>
        <v>004/2025/062.368.824-79</v>
      </c>
      <c r="B188" s="2" t="str">
        <f ca="1">IFERROR(__xludf.DUMMYFUNCTION("""COMPUTED_VALUE"""),"062.368.824-79")</f>
        <v>062.368.824-79</v>
      </c>
      <c r="C188" s="43" t="str">
        <f ca="1">IFERROR(__xludf.DUMMYFUNCTION("""COMPUTED_VALUE"""),"ANGELICA CARINA DE ANDRADE FARIAS LIMA")</f>
        <v>ANGELICA CARINA DE ANDRADE FARIAS LIMA</v>
      </c>
      <c r="D188" s="2" t="str">
        <f ca="1">IFERROR(__xludf.DUMMYFUNCTION("""COMPUTED_VALUE"""),"PROFESSOR")</f>
        <v>PROFESSOR</v>
      </c>
      <c r="E188" s="2" t="str">
        <f ca="1">IFERROR(__xludf.DUMMYFUNCTION("""COMPUTED_VALUE"""),"004/2025")</f>
        <v>004/2025</v>
      </c>
      <c r="F188" s="2" t="str">
        <f ca="1">IFERROR(__xludf.DUMMYFUNCTION("""COMPUTED_VALUE"""),"CAMPINA GRANDE")</f>
        <v>CAMPINA GRANDE</v>
      </c>
      <c r="G188" s="11" t="str">
        <f ca="1">IFERROR(__xludf.DUMMYFUNCTION("""COMPUTED_VALUE"""),"VENDEDOR")</f>
        <v>VENDEDOR</v>
      </c>
      <c r="H188" s="11" t="str">
        <f ca="1">IFERROR(__xludf.DUMMYFUNCTION("""COMPUTED_VALUE"""),"EEEFM SEN ARGEMIRO DE FIGUEIREDO")</f>
        <v>EEEFM SEN ARGEMIRO DE FIGUEIREDO</v>
      </c>
      <c r="I188" s="2" t="str">
        <f ca="1">IFERROR(__xludf.DUMMYFUNCTION("""COMPUTED_VALUE"""),"NOITE")</f>
        <v>NOITE</v>
      </c>
      <c r="J188" s="47">
        <f ca="1">IFERROR(__xludf.DUMMYFUNCTION("""COMPUTED_VALUE"""),6)</f>
        <v>6</v>
      </c>
      <c r="K188" s="2"/>
      <c r="L188" s="10"/>
      <c r="M188" s="9" t="str">
        <f ca="1">IFERROR(__xludf.DUMMYFUNCTION("""COMPUTED_VALUE"""),"angelicacarina@gmail.com")</f>
        <v>angelicacarina@gmail.com</v>
      </c>
      <c r="N188" s="2"/>
      <c r="O188" s="2" t="str">
        <f ca="1">IFERROR(__xludf.DUMMYFUNCTION("""COMPUTED_VALUE"""),"(83)98829-5600")</f>
        <v>(83)98829-5600</v>
      </c>
      <c r="P188" s="2"/>
      <c r="Q188" s="50"/>
      <c r="R188" s="50"/>
      <c r="S188" s="2" t="str">
        <f ca="1">IFERROR(VLOOKUP(A188,IMPORT_DESISTENCIA!$A$2:$Q2273,14,0),"NÃO")</f>
        <v>NÃO</v>
      </c>
      <c r="T188" s="35"/>
    </row>
    <row r="189" spans="1:20" ht="45" customHeight="1" x14ac:dyDescent="0.25">
      <c r="A189" s="2" t="str">
        <f t="shared" ca="1" si="1"/>
        <v>004/2025/041.071.894-73</v>
      </c>
      <c r="B189" s="2" t="str">
        <f ca="1">IFERROR(__xludf.DUMMYFUNCTION("""COMPUTED_VALUE"""),"041.071.894-73")</f>
        <v>041.071.894-73</v>
      </c>
      <c r="C189" s="43" t="str">
        <f ca="1">IFERROR(__xludf.DUMMYFUNCTION("""COMPUTED_VALUE"""),"ADEMIR COSTA DA SILVA SEGUNDO")</f>
        <v>ADEMIR COSTA DA SILVA SEGUNDO</v>
      </c>
      <c r="D189" s="2" t="str">
        <f ca="1">IFERROR(__xludf.DUMMYFUNCTION("""COMPUTED_VALUE"""),"PROFESSOR")</f>
        <v>PROFESSOR</v>
      </c>
      <c r="E189" s="2" t="str">
        <f ca="1">IFERROR(__xludf.DUMMYFUNCTION("""COMPUTED_VALUE"""),"004/2025")</f>
        <v>004/2025</v>
      </c>
      <c r="F189" s="2" t="str">
        <f ca="1">IFERROR(__xludf.DUMMYFUNCTION("""COMPUTED_VALUE"""),"CAMPINA GRANDE")</f>
        <v>CAMPINA GRANDE</v>
      </c>
      <c r="G189" s="11" t="str">
        <f ca="1">IFERROR(__xludf.DUMMYFUNCTION("""COMPUTED_VALUE"""),"VENDEDOR")</f>
        <v>VENDEDOR</v>
      </c>
      <c r="H189" s="11" t="str">
        <f ca="1">IFERROR(__xludf.DUMMYFUNCTION("""COMPUTED_VALUE"""),"EEEFM SEN ARGEMIRO DE FIGUEIREDO")</f>
        <v>EEEFM SEN ARGEMIRO DE FIGUEIREDO</v>
      </c>
      <c r="I189" s="2" t="str">
        <f ca="1">IFERROR(__xludf.DUMMYFUNCTION("""COMPUTED_VALUE"""),"NOITE")</f>
        <v>NOITE</v>
      </c>
      <c r="J189" s="47">
        <f ca="1">IFERROR(__xludf.DUMMYFUNCTION("""COMPUTED_VALUE"""),7)</f>
        <v>7</v>
      </c>
      <c r="K189" s="2"/>
      <c r="L189" s="10"/>
      <c r="M189" s="9" t="str">
        <f ca="1">IFERROR(__xludf.DUMMYFUNCTION("""COMPUTED_VALUE"""),"segundocontabilidade@hotmail.com")</f>
        <v>segundocontabilidade@hotmail.com</v>
      </c>
      <c r="N189" s="2"/>
      <c r="O189" s="2" t="str">
        <f ca="1">IFERROR(__xludf.DUMMYFUNCTION("""COMPUTED_VALUE"""),"(83)98834-4442")</f>
        <v>(83)98834-4442</v>
      </c>
      <c r="P189" s="2"/>
      <c r="Q189" s="50"/>
      <c r="R189" s="50"/>
      <c r="S189" s="2" t="str">
        <f ca="1">IFERROR(VLOOKUP(A189,IMPORT_DESISTENCIA!$A$2:$Q2273,14,0),"NÃO")</f>
        <v>NÃO</v>
      </c>
      <c r="T189" s="35"/>
    </row>
    <row r="190" spans="1:20" ht="45" customHeight="1" x14ac:dyDescent="0.25">
      <c r="A190" s="2" t="str">
        <f t="shared" ca="1" si="1"/>
        <v>004/2025/079.756.694-58</v>
      </c>
      <c r="B190" s="2" t="str">
        <f ca="1">IFERROR(__xludf.DUMMYFUNCTION("""COMPUTED_VALUE"""),"079.756.694-58")</f>
        <v>079.756.694-58</v>
      </c>
      <c r="C190" s="43" t="str">
        <f ca="1">IFERROR(__xludf.DUMMYFUNCTION("""COMPUTED_VALUE"""),"JULIO CESAR JUSTINO DE ASSIS")</f>
        <v>JULIO CESAR JUSTINO DE ASSIS</v>
      </c>
      <c r="D190" s="2" t="str">
        <f ca="1">IFERROR(__xludf.DUMMYFUNCTION("""COMPUTED_VALUE"""),"PROFESSOR")</f>
        <v>PROFESSOR</v>
      </c>
      <c r="E190" s="2" t="str">
        <f ca="1">IFERROR(__xludf.DUMMYFUNCTION("""COMPUTED_VALUE"""),"004/2025")</f>
        <v>004/2025</v>
      </c>
      <c r="F190" s="2" t="str">
        <f ca="1">IFERROR(__xludf.DUMMYFUNCTION("""COMPUTED_VALUE"""),"CAMPINA GRANDE")</f>
        <v>CAMPINA GRANDE</v>
      </c>
      <c r="G190" s="11" t="str">
        <f ca="1">IFERROR(__xludf.DUMMYFUNCTION("""COMPUTED_VALUE"""),"VENDEDOR")</f>
        <v>VENDEDOR</v>
      </c>
      <c r="H190" s="11" t="str">
        <f ca="1">IFERROR(__xludf.DUMMYFUNCTION("""COMPUTED_VALUE"""),"EEEFM SEN ARGEMIRO DE FIGUEIREDO")</f>
        <v>EEEFM SEN ARGEMIRO DE FIGUEIREDO</v>
      </c>
      <c r="I190" s="2" t="str">
        <f ca="1">IFERROR(__xludf.DUMMYFUNCTION("""COMPUTED_VALUE"""),"NOITE")</f>
        <v>NOITE</v>
      </c>
      <c r="J190" s="47">
        <f ca="1">IFERROR(__xludf.DUMMYFUNCTION("""COMPUTED_VALUE"""),8)</f>
        <v>8</v>
      </c>
      <c r="K190" s="2"/>
      <c r="L190" s="10"/>
      <c r="M190" s="9" t="str">
        <f ca="1">IFERROR(__xludf.DUMMYFUNCTION("""COMPUTED_VALUE"""),"julio.assis079756.pbtec@professor.pb.gov.br")</f>
        <v>julio.assis079756.pbtec@professor.pb.gov.br</v>
      </c>
      <c r="N190" s="2" t="str">
        <f ca="1">IFERROR(__xludf.DUMMYFUNCTION("""COMPUTED_VALUE"""),"juliocjustinoa@gmail.com")</f>
        <v>juliocjustinoa@gmail.com</v>
      </c>
      <c r="O190" s="2" t="str">
        <f ca="1">IFERROR(__xludf.DUMMYFUNCTION("""COMPUTED_VALUE"""),"(83)99663-1416")</f>
        <v>(83)99663-1416</v>
      </c>
      <c r="P190" s="2" t="str">
        <f ca="1">IFERROR(__xludf.DUMMYFUNCTION("""COMPUTED_VALUE"""),"(83)99663-1416")</f>
        <v>(83)99663-1416</v>
      </c>
      <c r="Q190" s="50"/>
      <c r="R190" s="50"/>
      <c r="S190" s="2" t="str">
        <f ca="1">IFERROR(VLOOKUP(A190,IMPORT_DESISTENCIA!$A$2:$Q2273,14,0),"NÃO")</f>
        <v>NÃO</v>
      </c>
      <c r="T190" s="35"/>
    </row>
    <row r="191" spans="1:20" ht="45" customHeight="1" x14ac:dyDescent="0.25">
      <c r="A191" s="2" t="str">
        <f t="shared" ca="1" si="1"/>
        <v>004/2025/109.490.424-47</v>
      </c>
      <c r="B191" s="2" t="str">
        <f ca="1">IFERROR(__xludf.DUMMYFUNCTION("""COMPUTED_VALUE"""),"109.490.424-47")</f>
        <v>109.490.424-47</v>
      </c>
      <c r="C191" s="43" t="str">
        <f ca="1">IFERROR(__xludf.DUMMYFUNCTION("""COMPUTED_VALUE"""),"KALINY NAYARA SOUZA DUARTE REGO")</f>
        <v>KALINY NAYARA SOUZA DUARTE REGO</v>
      </c>
      <c r="D191" s="2" t="str">
        <f ca="1">IFERROR(__xludf.DUMMYFUNCTION("""COMPUTED_VALUE"""),"PROFESSOR")</f>
        <v>PROFESSOR</v>
      </c>
      <c r="E191" s="2" t="str">
        <f ca="1">IFERROR(__xludf.DUMMYFUNCTION("""COMPUTED_VALUE"""),"004/2025")</f>
        <v>004/2025</v>
      </c>
      <c r="F191" s="2" t="str">
        <f ca="1">IFERROR(__xludf.DUMMYFUNCTION("""COMPUTED_VALUE"""),"CAMPINA GRANDE")</f>
        <v>CAMPINA GRANDE</v>
      </c>
      <c r="G191" s="11" t="str">
        <f ca="1">IFERROR(__xludf.DUMMYFUNCTION("""COMPUTED_VALUE"""),"VENDEDOR")</f>
        <v>VENDEDOR</v>
      </c>
      <c r="H191" s="11" t="str">
        <f ca="1">IFERROR(__xludf.DUMMYFUNCTION("""COMPUTED_VALUE"""),"EEEFM SEN ARGEMIRO DE FIGUEIREDO")</f>
        <v>EEEFM SEN ARGEMIRO DE FIGUEIREDO</v>
      </c>
      <c r="I191" s="2" t="str">
        <f ca="1">IFERROR(__xludf.DUMMYFUNCTION("""COMPUTED_VALUE"""),"NOITE")</f>
        <v>NOITE</v>
      </c>
      <c r="J191" s="47">
        <f ca="1">IFERROR(__xludf.DUMMYFUNCTION("""COMPUTED_VALUE"""),9)</f>
        <v>9</v>
      </c>
      <c r="K191" s="2"/>
      <c r="L191" s="10"/>
      <c r="M191" s="9" t="str">
        <f ca="1">IFERROR(__xludf.DUMMYFUNCTION("""COMPUTED_VALUE"""),"kalinynayaraadm@gmail.com")</f>
        <v>kalinynayaraadm@gmail.com</v>
      </c>
      <c r="N191" s="2" t="str">
        <f ca="1">IFERROR(__xludf.DUMMYFUNCTION("""COMPUTED_VALUE"""),"kalinynayara@hotmail.com")</f>
        <v>kalinynayara@hotmail.com</v>
      </c>
      <c r="O191" s="2" t="str">
        <f ca="1">IFERROR(__xludf.DUMMYFUNCTION("""COMPUTED_VALUE"""),"(83)98164-6064")</f>
        <v>(83)98164-6064</v>
      </c>
      <c r="P191" s="2" t="str">
        <f ca="1">IFERROR(__xludf.DUMMYFUNCTION("""COMPUTED_VALUE"""),"(83)98164-6064")</f>
        <v>(83)98164-6064</v>
      </c>
      <c r="Q191" s="50"/>
      <c r="R191" s="50"/>
      <c r="S191" s="2" t="str">
        <f ca="1">IFERROR(VLOOKUP(A191,IMPORT_DESISTENCIA!$A$2:$Q2273,14,0),"NÃO")</f>
        <v>NÃO</v>
      </c>
      <c r="T191" s="35"/>
    </row>
    <row r="192" spans="1:20" ht="45" customHeight="1" x14ac:dyDescent="0.25">
      <c r="A192" s="2" t="str">
        <f t="shared" ca="1" si="1"/>
        <v>004/2025/044.874.774-09</v>
      </c>
      <c r="B192" s="2" t="str">
        <f ca="1">IFERROR(__xludf.DUMMYFUNCTION("""COMPUTED_VALUE"""),"044.874.774-09")</f>
        <v>044.874.774-09</v>
      </c>
      <c r="C192" s="43" t="str">
        <f ca="1">IFERROR(__xludf.DUMMYFUNCTION("""COMPUTED_VALUE"""),"ERIKA DOS SANTOS LEAL MAIA")</f>
        <v>ERIKA DOS SANTOS LEAL MAIA</v>
      </c>
      <c r="D192" s="2" t="str">
        <f ca="1">IFERROR(__xludf.DUMMYFUNCTION("""COMPUTED_VALUE"""),"PROFESSOR")</f>
        <v>PROFESSOR</v>
      </c>
      <c r="E192" s="2" t="str">
        <f ca="1">IFERROR(__xludf.DUMMYFUNCTION("""COMPUTED_VALUE"""),"004/2025")</f>
        <v>004/2025</v>
      </c>
      <c r="F192" s="2" t="str">
        <f ca="1">IFERROR(__xludf.DUMMYFUNCTION("""COMPUTED_VALUE"""),"CAMPINA GRANDE")</f>
        <v>CAMPINA GRANDE</v>
      </c>
      <c r="G192" s="11" t="str">
        <f ca="1">IFERROR(__xludf.DUMMYFUNCTION("""COMPUTED_VALUE"""),"VENDEDOR")</f>
        <v>VENDEDOR</v>
      </c>
      <c r="H192" s="11" t="str">
        <f ca="1">IFERROR(__xludf.DUMMYFUNCTION("""COMPUTED_VALUE"""),"EEEFM SEN ARGEMIRO DE FIGUEIREDO")</f>
        <v>EEEFM SEN ARGEMIRO DE FIGUEIREDO</v>
      </c>
      <c r="I192" s="2" t="str">
        <f ca="1">IFERROR(__xludf.DUMMYFUNCTION("""COMPUTED_VALUE"""),"NOITE")</f>
        <v>NOITE</v>
      </c>
      <c r="J192" s="47">
        <f ca="1">IFERROR(__xludf.DUMMYFUNCTION("""COMPUTED_VALUE"""),10)</f>
        <v>10</v>
      </c>
      <c r="K192" s="2"/>
      <c r="L192" s="10"/>
      <c r="M192" s="9" t="str">
        <f ca="1">IFERROR(__xludf.DUMMYFUNCTION("""COMPUTED_VALUE"""),"erikaleal31@gmail.com")</f>
        <v>erikaleal31@gmail.com</v>
      </c>
      <c r="N192" s="2" t="str">
        <f ca="1">IFERROR(__xludf.DUMMYFUNCTION("""COMPUTED_VALUE"""),"erikaleal31@hotmail.com")</f>
        <v>erikaleal31@hotmail.com</v>
      </c>
      <c r="O192" s="2" t="str">
        <f ca="1">IFERROR(__xludf.DUMMYFUNCTION("""COMPUTED_VALUE"""),"(83)98602-6830")</f>
        <v>(83)98602-6830</v>
      </c>
      <c r="P192" s="2" t="str">
        <f ca="1">IFERROR(__xludf.DUMMYFUNCTION("""COMPUTED_VALUE"""),"(83)99655-0561")</f>
        <v>(83)99655-0561</v>
      </c>
      <c r="Q192" s="50"/>
      <c r="R192" s="50"/>
      <c r="S192" s="2" t="str">
        <f ca="1">IFERROR(VLOOKUP(A192,IMPORT_DESISTENCIA!$A$2:$Q2273,14,0),"NÃO")</f>
        <v>NÃO</v>
      </c>
      <c r="T192" s="35"/>
    </row>
    <row r="193" spans="1:20" ht="45" customHeight="1" x14ac:dyDescent="0.25">
      <c r="A193" s="2" t="str">
        <f t="shared" ca="1" si="1"/>
        <v>004/2025/125.817.314-00</v>
      </c>
      <c r="B193" s="2" t="str">
        <f ca="1">IFERROR(__xludf.DUMMYFUNCTION("""COMPUTED_VALUE"""),"125.817.314-00")</f>
        <v>125.817.314-00</v>
      </c>
      <c r="C193" s="43" t="str">
        <f ca="1">IFERROR(__xludf.DUMMYFUNCTION("""COMPUTED_VALUE"""),"DILIANE SALUSTIANO DE FARIAS")</f>
        <v>DILIANE SALUSTIANO DE FARIAS</v>
      </c>
      <c r="D193" s="2" t="str">
        <f ca="1">IFERROR(__xludf.DUMMYFUNCTION("""COMPUTED_VALUE"""),"PROFESSOR")</f>
        <v>PROFESSOR</v>
      </c>
      <c r="E193" s="2" t="str">
        <f ca="1">IFERROR(__xludf.DUMMYFUNCTION("""COMPUTED_VALUE"""),"004/2025")</f>
        <v>004/2025</v>
      </c>
      <c r="F193" s="2" t="str">
        <f ca="1">IFERROR(__xludf.DUMMYFUNCTION("""COMPUTED_VALUE"""),"CAMPINA GRANDE")</f>
        <v>CAMPINA GRANDE</v>
      </c>
      <c r="G193" s="11" t="str">
        <f ca="1">IFERROR(__xludf.DUMMYFUNCTION("""COMPUTED_VALUE"""),"VENDEDOR")</f>
        <v>VENDEDOR</v>
      </c>
      <c r="H193" s="11" t="str">
        <f ca="1">IFERROR(__xludf.DUMMYFUNCTION("""COMPUTED_VALUE"""),"EEEFM SEN ARGEMIRO DE FIGUEIREDO")</f>
        <v>EEEFM SEN ARGEMIRO DE FIGUEIREDO</v>
      </c>
      <c r="I193" s="2" t="str">
        <f ca="1">IFERROR(__xludf.DUMMYFUNCTION("""COMPUTED_VALUE"""),"NOITE")</f>
        <v>NOITE</v>
      </c>
      <c r="J193" s="47">
        <f ca="1">IFERROR(__xludf.DUMMYFUNCTION("""COMPUTED_VALUE"""),11)</f>
        <v>11</v>
      </c>
      <c r="K193" s="2"/>
      <c r="L193" s="10"/>
      <c r="M193" s="9" t="str">
        <f ca="1">IFERROR(__xludf.DUMMYFUNCTION("""COMPUTED_VALUE"""),"dilianefarias.adm@gmail.com")</f>
        <v>dilianefarias.adm@gmail.com</v>
      </c>
      <c r="N193" s="2" t="str">
        <f ca="1">IFERROR(__xludf.DUMMYFUNCTION("""COMPUTED_VALUE"""),"dilianefarias.petadm@gmail.com")</f>
        <v>dilianefarias.petadm@gmail.com</v>
      </c>
      <c r="O193" s="2" t="str">
        <f ca="1">IFERROR(__xludf.DUMMYFUNCTION("""COMPUTED_VALUE"""),"(83)98125-7268")</f>
        <v>(83)98125-7268</v>
      </c>
      <c r="P193" s="2"/>
      <c r="Q193" s="50"/>
      <c r="R193" s="50"/>
      <c r="S193" s="2" t="str">
        <f ca="1">IFERROR(VLOOKUP(A193,IMPORT_DESISTENCIA!$A$2:$Q2273,14,0),"NÃO")</f>
        <v>NÃO</v>
      </c>
      <c r="T193" s="35"/>
    </row>
    <row r="194" spans="1:20" ht="45" customHeight="1" x14ac:dyDescent="0.25">
      <c r="A194" s="2" t="str">
        <f t="shared" ca="1" si="1"/>
        <v>004/2025/039.370.774-13</v>
      </c>
      <c r="B194" s="2" t="str">
        <f ca="1">IFERROR(__xludf.DUMMYFUNCTION("""COMPUTED_VALUE"""),"039.370.774-13")</f>
        <v>039.370.774-13</v>
      </c>
      <c r="C194" s="43" t="str">
        <f ca="1">IFERROR(__xludf.DUMMYFUNCTION("""COMPUTED_VALUE"""),"FRANCIS OLIVEIRA BEZERRA")</f>
        <v>FRANCIS OLIVEIRA BEZERRA</v>
      </c>
      <c r="D194" s="2" t="str">
        <f ca="1">IFERROR(__xludf.DUMMYFUNCTION("""COMPUTED_VALUE"""),"PROFESSOR")</f>
        <v>PROFESSOR</v>
      </c>
      <c r="E194" s="2" t="str">
        <f ca="1">IFERROR(__xludf.DUMMYFUNCTION("""COMPUTED_VALUE"""),"004/2025")</f>
        <v>004/2025</v>
      </c>
      <c r="F194" s="2" t="str">
        <f ca="1">IFERROR(__xludf.DUMMYFUNCTION("""COMPUTED_VALUE"""),"CAMPINA GRANDE")</f>
        <v>CAMPINA GRANDE</v>
      </c>
      <c r="G194" s="11" t="str">
        <f ca="1">IFERROR(__xludf.DUMMYFUNCTION("""COMPUTED_VALUE"""),"VENDEDOR")</f>
        <v>VENDEDOR</v>
      </c>
      <c r="H194" s="11" t="str">
        <f ca="1">IFERROR(__xludf.DUMMYFUNCTION("""COMPUTED_VALUE"""),"EEEFM SEN ARGEMIRO DE FIGUEIREDO")</f>
        <v>EEEFM SEN ARGEMIRO DE FIGUEIREDO</v>
      </c>
      <c r="I194" s="2" t="str">
        <f ca="1">IFERROR(__xludf.DUMMYFUNCTION("""COMPUTED_VALUE"""),"NOITE")</f>
        <v>NOITE</v>
      </c>
      <c r="J194" s="47">
        <f ca="1">IFERROR(__xludf.DUMMYFUNCTION("""COMPUTED_VALUE"""),12)</f>
        <v>12</v>
      </c>
      <c r="K194" s="2"/>
      <c r="L194" s="10"/>
      <c r="M194" s="9" t="str">
        <f ca="1">IFERROR(__xludf.DUMMYFUNCTION("""COMPUTED_VALUE"""),"francis_bezerra@hotmail.com")</f>
        <v>francis_bezerra@hotmail.com</v>
      </c>
      <c r="N194" s="2" t="str">
        <f ca="1">IFERROR(__xludf.DUMMYFUNCTION("""COMPUTED_VALUE"""),"francis_bezerra@hotmail.com")</f>
        <v>francis_bezerra@hotmail.com</v>
      </c>
      <c r="O194" s="2" t="str">
        <f ca="1">IFERROR(__xludf.DUMMYFUNCTION("""COMPUTED_VALUE"""),"(83)99939-6710")</f>
        <v>(83)99939-6710</v>
      </c>
      <c r="P194" s="2"/>
      <c r="Q194" s="50"/>
      <c r="R194" s="50"/>
      <c r="S194" s="2" t="str">
        <f ca="1">IFERROR(VLOOKUP(A194,IMPORT_DESISTENCIA!$A$2:$Q2273,14,0),"NÃO")</f>
        <v>NÃO</v>
      </c>
      <c r="T194" s="35"/>
    </row>
    <row r="195" spans="1:20" ht="45" customHeight="1" x14ac:dyDescent="0.25">
      <c r="A195" s="2" t="str">
        <f t="shared" ca="1" si="1"/>
        <v>004/2025/083.601.144-98</v>
      </c>
      <c r="B195" s="2" t="str">
        <f ca="1">IFERROR(__xludf.DUMMYFUNCTION("""COMPUTED_VALUE"""),"083.601.144-98")</f>
        <v>083.601.144-98</v>
      </c>
      <c r="C195" s="43" t="str">
        <f ca="1">IFERROR(__xludf.DUMMYFUNCTION("""COMPUTED_VALUE"""),"JOAO MATHEUS LIMA COSTA")</f>
        <v>JOAO MATHEUS LIMA COSTA</v>
      </c>
      <c r="D195" s="2" t="str">
        <f ca="1">IFERROR(__xludf.DUMMYFUNCTION("""COMPUTED_VALUE"""),"PROFESSOR")</f>
        <v>PROFESSOR</v>
      </c>
      <c r="E195" s="2" t="str">
        <f ca="1">IFERROR(__xludf.DUMMYFUNCTION("""COMPUTED_VALUE"""),"004/2025")</f>
        <v>004/2025</v>
      </c>
      <c r="F195" s="2" t="str">
        <f ca="1">IFERROR(__xludf.DUMMYFUNCTION("""COMPUTED_VALUE"""),"CAMPINA GRANDE")</f>
        <v>CAMPINA GRANDE</v>
      </c>
      <c r="G195" s="11" t="str">
        <f ca="1">IFERROR(__xludf.DUMMYFUNCTION("""COMPUTED_VALUE"""),"VENDEDOR")</f>
        <v>VENDEDOR</v>
      </c>
      <c r="H195" s="11" t="str">
        <f ca="1">IFERROR(__xludf.DUMMYFUNCTION("""COMPUTED_VALUE"""),"EEEFM SEN ARGEMIRO DE FIGUEIREDO")</f>
        <v>EEEFM SEN ARGEMIRO DE FIGUEIREDO</v>
      </c>
      <c r="I195" s="2" t="str">
        <f ca="1">IFERROR(__xludf.DUMMYFUNCTION("""COMPUTED_VALUE"""),"NOITE")</f>
        <v>NOITE</v>
      </c>
      <c r="J195" s="47">
        <f ca="1">IFERROR(__xludf.DUMMYFUNCTION("""COMPUTED_VALUE"""),13)</f>
        <v>13</v>
      </c>
      <c r="K195" s="2"/>
      <c r="L195" s="10"/>
      <c r="M195" s="9" t="str">
        <f ca="1">IFERROR(__xludf.DUMMYFUNCTION("""COMPUTED_VALUE"""),"jmatheuslcosta@gmail.com")</f>
        <v>jmatheuslcosta@gmail.com</v>
      </c>
      <c r="N195" s="2" t="str">
        <f ca="1">IFERROR(__xludf.DUMMYFUNCTION("""COMPUTED_VALUE"""),"joao._matheus@hotmail.com")</f>
        <v>joao._matheus@hotmail.com</v>
      </c>
      <c r="O195" s="2" t="str">
        <f ca="1">IFERROR(__xludf.DUMMYFUNCTION("""COMPUTED_VALUE"""),"(83)98723-6458")</f>
        <v>(83)98723-6458</v>
      </c>
      <c r="P195" s="2" t="str">
        <f ca="1">IFERROR(__xludf.DUMMYFUNCTION("""COMPUTED_VALUE"""),"(83)98626-1733")</f>
        <v>(83)98626-1733</v>
      </c>
      <c r="Q195" s="50"/>
      <c r="R195" s="50"/>
      <c r="S195" s="2" t="str">
        <f ca="1">IFERROR(VLOOKUP(A195,IMPORT_DESISTENCIA!$A$2:$Q2273,14,0),"NÃO")</f>
        <v>NÃO</v>
      </c>
      <c r="T195" s="35"/>
    </row>
    <row r="196" spans="1:20" ht="45" customHeight="1" x14ac:dyDescent="0.25">
      <c r="A196" s="2" t="str">
        <f t="shared" ca="1" si="1"/>
        <v>004/2025/043.974.683-38</v>
      </c>
      <c r="B196" s="2" t="str">
        <f ca="1">IFERROR(__xludf.DUMMYFUNCTION("""COMPUTED_VALUE"""),"043.974.683-38")</f>
        <v>043.974.683-38</v>
      </c>
      <c r="C196" s="43" t="str">
        <f ca="1">IFERROR(__xludf.DUMMYFUNCTION("""COMPUTED_VALUE"""),"VALESKA DA SILVA MATIAS")</f>
        <v>VALESKA DA SILVA MATIAS</v>
      </c>
      <c r="D196" s="2" t="str">
        <f ca="1">IFERROR(__xludf.DUMMYFUNCTION("""COMPUTED_VALUE"""),"PROFESSOR")</f>
        <v>PROFESSOR</v>
      </c>
      <c r="E196" s="2" t="str">
        <f ca="1">IFERROR(__xludf.DUMMYFUNCTION("""COMPUTED_VALUE"""),"004/2025")</f>
        <v>004/2025</v>
      </c>
      <c r="F196" s="2" t="str">
        <f ca="1">IFERROR(__xludf.DUMMYFUNCTION("""COMPUTED_VALUE"""),"CAMPINA GRANDE")</f>
        <v>CAMPINA GRANDE</v>
      </c>
      <c r="G196" s="11" t="str">
        <f ca="1">IFERROR(__xludf.DUMMYFUNCTION("""COMPUTED_VALUE"""),"VENDEDOR")</f>
        <v>VENDEDOR</v>
      </c>
      <c r="H196" s="11" t="str">
        <f ca="1">IFERROR(__xludf.DUMMYFUNCTION("""COMPUTED_VALUE"""),"EEEFM SEN ARGEMIRO DE FIGUEIREDO")</f>
        <v>EEEFM SEN ARGEMIRO DE FIGUEIREDO</v>
      </c>
      <c r="I196" s="2" t="str">
        <f ca="1">IFERROR(__xludf.DUMMYFUNCTION("""COMPUTED_VALUE"""),"NOITE")</f>
        <v>NOITE</v>
      </c>
      <c r="J196" s="47">
        <f ca="1">IFERROR(__xludf.DUMMYFUNCTION("""COMPUTED_VALUE"""),14)</f>
        <v>14</v>
      </c>
      <c r="K196" s="2"/>
      <c r="L196" s="10"/>
      <c r="M196" s="9" t="str">
        <f ca="1">IFERROR(__xludf.DUMMYFUNCTION("""COMPUTED_VALUE"""),"matiasvaleska65@gmail.com")</f>
        <v>matiasvaleska65@gmail.com</v>
      </c>
      <c r="N196" s="2" t="str">
        <f ca="1">IFERROR(__xludf.DUMMYFUNCTION("""COMPUTED_VALUE"""),"valeskamatias.savus@gmail.com")</f>
        <v>valeskamatias.savus@gmail.com</v>
      </c>
      <c r="O196" s="2" t="str">
        <f ca="1">IFERROR(__xludf.DUMMYFUNCTION("""COMPUTED_VALUE"""),"(83)99611-4396")</f>
        <v>(83)99611-4396</v>
      </c>
      <c r="P196" s="2" t="str">
        <f ca="1">IFERROR(__xludf.DUMMYFUNCTION("""COMPUTED_VALUE"""),"(98)98145-7578")</f>
        <v>(98)98145-7578</v>
      </c>
      <c r="Q196" s="50"/>
      <c r="R196" s="50"/>
      <c r="S196" s="2" t="str">
        <f ca="1">IFERROR(VLOOKUP(A196,IMPORT_DESISTENCIA!$A$2:$Q2273,14,0),"NÃO")</f>
        <v>NÃO</v>
      </c>
      <c r="T196" s="35"/>
    </row>
    <row r="197" spans="1:20" ht="45" customHeight="1" x14ac:dyDescent="0.25">
      <c r="A197" s="2" t="str">
        <f t="shared" ca="1" si="1"/>
        <v>004/2025/701.478.224-08</v>
      </c>
      <c r="B197" s="2" t="str">
        <f ca="1">IFERROR(__xludf.DUMMYFUNCTION("""COMPUTED_VALUE"""),"701.478.224-08")</f>
        <v>701.478.224-08</v>
      </c>
      <c r="C197" s="43" t="str">
        <f ca="1">IFERROR(__xludf.DUMMYFUNCTION("""COMPUTED_VALUE"""),"ALINE DA SILVA CRUZ")</f>
        <v>ALINE DA SILVA CRUZ</v>
      </c>
      <c r="D197" s="2" t="str">
        <f ca="1">IFERROR(__xludf.DUMMYFUNCTION("""COMPUTED_VALUE"""),"PROFESSOR")</f>
        <v>PROFESSOR</v>
      </c>
      <c r="E197" s="2" t="str">
        <f ca="1">IFERROR(__xludf.DUMMYFUNCTION("""COMPUTED_VALUE"""),"004/2025")</f>
        <v>004/2025</v>
      </c>
      <c r="F197" s="2" t="str">
        <f ca="1">IFERROR(__xludf.DUMMYFUNCTION("""COMPUTED_VALUE"""),"CAMPINA GRANDE")</f>
        <v>CAMPINA GRANDE</v>
      </c>
      <c r="G197" s="11" t="str">
        <f ca="1">IFERROR(__xludf.DUMMYFUNCTION("""COMPUTED_VALUE"""),"VENDEDOR")</f>
        <v>VENDEDOR</v>
      </c>
      <c r="H197" s="11" t="str">
        <f ca="1">IFERROR(__xludf.DUMMYFUNCTION("""COMPUTED_VALUE"""),"EEEFM SEN ARGEMIRO DE FIGUEIREDO")</f>
        <v>EEEFM SEN ARGEMIRO DE FIGUEIREDO</v>
      </c>
      <c r="I197" s="2" t="str">
        <f ca="1">IFERROR(__xludf.DUMMYFUNCTION("""COMPUTED_VALUE"""),"NOITE")</f>
        <v>NOITE</v>
      </c>
      <c r="J197" s="47">
        <f ca="1">IFERROR(__xludf.DUMMYFUNCTION("""COMPUTED_VALUE"""),15)</f>
        <v>15</v>
      </c>
      <c r="K197" s="2"/>
      <c r="L197" s="10"/>
      <c r="M197" s="9" t="str">
        <f ca="1">IFERROR(__xludf.DUMMYFUNCTION("""COMPUTED_VALUE"""),"cruz.aline30@gmail.com")</f>
        <v>cruz.aline30@gmail.com</v>
      </c>
      <c r="N197" s="2" t="str">
        <f ca="1">IFERROR(__xludf.DUMMYFUNCTION("""COMPUTED_VALUE"""),"alinecruz22062018@gmail.com")</f>
        <v>alinecruz22062018@gmail.com</v>
      </c>
      <c r="O197" s="2" t="str">
        <f ca="1">IFERROR(__xludf.DUMMYFUNCTION("""COMPUTED_VALUE"""),"(83)99412-0691")</f>
        <v>(83)99412-0691</v>
      </c>
      <c r="P197" s="2"/>
      <c r="Q197" s="50"/>
      <c r="R197" s="50"/>
      <c r="S197" s="2" t="str">
        <f ca="1">IFERROR(VLOOKUP(A197,IMPORT_DESISTENCIA!$A$2:$Q2273,14,0),"NÃO")</f>
        <v>NÃO</v>
      </c>
      <c r="T197" s="35"/>
    </row>
    <row r="198" spans="1:20" ht="45" customHeight="1" x14ac:dyDescent="0.25">
      <c r="A198" s="2" t="str">
        <f t="shared" ca="1" si="1"/>
        <v>004/2025/068.885.734-51</v>
      </c>
      <c r="B198" s="2" t="str">
        <f ca="1">IFERROR(__xludf.DUMMYFUNCTION("""COMPUTED_VALUE"""),"068.885.734-51")</f>
        <v>068.885.734-51</v>
      </c>
      <c r="C198" s="43" t="str">
        <f ca="1">IFERROR(__xludf.DUMMYFUNCTION("""COMPUTED_VALUE"""),"ANDREIA SANTOS DE LIMA")</f>
        <v>ANDREIA SANTOS DE LIMA</v>
      </c>
      <c r="D198" s="2" t="str">
        <f ca="1">IFERROR(__xludf.DUMMYFUNCTION("""COMPUTED_VALUE"""),"PROFESSOR")</f>
        <v>PROFESSOR</v>
      </c>
      <c r="E198" s="2" t="str">
        <f ca="1">IFERROR(__xludf.DUMMYFUNCTION("""COMPUTED_VALUE"""),"004/2025")</f>
        <v>004/2025</v>
      </c>
      <c r="F198" s="2" t="str">
        <f ca="1">IFERROR(__xludf.DUMMYFUNCTION("""COMPUTED_VALUE"""),"GURINHEM")</f>
        <v>GURINHEM</v>
      </c>
      <c r="G198" s="11" t="str">
        <f ca="1">IFERROR(__xludf.DUMMYFUNCTION("""COMPUTED_VALUE"""),"AGRICULTOR ORGANICO")</f>
        <v>AGRICULTOR ORGANICO</v>
      </c>
      <c r="H198" s="11" t="str">
        <f ca="1">IFERROR(__xludf.DUMMYFUNCTION("""COMPUTED_VALUE"""),"SINDICATO DOS TRABALHADORES RURAIS AGRICULTORES E AGRICULTORAS FAMILIARES DE GURINHEM")</f>
        <v>SINDICATO DOS TRABALHADORES RURAIS AGRICULTORES E AGRICULTORAS FAMILIARES DE GURINHEM</v>
      </c>
      <c r="I198" s="2" t="str">
        <f ca="1">IFERROR(__xludf.DUMMYFUNCTION("""COMPUTED_VALUE"""),"MANHA")</f>
        <v>MANHA</v>
      </c>
      <c r="J198" s="47">
        <f ca="1">IFERROR(__xludf.DUMMYFUNCTION("""COMPUTED_VALUE"""),1)</f>
        <v>1</v>
      </c>
      <c r="K198" s="2" t="str">
        <f ca="1">IFERROR(__xludf.DUMMYFUNCTION("""COMPUTED_VALUE"""),"POSSE VALIDADA")</f>
        <v>POSSE VALIDADA</v>
      </c>
      <c r="L198" s="10"/>
      <c r="M198" s="9" t="str">
        <f ca="1">IFERROR(__xludf.DUMMYFUNCTION("""COMPUTED_VALUE"""),"prof.andreiasantosagro@gmail.com")</f>
        <v>prof.andreiasantosagro@gmail.com</v>
      </c>
      <c r="N198" s="2" t="str">
        <f ca="1">IFERROR(__xludf.DUMMYFUNCTION("""COMPUTED_VALUE"""),"andreiaciagra@hotmail.com")</f>
        <v>andreiaciagra@hotmail.com</v>
      </c>
      <c r="O198" s="2" t="str">
        <f ca="1">IFERROR(__xludf.DUMMYFUNCTION("""COMPUTED_VALUE"""),"(83)99655-5064")</f>
        <v>(83)99655-5064</v>
      </c>
      <c r="P198" s="2"/>
      <c r="Q198" s="50" t="str">
        <f ca="1">IFERROR(__xludf.DUMMYFUNCTION("""COMPUTED_VALUE"""),"23/04/2025")</f>
        <v>23/04/2025</v>
      </c>
      <c r="R198" s="50"/>
      <c r="S198" s="2" t="str">
        <f ca="1">IFERROR(VLOOKUP(A198,IMPORT_DESISTENCIA!$A$2:$Q2273,14,0),"NÃO")</f>
        <v>NÃO</v>
      </c>
      <c r="T198" s="35"/>
    </row>
    <row r="199" spans="1:20" ht="45" customHeight="1" x14ac:dyDescent="0.25">
      <c r="A199" s="2" t="str">
        <f t="shared" ca="1" si="1"/>
        <v>004/2025/068.320.574-90</v>
      </c>
      <c r="B199" s="2" t="str">
        <f ca="1">IFERROR(__xludf.DUMMYFUNCTION("""COMPUTED_VALUE"""),"068.320.574-90")</f>
        <v>068.320.574-90</v>
      </c>
      <c r="C199" s="43" t="str">
        <f ca="1">IFERROR(__xludf.DUMMYFUNCTION("""COMPUTED_VALUE"""),"MARIA LUIZA COELHO CAVALCANTI")</f>
        <v>MARIA LUIZA COELHO CAVALCANTI</v>
      </c>
      <c r="D199" s="2" t="str">
        <f ca="1">IFERROR(__xludf.DUMMYFUNCTION("""COMPUTED_VALUE"""),"PROFESSOR")</f>
        <v>PROFESSOR</v>
      </c>
      <c r="E199" s="2" t="str">
        <f ca="1">IFERROR(__xludf.DUMMYFUNCTION("""COMPUTED_VALUE"""),"004/2025")</f>
        <v>004/2025</v>
      </c>
      <c r="F199" s="2" t="str">
        <f ca="1">IFERROR(__xludf.DUMMYFUNCTION("""COMPUTED_VALUE"""),"GURINHEM")</f>
        <v>GURINHEM</v>
      </c>
      <c r="G199" s="11" t="str">
        <f ca="1">IFERROR(__xludf.DUMMYFUNCTION("""COMPUTED_VALUE"""),"AGRICULTOR ORGANICO")</f>
        <v>AGRICULTOR ORGANICO</v>
      </c>
      <c r="H199" s="11" t="str">
        <f ca="1">IFERROR(__xludf.DUMMYFUNCTION("""COMPUTED_VALUE"""),"SINDICATO DOS TRABALHADORES RURAIS AGRICULTORES E AGRICULTORAS FAMILIARES DE GURINHEM")</f>
        <v>SINDICATO DOS TRABALHADORES RURAIS AGRICULTORES E AGRICULTORAS FAMILIARES DE GURINHEM</v>
      </c>
      <c r="I199" s="2" t="str">
        <f ca="1">IFERROR(__xludf.DUMMYFUNCTION("""COMPUTED_VALUE"""),"MANHA")</f>
        <v>MANHA</v>
      </c>
      <c r="J199" s="47">
        <f ca="1">IFERROR(__xludf.DUMMYFUNCTION("""COMPUTED_VALUE"""),2)</f>
        <v>2</v>
      </c>
      <c r="K199" s="2"/>
      <c r="L199" s="10"/>
      <c r="M199" s="9" t="str">
        <f ca="1">IFERROR(__xludf.DUMMYFUNCTION("""COMPUTED_VALUE"""),"malucoelhocavalcanti@gmail.com")</f>
        <v>malucoelhocavalcanti@gmail.com</v>
      </c>
      <c r="N199" s="2" t="str">
        <f ca="1">IFERROR(__xludf.DUMMYFUNCTION("""COMPUTED_VALUE"""),"malucoelhocavalcanti@gmail.com")</f>
        <v>malucoelhocavalcanti@gmail.com</v>
      </c>
      <c r="O199" s="2" t="str">
        <f ca="1">IFERROR(__xludf.DUMMYFUNCTION("""COMPUTED_VALUE"""),"(81)995782689")</f>
        <v>(81)995782689</v>
      </c>
      <c r="P199" s="2" t="str">
        <f ca="1">IFERROR(__xludf.DUMMYFUNCTION("""COMPUTED_VALUE"""),"(83)991197318")</f>
        <v>(83)991197318</v>
      </c>
      <c r="Q199" s="50"/>
      <c r="R199" s="50"/>
      <c r="S199" s="2" t="str">
        <f ca="1">IFERROR(VLOOKUP(A199,IMPORT_DESISTENCIA!$A$2:$Q2273,14,0),"NÃO")</f>
        <v>NÃO</v>
      </c>
      <c r="T199" s="35"/>
    </row>
    <row r="200" spans="1:20" ht="45" customHeight="1" x14ac:dyDescent="0.25">
      <c r="A200" s="2" t="str">
        <f t="shared" ca="1" si="1"/>
        <v>004/2025/031.173.975-07</v>
      </c>
      <c r="B200" s="2" t="str">
        <f ca="1">IFERROR(__xludf.DUMMYFUNCTION("""COMPUTED_VALUE"""),"031.173.975-07")</f>
        <v>031.173.975-07</v>
      </c>
      <c r="C200" s="43" t="str">
        <f ca="1">IFERROR(__xludf.DUMMYFUNCTION("""COMPUTED_VALUE"""),"LARISSA QUEIROZ DE MEDEIROS TORRES")</f>
        <v>LARISSA QUEIROZ DE MEDEIROS TORRES</v>
      </c>
      <c r="D200" s="2" t="str">
        <f ca="1">IFERROR(__xludf.DUMMYFUNCTION("""COMPUTED_VALUE"""),"PROFESSOR")</f>
        <v>PROFESSOR</v>
      </c>
      <c r="E200" s="2" t="str">
        <f ca="1">IFERROR(__xludf.DUMMYFUNCTION("""COMPUTED_VALUE"""),"004/2025")</f>
        <v>004/2025</v>
      </c>
      <c r="F200" s="2" t="str">
        <f ca="1">IFERROR(__xludf.DUMMYFUNCTION("""COMPUTED_VALUE"""),"GURINHEM")</f>
        <v>GURINHEM</v>
      </c>
      <c r="G200" s="11" t="str">
        <f ca="1">IFERROR(__xludf.DUMMYFUNCTION("""COMPUTED_VALUE"""),"AGRICULTOR ORGANICO")</f>
        <v>AGRICULTOR ORGANICO</v>
      </c>
      <c r="H200" s="11" t="str">
        <f ca="1">IFERROR(__xludf.DUMMYFUNCTION("""COMPUTED_VALUE"""),"SINDICATO DOS TRABALHADORES RURAIS AGRICULTORES E AGRICULTORAS FAMILIARES DE GURINHEM")</f>
        <v>SINDICATO DOS TRABALHADORES RURAIS AGRICULTORES E AGRICULTORAS FAMILIARES DE GURINHEM</v>
      </c>
      <c r="I200" s="2" t="str">
        <f ca="1">IFERROR(__xludf.DUMMYFUNCTION("""COMPUTED_VALUE"""),"MANHA")</f>
        <v>MANHA</v>
      </c>
      <c r="J200" s="47">
        <f ca="1">IFERROR(__xludf.DUMMYFUNCTION("""COMPUTED_VALUE"""),3)</f>
        <v>3</v>
      </c>
      <c r="K200" s="2"/>
      <c r="L200" s="10"/>
      <c r="M200" s="9" t="str">
        <f ca="1">IFERROR(__xludf.DUMMYFUNCTION("""COMPUTED_VALUE"""),"larissa.queiroztorres@ufrpe.br")</f>
        <v>larissa.queiroztorres@ufrpe.br</v>
      </c>
      <c r="N200" s="2" t="str">
        <f ca="1">IFERROR(__xludf.DUMMYFUNCTION("""COMPUTED_VALUE"""),"larissa_queiroz18@hotmail.com")</f>
        <v>larissa_queiroz18@hotmail.com</v>
      </c>
      <c r="O200" s="2" t="str">
        <f ca="1">IFERROR(__xludf.DUMMYFUNCTION("""COMPUTED_VALUE"""),"(83)99857-1809")</f>
        <v>(83)99857-1809</v>
      </c>
      <c r="P200" s="2" t="str">
        <f ca="1">IFERROR(__xludf.DUMMYFUNCTION("""COMPUTED_VALUE"""),"(83)99857-1809")</f>
        <v>(83)99857-1809</v>
      </c>
      <c r="Q200" s="50"/>
      <c r="R200" s="50"/>
      <c r="S200" s="2" t="str">
        <f ca="1">IFERROR(VLOOKUP(A200,IMPORT_DESISTENCIA!$A$2:$Q2273,14,0),"NÃO")</f>
        <v>NÃO</v>
      </c>
      <c r="T200" s="35"/>
    </row>
    <row r="201" spans="1:20" ht="45" customHeight="1" x14ac:dyDescent="0.25">
      <c r="A201" s="2" t="str">
        <f t="shared" ca="1" si="1"/>
        <v>004/2025/093.868.014-50</v>
      </c>
      <c r="B201" s="2" t="str">
        <f ca="1">IFERROR(__xludf.DUMMYFUNCTION("""COMPUTED_VALUE"""),"093.868.014-50")</f>
        <v>093.868.014-50</v>
      </c>
      <c r="C201" s="43" t="str">
        <f ca="1">IFERROR(__xludf.DUMMYFUNCTION("""COMPUTED_VALUE"""),"GLEYKA NOBREGA VASCONCELOS")</f>
        <v>GLEYKA NOBREGA VASCONCELOS</v>
      </c>
      <c r="D201" s="2" t="str">
        <f ca="1">IFERROR(__xludf.DUMMYFUNCTION("""COMPUTED_VALUE"""),"PROFESSOR")</f>
        <v>PROFESSOR</v>
      </c>
      <c r="E201" s="2" t="str">
        <f ca="1">IFERROR(__xludf.DUMMYFUNCTION("""COMPUTED_VALUE"""),"004/2025")</f>
        <v>004/2025</v>
      </c>
      <c r="F201" s="2" t="str">
        <f ca="1">IFERROR(__xludf.DUMMYFUNCTION("""COMPUTED_VALUE"""),"GURINHEM")</f>
        <v>GURINHEM</v>
      </c>
      <c r="G201" s="11" t="str">
        <f ca="1">IFERROR(__xludf.DUMMYFUNCTION("""COMPUTED_VALUE"""),"AGRICULTOR ORGANICO")</f>
        <v>AGRICULTOR ORGANICO</v>
      </c>
      <c r="H201" s="11" t="str">
        <f ca="1">IFERROR(__xludf.DUMMYFUNCTION("""COMPUTED_VALUE"""),"SINDICATO DOS TRABALHADORES RURAIS AGRICULTORES E AGRICULTORAS FAMILIARES DE GURINHEM")</f>
        <v>SINDICATO DOS TRABALHADORES RURAIS AGRICULTORES E AGRICULTORAS FAMILIARES DE GURINHEM</v>
      </c>
      <c r="I201" s="2" t="str">
        <f ca="1">IFERROR(__xludf.DUMMYFUNCTION("""COMPUTED_VALUE"""),"MANHA")</f>
        <v>MANHA</v>
      </c>
      <c r="J201" s="47">
        <f ca="1">IFERROR(__xludf.DUMMYFUNCTION("""COMPUTED_VALUE"""),4)</f>
        <v>4</v>
      </c>
      <c r="K201" s="2"/>
      <c r="L201" s="10"/>
      <c r="M201" s="9" t="str">
        <f ca="1">IFERROR(__xludf.DUMMYFUNCTION("""COMPUTED_VALUE"""),"gleykanobregavasconcelos@gmail.com")</f>
        <v>gleykanobregavasconcelos@gmail.com</v>
      </c>
      <c r="N201" s="2"/>
      <c r="O201" s="2" t="str">
        <f ca="1">IFERROR(__xludf.DUMMYFUNCTION("""COMPUTED_VALUE"""),"(83)99819-5304")</f>
        <v>(83)99819-5304</v>
      </c>
      <c r="P201" s="2"/>
      <c r="Q201" s="50"/>
      <c r="R201" s="50"/>
      <c r="S201" s="2" t="str">
        <f ca="1">IFERROR(VLOOKUP(A201,IMPORT_DESISTENCIA!$A$2:$Q2273,14,0),"NÃO")</f>
        <v>NÃO</v>
      </c>
      <c r="T201" s="35"/>
    </row>
    <row r="202" spans="1:20" ht="45" customHeight="1" x14ac:dyDescent="0.25">
      <c r="A202" s="2" t="str">
        <f t="shared" ca="1" si="1"/>
        <v>004/2025/016.426.832-48</v>
      </c>
      <c r="B202" s="2" t="str">
        <f ca="1">IFERROR(__xludf.DUMMYFUNCTION("""COMPUTED_VALUE"""),"016.426.832-48")</f>
        <v>016.426.832-48</v>
      </c>
      <c r="C202" s="43" t="str">
        <f ca="1">IFERROR(__xludf.DUMMYFUNCTION("""COMPUTED_VALUE"""),"DEMICHAELMAX SALES DE MELO")</f>
        <v>DEMICHAELMAX SALES DE MELO</v>
      </c>
      <c r="D202" s="2" t="str">
        <f ca="1">IFERROR(__xludf.DUMMYFUNCTION("""COMPUTED_VALUE"""),"PROFESSOR")</f>
        <v>PROFESSOR</v>
      </c>
      <c r="E202" s="2" t="str">
        <f ca="1">IFERROR(__xludf.DUMMYFUNCTION("""COMPUTED_VALUE"""),"004/2025")</f>
        <v>004/2025</v>
      </c>
      <c r="F202" s="2" t="str">
        <f ca="1">IFERROR(__xludf.DUMMYFUNCTION("""COMPUTED_VALUE"""),"GURINHEM")</f>
        <v>GURINHEM</v>
      </c>
      <c r="G202" s="11" t="str">
        <f ca="1">IFERROR(__xludf.DUMMYFUNCTION("""COMPUTED_VALUE"""),"AGRICULTOR ORGANICO")</f>
        <v>AGRICULTOR ORGANICO</v>
      </c>
      <c r="H202" s="11" t="str">
        <f ca="1">IFERROR(__xludf.DUMMYFUNCTION("""COMPUTED_VALUE"""),"SINDICATO DOS TRABALHADORES RURAIS AGRICULTORES E AGRICULTORAS FAMILIARES DE GURINHEM")</f>
        <v>SINDICATO DOS TRABALHADORES RURAIS AGRICULTORES E AGRICULTORAS FAMILIARES DE GURINHEM</v>
      </c>
      <c r="I202" s="2" t="str">
        <f ca="1">IFERROR(__xludf.DUMMYFUNCTION("""COMPUTED_VALUE"""),"MANHA")</f>
        <v>MANHA</v>
      </c>
      <c r="J202" s="47">
        <f ca="1">IFERROR(__xludf.DUMMYFUNCTION("""COMPUTED_VALUE"""),5)</f>
        <v>5</v>
      </c>
      <c r="K202" s="2"/>
      <c r="L202" s="10"/>
      <c r="M202" s="9" t="str">
        <f ca="1">IFERROR(__xludf.DUMMYFUNCTION("""COMPUTED_VALUE"""),"demichaelmax@gmail.com")</f>
        <v>demichaelmax@gmail.com</v>
      </c>
      <c r="N202" s="2" t="str">
        <f ca="1">IFERROR(__xludf.DUMMYFUNCTION("""COMPUTED_VALUE"""),"camillagabriela11@gmail.com")</f>
        <v>camillagabriela11@gmail.com</v>
      </c>
      <c r="O202" s="2" t="str">
        <f ca="1">IFERROR(__xludf.DUMMYFUNCTION("""COMPUTED_VALUE"""),"(83)99684-6277")</f>
        <v>(83)99684-6277</v>
      </c>
      <c r="P202" s="2" t="str">
        <f ca="1">IFERROR(__xludf.DUMMYFUNCTION("""COMPUTED_VALUE"""),"(83)98604-0438")</f>
        <v>(83)98604-0438</v>
      </c>
      <c r="Q202" s="50"/>
      <c r="R202" s="50"/>
      <c r="S202" s="2" t="str">
        <f ca="1">IFERROR(VLOOKUP(A202,IMPORT_DESISTENCIA!$A$2:$Q2273,14,0),"NÃO")</f>
        <v>NÃO</v>
      </c>
      <c r="T202" s="35"/>
    </row>
    <row r="203" spans="1:20" ht="45" customHeight="1" x14ac:dyDescent="0.25">
      <c r="A203" s="2" t="str">
        <f t="shared" ca="1" si="1"/>
        <v>004/2025/054.021.094-35</v>
      </c>
      <c r="B203" s="2" t="str">
        <f ca="1">IFERROR(__xludf.DUMMYFUNCTION("""COMPUTED_VALUE"""),"054.021.094-35")</f>
        <v>054.021.094-35</v>
      </c>
      <c r="C203" s="43" t="str">
        <f ca="1">IFERROR(__xludf.DUMMYFUNCTION("""COMPUTED_VALUE"""),"FRANCISCO FELIPE BARRETO OLIVEIRA")</f>
        <v>FRANCISCO FELIPE BARRETO OLIVEIRA</v>
      </c>
      <c r="D203" s="2" t="str">
        <f ca="1">IFERROR(__xludf.DUMMYFUNCTION("""COMPUTED_VALUE"""),"PROFESSOR")</f>
        <v>PROFESSOR</v>
      </c>
      <c r="E203" s="2" t="str">
        <f ca="1">IFERROR(__xludf.DUMMYFUNCTION("""COMPUTED_VALUE"""),"004/2025")</f>
        <v>004/2025</v>
      </c>
      <c r="F203" s="2" t="str">
        <f ca="1">IFERROR(__xludf.DUMMYFUNCTION("""COMPUTED_VALUE"""),"JOAO PESSOA")</f>
        <v>JOAO PESSOA</v>
      </c>
      <c r="G203" s="11" t="str">
        <f ca="1">IFERROR(__xludf.DUMMYFUNCTION("""COMPUTED_VALUE"""),"AGENTE DE DESENVOLVIMENTO COOPERATIVISTA")</f>
        <v>AGENTE DE DESENVOLVIMENTO COOPERATIVISTA</v>
      </c>
      <c r="H203" s="11" t="str">
        <f ca="1">IFERROR(__xludf.DUMMYFUNCTION("""COMPUTED_VALUE"""),"GERENCIA EXECUTIVA DE RESSOCIALIZACAO ( SEAP)")</f>
        <v>GERENCIA EXECUTIVA DE RESSOCIALIZACAO ( SEAP)</v>
      </c>
      <c r="I203" s="2" t="str">
        <f ca="1">IFERROR(__xludf.DUMMYFUNCTION("""COMPUTED_VALUE"""),"TARDE")</f>
        <v>TARDE</v>
      </c>
      <c r="J203" s="47">
        <f ca="1">IFERROR(__xludf.DUMMYFUNCTION("""COMPUTED_VALUE"""),1)</f>
        <v>1</v>
      </c>
      <c r="K203" s="2" t="str">
        <f ca="1">IFERROR(__xludf.DUMMYFUNCTION("""COMPUTED_VALUE"""),"POSSE INVALIDADA")</f>
        <v>POSSE INVALIDADA</v>
      </c>
      <c r="L203" s="10" t="str">
        <f ca="1">IFERROR(__xludf.DUMMYFUNCTION("""COMPUTED_VALUE"""),"OPTOU POR OUTRO VINCULO")</f>
        <v>OPTOU POR OUTRO VINCULO</v>
      </c>
      <c r="M203" s="9" t="str">
        <f ca="1">IFERROR(__xludf.DUMMYFUNCTION("""COMPUTED_VALUE"""),"llippebarreto@hotmail.com")</f>
        <v>llippebarreto@hotmail.com</v>
      </c>
      <c r="N203" s="2" t="str">
        <f ca="1">IFERROR(__xludf.DUMMYFUNCTION("""COMPUTED_VALUE"""),"lippebarreto@hotmail.com")</f>
        <v>lippebarreto@hotmail.com</v>
      </c>
      <c r="O203" s="2" t="str">
        <f ca="1">IFERROR(__xludf.DUMMYFUNCTION("""COMPUTED_VALUE"""),"(83)99614-7448")</f>
        <v>(83)99614-7448</v>
      </c>
      <c r="P203" s="2"/>
      <c r="Q203" s="50"/>
      <c r="R203" s="50"/>
      <c r="S203" s="2" t="str">
        <f ca="1">IFERROR(VLOOKUP(A203,IMPORT_DESISTENCIA!$A$2:$Q2273,14,0),"NÃO")</f>
        <v>NÃO</v>
      </c>
      <c r="T203" s="35"/>
    </row>
    <row r="204" spans="1:20" ht="45" customHeight="1" x14ac:dyDescent="0.25">
      <c r="A204" s="2" t="str">
        <f t="shared" ca="1" si="1"/>
        <v>004/2025/055.870.144-28</v>
      </c>
      <c r="B204" s="2" t="str">
        <f ca="1">IFERROR(__xludf.DUMMYFUNCTION("""COMPUTED_VALUE"""),"055.870.144-28")</f>
        <v>055.870.144-28</v>
      </c>
      <c r="C204" s="43" t="str">
        <f ca="1">IFERROR(__xludf.DUMMYFUNCTION("""COMPUTED_VALUE"""),"DANUBIA LEITE FERREIRA")</f>
        <v>DANUBIA LEITE FERREIRA</v>
      </c>
      <c r="D204" s="2" t="str">
        <f ca="1">IFERROR(__xludf.DUMMYFUNCTION("""COMPUTED_VALUE"""),"PROFESSOR")</f>
        <v>PROFESSOR</v>
      </c>
      <c r="E204" s="2" t="str">
        <f ca="1">IFERROR(__xludf.DUMMYFUNCTION("""COMPUTED_VALUE"""),"004/2025")</f>
        <v>004/2025</v>
      </c>
      <c r="F204" s="2" t="str">
        <f ca="1">IFERROR(__xludf.DUMMYFUNCTION("""COMPUTED_VALUE"""),"JOAO PESSOA")</f>
        <v>JOAO PESSOA</v>
      </c>
      <c r="G204" s="11" t="str">
        <f ca="1">IFERROR(__xludf.DUMMYFUNCTION("""COMPUTED_VALUE"""),"AGENTE DE DESENVOLVIMENTO COOPERATIVISTA")</f>
        <v>AGENTE DE DESENVOLVIMENTO COOPERATIVISTA</v>
      </c>
      <c r="H204" s="11" t="str">
        <f ca="1">IFERROR(__xludf.DUMMYFUNCTION("""COMPUTED_VALUE"""),"GERENCIA EXECUTIVA DE RESSOCIALIZACAO ( SEAP)")</f>
        <v>GERENCIA EXECUTIVA DE RESSOCIALIZACAO ( SEAP)</v>
      </c>
      <c r="I204" s="2" t="str">
        <f ca="1">IFERROR(__xludf.DUMMYFUNCTION("""COMPUTED_VALUE"""),"TARDE")</f>
        <v>TARDE</v>
      </c>
      <c r="J204" s="47">
        <f ca="1">IFERROR(__xludf.DUMMYFUNCTION("""COMPUTED_VALUE"""),2)</f>
        <v>2</v>
      </c>
      <c r="K204" s="2" t="str">
        <f ca="1">IFERROR(__xludf.DUMMYFUNCTION("""COMPUTED_VALUE"""),"POSSE VALIDADA")</f>
        <v>POSSE VALIDADA</v>
      </c>
      <c r="L204" s="10"/>
      <c r="M204" s="9" t="str">
        <f ca="1">IFERROR(__xludf.DUMMYFUNCTION("""COMPUTED_VALUE"""),"danubialeite14@gmail.com")</f>
        <v>danubialeite14@gmail.com</v>
      </c>
      <c r="N204" s="2" t="str">
        <f ca="1">IFERROR(__xludf.DUMMYFUNCTION("""COMPUTED_VALUE"""),"danubialeite86@hotmail.com")</f>
        <v>danubialeite86@hotmail.com</v>
      </c>
      <c r="O204" s="2" t="str">
        <f ca="1">IFERROR(__xludf.DUMMYFUNCTION("""COMPUTED_VALUE"""),"(83)98894-3761")</f>
        <v>(83)98894-3761</v>
      </c>
      <c r="P204" s="2" t="str">
        <f ca="1">IFERROR(__xludf.DUMMYFUNCTION("""COMPUTED_VALUE"""),"(83)988014480")</f>
        <v>(83)988014480</v>
      </c>
      <c r="Q204" s="50" t="str">
        <f ca="1">IFERROR(__xludf.DUMMYFUNCTION("""COMPUTED_VALUE"""),"05/05/2025")</f>
        <v>05/05/2025</v>
      </c>
      <c r="R204" s="50"/>
      <c r="S204" s="2" t="str">
        <f ca="1">IFERROR(VLOOKUP(A204,IMPORT_DESISTENCIA!$A$2:$Q2273,14,0),"NÃO")</f>
        <v>NÃO</v>
      </c>
      <c r="T204" s="35"/>
    </row>
    <row r="205" spans="1:20" ht="45" customHeight="1" x14ac:dyDescent="0.25">
      <c r="A205" s="2" t="str">
        <f t="shared" ca="1" si="1"/>
        <v>004/2025/008.246.781-17</v>
      </c>
      <c r="B205" s="2" t="str">
        <f ca="1">IFERROR(__xludf.DUMMYFUNCTION("""COMPUTED_VALUE"""),"008.246.781-17")</f>
        <v>008.246.781-17</v>
      </c>
      <c r="C205" s="43" t="str">
        <f ca="1">IFERROR(__xludf.DUMMYFUNCTION("""COMPUTED_VALUE"""),"RAISSY KELLY DA SILVA MORAIS")</f>
        <v>RAISSY KELLY DA SILVA MORAIS</v>
      </c>
      <c r="D205" s="2" t="str">
        <f ca="1">IFERROR(__xludf.DUMMYFUNCTION("""COMPUTED_VALUE"""),"PROFESSOR")</f>
        <v>PROFESSOR</v>
      </c>
      <c r="E205" s="2" t="str">
        <f ca="1">IFERROR(__xludf.DUMMYFUNCTION("""COMPUTED_VALUE"""),"004/2025")</f>
        <v>004/2025</v>
      </c>
      <c r="F205" s="2" t="str">
        <f ca="1">IFERROR(__xludf.DUMMYFUNCTION("""COMPUTED_VALUE"""),"JOAO PESSOA")</f>
        <v>JOAO PESSOA</v>
      </c>
      <c r="G205" s="11" t="str">
        <f ca="1">IFERROR(__xludf.DUMMYFUNCTION("""COMPUTED_VALUE"""),"AGENTE DE DESENVOLVIMENTO COOPERATIVISTA")</f>
        <v>AGENTE DE DESENVOLVIMENTO COOPERATIVISTA</v>
      </c>
      <c r="H205" s="11" t="str">
        <f ca="1">IFERROR(__xludf.DUMMYFUNCTION("""COMPUTED_VALUE"""),"GERENCIA EXECUTIVA DE RESSOCIALIZACAO ( SEAP)")</f>
        <v>GERENCIA EXECUTIVA DE RESSOCIALIZACAO ( SEAP)</v>
      </c>
      <c r="I205" s="2" t="str">
        <f ca="1">IFERROR(__xludf.DUMMYFUNCTION("""COMPUTED_VALUE"""),"TARDE")</f>
        <v>TARDE</v>
      </c>
      <c r="J205" s="47">
        <f ca="1">IFERROR(__xludf.DUMMYFUNCTION("""COMPUTED_VALUE"""),3)</f>
        <v>3</v>
      </c>
      <c r="K205" s="2"/>
      <c r="L205" s="10"/>
      <c r="M205" s="9" t="str">
        <f ca="1">IFERROR(__xludf.DUMMYFUNCTION("""COMPUTED_VALUE"""),"raissykelly@gmail.com")</f>
        <v>raissykelly@gmail.com</v>
      </c>
      <c r="N205" s="2" t="str">
        <f ca="1">IFERROR(__xludf.DUMMYFUNCTION("""COMPUTED_VALUE"""),"moendaluz@gmail.com")</f>
        <v>moendaluz@gmail.com</v>
      </c>
      <c r="O205" s="2" t="str">
        <f ca="1">IFERROR(__xludf.DUMMYFUNCTION("""COMPUTED_VALUE"""),"(83)987446984")</f>
        <v>(83)987446984</v>
      </c>
      <c r="P205" s="2"/>
      <c r="Q205" s="50"/>
      <c r="R205" s="50"/>
      <c r="S205" s="2" t="str">
        <f ca="1">IFERROR(VLOOKUP(A205,IMPORT_DESISTENCIA!$A$2:$Q2273,14,0),"NÃO")</f>
        <v>NÃO</v>
      </c>
      <c r="T205" s="35"/>
    </row>
    <row r="206" spans="1:20" ht="45" customHeight="1" x14ac:dyDescent="0.25">
      <c r="A206" s="2" t="str">
        <f t="shared" ca="1" si="1"/>
        <v>004/2025/089.903.584-18</v>
      </c>
      <c r="B206" s="2" t="str">
        <f ca="1">IFERROR(__xludf.DUMMYFUNCTION("""COMPUTED_VALUE"""),"089.903.584-18")</f>
        <v>089.903.584-18</v>
      </c>
      <c r="C206" s="43" t="str">
        <f ca="1">IFERROR(__xludf.DUMMYFUNCTION("""COMPUTED_VALUE"""),"LIDIANE ARAUJO DO NASCIMENTO")</f>
        <v>LIDIANE ARAUJO DO NASCIMENTO</v>
      </c>
      <c r="D206" s="2" t="str">
        <f ca="1">IFERROR(__xludf.DUMMYFUNCTION("""COMPUTED_VALUE"""),"PROFESSOR")</f>
        <v>PROFESSOR</v>
      </c>
      <c r="E206" s="2" t="str">
        <f ca="1">IFERROR(__xludf.DUMMYFUNCTION("""COMPUTED_VALUE"""),"004/2025")</f>
        <v>004/2025</v>
      </c>
      <c r="F206" s="2" t="str">
        <f ca="1">IFERROR(__xludf.DUMMYFUNCTION("""COMPUTED_VALUE"""),"JOAO PESSOA")</f>
        <v>JOAO PESSOA</v>
      </c>
      <c r="G206" s="11" t="str">
        <f ca="1">IFERROR(__xludf.DUMMYFUNCTION("""COMPUTED_VALUE"""),"AGENTE DE DESENVOLVIMENTO COOPERATIVISTA")</f>
        <v>AGENTE DE DESENVOLVIMENTO COOPERATIVISTA</v>
      </c>
      <c r="H206" s="11" t="str">
        <f ca="1">IFERROR(__xludf.DUMMYFUNCTION("""COMPUTED_VALUE"""),"GERENCIA EXECUTIVA DE RESSOCIALIZACAO ( SEAP)")</f>
        <v>GERENCIA EXECUTIVA DE RESSOCIALIZACAO ( SEAP)</v>
      </c>
      <c r="I206" s="2" t="str">
        <f ca="1">IFERROR(__xludf.DUMMYFUNCTION("""COMPUTED_VALUE"""),"TARDE")</f>
        <v>TARDE</v>
      </c>
      <c r="J206" s="47">
        <f ca="1">IFERROR(__xludf.DUMMYFUNCTION("""COMPUTED_VALUE"""),4)</f>
        <v>4</v>
      </c>
      <c r="K206" s="2"/>
      <c r="L206" s="10"/>
      <c r="M206" s="9" t="str">
        <f ca="1">IFERROR(__xludf.DUMMYFUNCTION("""COMPUTED_VALUE"""),"lidianearaujonascimento9@gmail.com")</f>
        <v>lidianearaujonascimento9@gmail.com</v>
      </c>
      <c r="N206" s="2"/>
      <c r="O206" s="2" t="str">
        <f ca="1">IFERROR(__xludf.DUMMYFUNCTION("""COMPUTED_VALUE"""),"(83)99118-0997")</f>
        <v>(83)99118-0997</v>
      </c>
      <c r="P206" s="2" t="str">
        <f ca="1">IFERROR(__xludf.DUMMYFUNCTION("""COMPUTED_VALUE"""),"(83)99118-0997")</f>
        <v>(83)99118-0997</v>
      </c>
      <c r="Q206" s="50"/>
      <c r="R206" s="50"/>
      <c r="S206" s="2" t="str">
        <f ca="1">IFERROR(VLOOKUP(A206,IMPORT_DESISTENCIA!$A$2:$Q2273,14,0),"NÃO")</f>
        <v>NÃO</v>
      </c>
      <c r="T206" s="35"/>
    </row>
    <row r="207" spans="1:20" ht="45" customHeight="1" x14ac:dyDescent="0.25">
      <c r="A207" s="2" t="str">
        <f t="shared" ca="1" si="1"/>
        <v>004/2025/570.326.294-15</v>
      </c>
      <c r="B207" s="2" t="str">
        <f ca="1">IFERROR(__xludf.DUMMYFUNCTION("""COMPUTED_VALUE"""),"570.326.294-15")</f>
        <v>570.326.294-15</v>
      </c>
      <c r="C207" s="43" t="str">
        <f ca="1">IFERROR(__xludf.DUMMYFUNCTION("""COMPUTED_VALUE"""),"CARLOS HENRIQUE CUNHA PEIXOTO")</f>
        <v>CARLOS HENRIQUE CUNHA PEIXOTO</v>
      </c>
      <c r="D207" s="2" t="str">
        <f ca="1">IFERROR(__xludf.DUMMYFUNCTION("""COMPUTED_VALUE"""),"PROFESSOR")</f>
        <v>PROFESSOR</v>
      </c>
      <c r="E207" s="2" t="str">
        <f ca="1">IFERROR(__xludf.DUMMYFUNCTION("""COMPUTED_VALUE"""),"004/2025")</f>
        <v>004/2025</v>
      </c>
      <c r="F207" s="2" t="str">
        <f ca="1">IFERROR(__xludf.DUMMYFUNCTION("""COMPUTED_VALUE"""),"JOAO PESSOA")</f>
        <v>JOAO PESSOA</v>
      </c>
      <c r="G207" s="11" t="str">
        <f ca="1">IFERROR(__xludf.DUMMYFUNCTION("""COMPUTED_VALUE"""),"COSTUREIRO DE MAQUINA RETA E OVERLOQUE")</f>
        <v>COSTUREIRO DE MAQUINA RETA E OVERLOQUE</v>
      </c>
      <c r="H207" s="11" t="str">
        <f ca="1">IFERROR(__xludf.DUMMYFUNCTION("""COMPUTED_VALUE"""),"PENITENCIARIA DE REEDUCACAO FEMININA MARIA JULIA MARANHAO")</f>
        <v>PENITENCIARIA DE REEDUCACAO FEMININA MARIA JULIA MARANHAO</v>
      </c>
      <c r="I207" s="2" t="str">
        <f ca="1">IFERROR(__xludf.DUMMYFUNCTION("""COMPUTED_VALUE"""),"TARDE")</f>
        <v>TARDE</v>
      </c>
      <c r="J207" s="47">
        <f ca="1">IFERROR(__xludf.DUMMYFUNCTION("""COMPUTED_VALUE"""),1)</f>
        <v>1</v>
      </c>
      <c r="K207" s="2" t="str">
        <f ca="1">IFERROR(__xludf.DUMMYFUNCTION("""COMPUTED_VALUE"""),"POSSE VALIDADA")</f>
        <v>POSSE VALIDADA</v>
      </c>
      <c r="L207" s="10"/>
      <c r="M207" s="9" t="str">
        <f ca="1">IFERROR(__xludf.DUMMYFUNCTION("""COMPUTED_VALUE"""),"kaikpeixoto@gmail.com")</f>
        <v>kaikpeixoto@gmail.com</v>
      </c>
      <c r="N207" s="2" t="str">
        <f ca="1">IFERROR(__xludf.DUMMYFUNCTION("""COMPUTED_VALUE"""),"kaikzootecnista@gmail.com")</f>
        <v>kaikzootecnista@gmail.com</v>
      </c>
      <c r="O207" s="2" t="str">
        <f ca="1">IFERROR(__xludf.DUMMYFUNCTION("""COMPUTED_VALUE"""),"(83)98837-0394")</f>
        <v>(83)98837-0394</v>
      </c>
      <c r="P207" s="2" t="str">
        <f ca="1">IFERROR(__xludf.DUMMYFUNCTION("""COMPUTED_VALUE"""),"(83)98804-5251")</f>
        <v>(83)98804-5251</v>
      </c>
      <c r="Q207" s="50" t="str">
        <f ca="1">IFERROR(__xludf.DUMMYFUNCTION("""COMPUTED_VALUE"""),"22/04/2025")</f>
        <v>22/04/2025</v>
      </c>
      <c r="R207" s="50"/>
      <c r="S207" s="2" t="str">
        <f ca="1">IFERROR(VLOOKUP(A207,IMPORT_DESISTENCIA!$A$2:$Q2273,14,0),"NÃO")</f>
        <v>NÃO</v>
      </c>
      <c r="T207" s="35"/>
    </row>
    <row r="208" spans="1:20" ht="45" customHeight="1" x14ac:dyDescent="0.25">
      <c r="A208" s="2" t="str">
        <f t="shared" ca="1" si="1"/>
        <v>004/2025/093.701.694-23</v>
      </c>
      <c r="B208" s="2" t="str">
        <f ca="1">IFERROR(__xludf.DUMMYFUNCTION("""COMPUTED_VALUE"""),"093.701.694-23")</f>
        <v>093.701.694-23</v>
      </c>
      <c r="C208" s="43" t="str">
        <f ca="1">IFERROR(__xludf.DUMMYFUNCTION("""COMPUTED_VALUE"""),"EDUARDO LOPES MARQUES XAVIER")</f>
        <v>EDUARDO LOPES MARQUES XAVIER</v>
      </c>
      <c r="D208" s="2" t="str">
        <f ca="1">IFERROR(__xludf.DUMMYFUNCTION("""COMPUTED_VALUE"""),"PROFESSOR")</f>
        <v>PROFESSOR</v>
      </c>
      <c r="E208" s="2" t="str">
        <f ca="1">IFERROR(__xludf.DUMMYFUNCTION("""COMPUTED_VALUE"""),"004/2025")</f>
        <v>004/2025</v>
      </c>
      <c r="F208" s="2" t="str">
        <f ca="1">IFERROR(__xludf.DUMMYFUNCTION("""COMPUTED_VALUE"""),"JOAO PESSOA")</f>
        <v>JOAO PESSOA</v>
      </c>
      <c r="G208" s="11" t="str">
        <f ca="1">IFERROR(__xludf.DUMMYFUNCTION("""COMPUTED_VALUE"""),"CUIDADOR DE IDOSO")</f>
        <v>CUIDADOR DE IDOSO</v>
      </c>
      <c r="H208" s="11" t="str">
        <f ca="1">IFERROR(__xludf.DUMMYFUNCTION("""COMPUTED_VALUE"""),"ASSOCIACAO BENEFICENTE MULHERES DO BEM - ALTO DO MATEUS")</f>
        <v>ASSOCIACAO BENEFICENTE MULHERES DO BEM - ALTO DO MATEUS</v>
      </c>
      <c r="I208" s="2" t="str">
        <f ca="1">IFERROR(__xludf.DUMMYFUNCTION("""COMPUTED_VALUE"""),"NOITE")</f>
        <v>NOITE</v>
      </c>
      <c r="J208" s="47">
        <f ca="1">IFERROR(__xludf.DUMMYFUNCTION("""COMPUTED_VALUE"""),1)</f>
        <v>1</v>
      </c>
      <c r="K208" s="2" t="str">
        <f ca="1">IFERROR(__xludf.DUMMYFUNCTION("""COMPUTED_VALUE"""),"POSSE VALIDADA")</f>
        <v>POSSE VALIDADA</v>
      </c>
      <c r="L208" s="10"/>
      <c r="M208" s="9" t="str">
        <f ca="1">IFERROR(__xludf.DUMMYFUNCTION("""COMPUTED_VALUE"""),"eduardolmx20@gmail.com")</f>
        <v>eduardolmx20@gmail.com</v>
      </c>
      <c r="N208" s="2" t="str">
        <f ca="1">IFERROR(__xludf.DUMMYFUNCTION("""COMPUTED_VALUE"""),"eduardolmx20@hotmail.com")</f>
        <v>eduardolmx20@hotmail.com</v>
      </c>
      <c r="O208" s="2" t="str">
        <f ca="1">IFERROR(__xludf.DUMMYFUNCTION("""COMPUTED_VALUE"""),"(83)996314340")</f>
        <v>(83)996314340</v>
      </c>
      <c r="P208" s="2" t="str">
        <f ca="1">IFERROR(__xludf.DUMMYFUNCTION("""COMPUTED_VALUE"""),"(83)988587443")</f>
        <v>(83)988587443</v>
      </c>
      <c r="Q208" s="50" t="str">
        <f ca="1">IFERROR(__xludf.DUMMYFUNCTION("""COMPUTED_VALUE"""),"23/04/2025")</f>
        <v>23/04/2025</v>
      </c>
      <c r="R208" s="50"/>
      <c r="S208" s="2" t="str">
        <f ca="1">IFERROR(VLOOKUP(A208,IMPORT_DESISTENCIA!$A$2:$Q2273,14,0),"NÃO")</f>
        <v>NÃO</v>
      </c>
      <c r="T208" s="35"/>
    </row>
    <row r="209" spans="1:20" ht="45" customHeight="1" x14ac:dyDescent="0.25">
      <c r="A209" s="2" t="str">
        <f t="shared" ca="1" si="1"/>
        <v>004/2025/700.876.354-96</v>
      </c>
      <c r="B209" s="2" t="str">
        <f ca="1">IFERROR(__xludf.DUMMYFUNCTION("""COMPUTED_VALUE"""),"700.876.354-96")</f>
        <v>700.876.354-96</v>
      </c>
      <c r="C209" s="43" t="str">
        <f ca="1">IFERROR(__xludf.DUMMYFUNCTION("""COMPUTED_VALUE"""),"ILAURA EDUARDA DE SOUZA GOMES")</f>
        <v>ILAURA EDUARDA DE SOUZA GOMES</v>
      </c>
      <c r="D209" s="2" t="str">
        <f ca="1">IFERROR(__xludf.DUMMYFUNCTION("""COMPUTED_VALUE"""),"PROFESSOR")</f>
        <v>PROFESSOR</v>
      </c>
      <c r="E209" s="2" t="str">
        <f ca="1">IFERROR(__xludf.DUMMYFUNCTION("""COMPUTED_VALUE"""),"004/2025")</f>
        <v>004/2025</v>
      </c>
      <c r="F209" s="2" t="str">
        <f ca="1">IFERROR(__xludf.DUMMYFUNCTION("""COMPUTED_VALUE"""),"JOAO PESSOA")</f>
        <v>JOAO PESSOA</v>
      </c>
      <c r="G209" s="11" t="str">
        <f ca="1">IFERROR(__xludf.DUMMYFUNCTION("""COMPUTED_VALUE"""),"CUIDADOR DE IDOSO")</f>
        <v>CUIDADOR DE IDOSO</v>
      </c>
      <c r="H209" s="11" t="str">
        <f ca="1">IFERROR(__xludf.DUMMYFUNCTION("""COMPUTED_VALUE"""),"ASSOCIACAO BENEFICENTE MULHERES DO BEM - ALTO DO MATEUS")</f>
        <v>ASSOCIACAO BENEFICENTE MULHERES DO BEM - ALTO DO MATEUS</v>
      </c>
      <c r="I209" s="2" t="str">
        <f ca="1">IFERROR(__xludf.DUMMYFUNCTION("""COMPUTED_VALUE"""),"NOITE")</f>
        <v>NOITE</v>
      </c>
      <c r="J209" s="47">
        <f ca="1">IFERROR(__xludf.DUMMYFUNCTION("""COMPUTED_VALUE"""),2)</f>
        <v>2</v>
      </c>
      <c r="K209" s="2"/>
      <c r="L209" s="10"/>
      <c r="M209" s="9" t="str">
        <f ca="1">IFERROR(__xludf.DUMMYFUNCTION("""COMPUTED_VALUE"""),"eduardailaura@gmail.com")</f>
        <v>eduardailaura@gmail.com</v>
      </c>
      <c r="N209" s="2" t="str">
        <f ca="1">IFERROR(__xludf.DUMMYFUNCTION("""COMPUTED_VALUE"""),"eduardailaura@see.pb.gov.br")</f>
        <v>eduardailaura@see.pb.gov.br</v>
      </c>
      <c r="O209" s="2" t="str">
        <f ca="1">IFERROR(__xludf.DUMMYFUNCTION("""COMPUTED_VALUE"""),"(83)98726-8455")</f>
        <v>(83)98726-8455</v>
      </c>
      <c r="P209" s="2" t="str">
        <f ca="1">IFERROR(__xludf.DUMMYFUNCTION("""COMPUTED_VALUE"""),"(83)986200731")</f>
        <v>(83)986200731</v>
      </c>
      <c r="Q209" s="50"/>
      <c r="R209" s="50"/>
      <c r="S209" s="2" t="str">
        <f ca="1">IFERROR(VLOOKUP(A209,IMPORT_DESISTENCIA!$A$2:$Q2273,14,0),"NÃO")</f>
        <v>NÃO</v>
      </c>
      <c r="T209" s="35"/>
    </row>
    <row r="210" spans="1:20" ht="45" customHeight="1" x14ac:dyDescent="0.25">
      <c r="A210" s="2" t="str">
        <f t="shared" ca="1" si="1"/>
        <v>004/2025/022.199.774-12</v>
      </c>
      <c r="B210" s="2" t="str">
        <f ca="1">IFERROR(__xludf.DUMMYFUNCTION("""COMPUTED_VALUE"""),"022.199.774-12")</f>
        <v>022.199.774-12</v>
      </c>
      <c r="C210" s="43" t="str">
        <f ca="1">IFERROR(__xludf.DUMMYFUNCTION("""COMPUTED_VALUE"""),"ERIKA EPAMINONDAS DE SOUSA")</f>
        <v>ERIKA EPAMINONDAS DE SOUSA</v>
      </c>
      <c r="D210" s="2" t="str">
        <f ca="1">IFERROR(__xludf.DUMMYFUNCTION("""COMPUTED_VALUE"""),"PROFESSOR")</f>
        <v>PROFESSOR</v>
      </c>
      <c r="E210" s="2" t="str">
        <f ca="1">IFERROR(__xludf.DUMMYFUNCTION("""COMPUTED_VALUE"""),"004/2025")</f>
        <v>004/2025</v>
      </c>
      <c r="F210" s="2" t="str">
        <f ca="1">IFERROR(__xludf.DUMMYFUNCTION("""COMPUTED_VALUE"""),"JOAO PESSOA")</f>
        <v>JOAO PESSOA</v>
      </c>
      <c r="G210" s="11" t="str">
        <f ca="1">IFERROR(__xludf.DUMMYFUNCTION("""COMPUTED_VALUE"""),"CUIDADOR DE IDOSO")</f>
        <v>CUIDADOR DE IDOSO</v>
      </c>
      <c r="H210" s="11" t="str">
        <f ca="1">IFERROR(__xludf.DUMMYFUNCTION("""COMPUTED_VALUE"""),"ASSOCIACAO BENEFICENTE MULHERES DO BEM - ALTO DO MATEUS")</f>
        <v>ASSOCIACAO BENEFICENTE MULHERES DO BEM - ALTO DO MATEUS</v>
      </c>
      <c r="I210" s="2" t="str">
        <f ca="1">IFERROR(__xludf.DUMMYFUNCTION("""COMPUTED_VALUE"""),"NOITE")</f>
        <v>NOITE</v>
      </c>
      <c r="J210" s="47">
        <f ca="1">IFERROR(__xludf.DUMMYFUNCTION("""COMPUTED_VALUE"""),3)</f>
        <v>3</v>
      </c>
      <c r="K210" s="2"/>
      <c r="L210" s="10"/>
      <c r="M210" s="9" t="str">
        <f ca="1">IFERROR(__xludf.DUMMYFUNCTION("""COMPUTED_VALUE"""),"sousaerikae@gmail.com")</f>
        <v>sousaerikae@gmail.com</v>
      </c>
      <c r="N210" s="2"/>
      <c r="O210" s="2" t="str">
        <f ca="1">IFERROR(__xludf.DUMMYFUNCTION("""COMPUTED_VALUE"""),"(83)986301977")</f>
        <v>(83)986301977</v>
      </c>
      <c r="P210" s="2"/>
      <c r="Q210" s="50"/>
      <c r="R210" s="50"/>
      <c r="S210" s="2" t="str">
        <f ca="1">IFERROR(VLOOKUP(A210,IMPORT_DESISTENCIA!$A$2:$Q2273,14,0),"NÃO")</f>
        <v>NÃO</v>
      </c>
      <c r="T210" s="35"/>
    </row>
    <row r="211" spans="1:20" ht="45" customHeight="1" x14ac:dyDescent="0.25">
      <c r="A211" s="2" t="str">
        <f t="shared" ca="1" si="1"/>
        <v>004/2025/092.911.264-46</v>
      </c>
      <c r="B211" s="2" t="str">
        <f ca="1">IFERROR(__xludf.DUMMYFUNCTION("""COMPUTED_VALUE"""),"092.911.264-46")</f>
        <v>092.911.264-46</v>
      </c>
      <c r="C211" s="43" t="str">
        <f ca="1">IFERROR(__xludf.DUMMYFUNCTION("""COMPUTED_VALUE"""),"TAMELA COSTA")</f>
        <v>TAMELA COSTA</v>
      </c>
      <c r="D211" s="2" t="str">
        <f ca="1">IFERROR(__xludf.DUMMYFUNCTION("""COMPUTED_VALUE"""),"PROFESSOR")</f>
        <v>PROFESSOR</v>
      </c>
      <c r="E211" s="2" t="str">
        <f ca="1">IFERROR(__xludf.DUMMYFUNCTION("""COMPUTED_VALUE"""),"004/2025")</f>
        <v>004/2025</v>
      </c>
      <c r="F211" s="2" t="str">
        <f ca="1">IFERROR(__xludf.DUMMYFUNCTION("""COMPUTED_VALUE"""),"JOAO PESSOA")</f>
        <v>JOAO PESSOA</v>
      </c>
      <c r="G211" s="11" t="str">
        <f ca="1">IFERROR(__xludf.DUMMYFUNCTION("""COMPUTED_VALUE"""),"CUIDADOR DE IDOSO")</f>
        <v>CUIDADOR DE IDOSO</v>
      </c>
      <c r="H211" s="11" t="str">
        <f ca="1">IFERROR(__xludf.DUMMYFUNCTION("""COMPUTED_VALUE"""),"ASSOCIACAO BENEFICENTE MULHERES DO BEM - ALTO DO MATEUS")</f>
        <v>ASSOCIACAO BENEFICENTE MULHERES DO BEM - ALTO DO MATEUS</v>
      </c>
      <c r="I211" s="2" t="str">
        <f ca="1">IFERROR(__xludf.DUMMYFUNCTION("""COMPUTED_VALUE"""),"NOITE")</f>
        <v>NOITE</v>
      </c>
      <c r="J211" s="47">
        <f ca="1">IFERROR(__xludf.DUMMYFUNCTION("""COMPUTED_VALUE"""),4)</f>
        <v>4</v>
      </c>
      <c r="K211" s="2"/>
      <c r="L211" s="10"/>
      <c r="M211" s="9" t="str">
        <f ca="1">IFERROR(__xludf.DUMMYFUNCTION("""COMPUTED_VALUE"""),"prof.tamela@gmail.com")</f>
        <v>prof.tamela@gmail.com</v>
      </c>
      <c r="N211" s="2" t="str">
        <f ca="1">IFERROR(__xludf.DUMMYFUNCTION("""COMPUTED_VALUE"""),"doutorado.tamela@gmail.com")</f>
        <v>doutorado.tamela@gmail.com</v>
      </c>
      <c r="O211" s="2" t="str">
        <f ca="1">IFERROR(__xludf.DUMMYFUNCTION("""COMPUTED_VALUE"""),"(83)988385742")</f>
        <v>(83)988385742</v>
      </c>
      <c r="P211" s="2" t="str">
        <f ca="1">IFERROR(__xludf.DUMMYFUNCTION("""COMPUTED_VALUE"""),"(83)988067096")</f>
        <v>(83)988067096</v>
      </c>
      <c r="Q211" s="50"/>
      <c r="R211" s="50"/>
      <c r="S211" s="2" t="str">
        <f ca="1">IFERROR(VLOOKUP(A211,IMPORT_DESISTENCIA!$A$2:$Q2273,14,0),"NÃO")</f>
        <v>NÃO</v>
      </c>
      <c r="T211" s="35"/>
    </row>
    <row r="212" spans="1:20" ht="45" customHeight="1" x14ac:dyDescent="0.25">
      <c r="A212" s="2" t="str">
        <f t="shared" ca="1" si="1"/>
        <v>004/2025/055.424.944-80</v>
      </c>
      <c r="B212" s="2" t="str">
        <f ca="1">IFERROR(__xludf.DUMMYFUNCTION("""COMPUTED_VALUE"""),"055.424.944-80")</f>
        <v>055.424.944-80</v>
      </c>
      <c r="C212" s="43" t="str">
        <f ca="1">IFERROR(__xludf.DUMMYFUNCTION("""COMPUTED_VALUE"""),"AMANDA FELIX DA SILVA")</f>
        <v>AMANDA FELIX DA SILVA</v>
      </c>
      <c r="D212" s="2" t="str">
        <f ca="1">IFERROR(__xludf.DUMMYFUNCTION("""COMPUTED_VALUE"""),"PROFESSOR")</f>
        <v>PROFESSOR</v>
      </c>
      <c r="E212" s="2" t="str">
        <f ca="1">IFERROR(__xludf.DUMMYFUNCTION("""COMPUTED_VALUE"""),"004/2025")</f>
        <v>004/2025</v>
      </c>
      <c r="F212" s="2" t="str">
        <f ca="1">IFERROR(__xludf.DUMMYFUNCTION("""COMPUTED_VALUE"""),"JOAO PESSOA")</f>
        <v>JOAO PESSOA</v>
      </c>
      <c r="G212" s="11" t="str">
        <f ca="1">IFERROR(__xludf.DUMMYFUNCTION("""COMPUTED_VALUE"""),"CUIDADOR INFANTIL")</f>
        <v>CUIDADOR INFANTIL</v>
      </c>
      <c r="H212" s="11" t="str">
        <f ca="1">IFERROR(__xludf.DUMMYFUNCTION("""COMPUTED_VALUE"""),"CENTRO SOCIAL URBANO MONSENHOR JOSE COUTINHO - BAIRRO DOS IPES")</f>
        <v>CENTRO SOCIAL URBANO MONSENHOR JOSE COUTINHO - BAIRRO DOS IPES</v>
      </c>
      <c r="I212" s="2" t="str">
        <f ca="1">IFERROR(__xludf.DUMMYFUNCTION("""COMPUTED_VALUE"""),"TARDE")</f>
        <v>TARDE</v>
      </c>
      <c r="J212" s="47">
        <f ca="1">IFERROR(__xludf.DUMMYFUNCTION("""COMPUTED_VALUE"""),1)</f>
        <v>1</v>
      </c>
      <c r="K212" s="2"/>
      <c r="L212" s="10"/>
      <c r="M212" s="9" t="str">
        <f ca="1">IFERROR(__xludf.DUMMYFUNCTION("""COMPUTED_VALUE"""),"amaedu.org@gmail.com")</f>
        <v>amaedu.org@gmail.com</v>
      </c>
      <c r="N212" s="2"/>
      <c r="O212" s="2" t="str">
        <f ca="1">IFERROR(__xludf.DUMMYFUNCTION("""COMPUTED_VALUE"""),"(81)99122-7900")</f>
        <v>(81)99122-7900</v>
      </c>
      <c r="P212" s="2"/>
      <c r="Q212" s="50"/>
      <c r="R212" s="50"/>
      <c r="S212" s="2" t="str">
        <f ca="1">IFERROR(VLOOKUP(A212,IMPORT_DESISTENCIA!$A$2:$Q2273,14,0),"NÃO")</f>
        <v>NÃO</v>
      </c>
      <c r="T212" s="35"/>
    </row>
    <row r="213" spans="1:20" ht="45" customHeight="1" x14ac:dyDescent="0.25">
      <c r="A213" s="2" t="str">
        <f t="shared" ca="1" si="1"/>
        <v>004/2025/110.746.464-10</v>
      </c>
      <c r="B213" s="2" t="str">
        <f ca="1">IFERROR(__xludf.DUMMYFUNCTION("""COMPUTED_VALUE"""),"110.746.464-10")</f>
        <v>110.746.464-10</v>
      </c>
      <c r="C213" s="43" t="str">
        <f ca="1">IFERROR(__xludf.DUMMYFUNCTION("""COMPUTED_VALUE"""),"MARIA RITA CHAVES PEREIRA NUNES")</f>
        <v>MARIA RITA CHAVES PEREIRA NUNES</v>
      </c>
      <c r="D213" s="2" t="str">
        <f ca="1">IFERROR(__xludf.DUMMYFUNCTION("""COMPUTED_VALUE"""),"PROFESSOR")</f>
        <v>PROFESSOR</v>
      </c>
      <c r="E213" s="2" t="str">
        <f ca="1">IFERROR(__xludf.DUMMYFUNCTION("""COMPUTED_VALUE"""),"004/2025")</f>
        <v>004/2025</v>
      </c>
      <c r="F213" s="2" t="str">
        <f ca="1">IFERROR(__xludf.DUMMYFUNCTION("""COMPUTED_VALUE"""),"JOAO PESSOA")</f>
        <v>JOAO PESSOA</v>
      </c>
      <c r="G213" s="11" t="str">
        <f ca="1">IFERROR(__xludf.DUMMYFUNCTION("""COMPUTED_VALUE"""),"CUIDADOR INFANTIL")</f>
        <v>CUIDADOR INFANTIL</v>
      </c>
      <c r="H213" s="11" t="str">
        <f ca="1">IFERROR(__xludf.DUMMYFUNCTION("""COMPUTED_VALUE"""),"CENTRO SOCIAL URBANO MONSENHOR JOSE COUTINHO - BAIRRO DOS IPES")</f>
        <v>CENTRO SOCIAL URBANO MONSENHOR JOSE COUTINHO - BAIRRO DOS IPES</v>
      </c>
      <c r="I213" s="2" t="str">
        <f ca="1">IFERROR(__xludf.DUMMYFUNCTION("""COMPUTED_VALUE"""),"TARDE")</f>
        <v>TARDE</v>
      </c>
      <c r="J213" s="47">
        <f ca="1">IFERROR(__xludf.DUMMYFUNCTION("""COMPUTED_VALUE"""),2)</f>
        <v>2</v>
      </c>
      <c r="K213" s="2" t="str">
        <f ca="1">IFERROR(__xludf.DUMMYFUNCTION("""COMPUTED_VALUE"""),"POSSE VALIDADA")</f>
        <v>POSSE VALIDADA</v>
      </c>
      <c r="L213" s="10"/>
      <c r="M213" s="9" t="str">
        <f ca="1">IFERROR(__xludf.DUMMYFUNCTION("""COMPUTED_VALUE"""),"ritinhachaves4@gmail.com")</f>
        <v>ritinhachaves4@gmail.com</v>
      </c>
      <c r="N213" s="2"/>
      <c r="O213" s="2" t="str">
        <f ca="1">IFERROR(__xludf.DUMMYFUNCTION("""COMPUTED_VALUE"""),"(83)99893-9196")</f>
        <v>(83)99893-9196</v>
      </c>
      <c r="P213" s="2" t="str">
        <f ca="1">IFERROR(__xludf.DUMMYFUNCTION("""COMPUTED_VALUE"""),"(83)99908-5912")</f>
        <v>(83)99908-5912</v>
      </c>
      <c r="Q213" s="50" t="str">
        <f ca="1">IFERROR(__xludf.DUMMYFUNCTION("""COMPUTED_VALUE"""),"30/04/2025")</f>
        <v>30/04/2025</v>
      </c>
      <c r="R213" s="50"/>
      <c r="S213" s="2" t="str">
        <f ca="1">IFERROR(VLOOKUP(A213,IMPORT_DESISTENCIA!$A$2:$Q2273,14,0),"NÃO")</f>
        <v>NÃO</v>
      </c>
      <c r="T213" s="35"/>
    </row>
    <row r="214" spans="1:20" ht="45" customHeight="1" x14ac:dyDescent="0.25">
      <c r="A214" s="2" t="str">
        <f t="shared" ca="1" si="1"/>
        <v>004/2025/061.884.264-05</v>
      </c>
      <c r="B214" s="2" t="str">
        <f ca="1">IFERROR(__xludf.DUMMYFUNCTION("""COMPUTED_VALUE"""),"061.884.264-05")</f>
        <v>061.884.264-05</v>
      </c>
      <c r="C214" s="43" t="str">
        <f ca="1">IFERROR(__xludf.DUMMYFUNCTION("""COMPUTED_VALUE"""),"IVANEIDE SOUSA DOS SANTOS")</f>
        <v>IVANEIDE SOUSA DOS SANTOS</v>
      </c>
      <c r="D214" s="2" t="str">
        <f ca="1">IFERROR(__xludf.DUMMYFUNCTION("""COMPUTED_VALUE"""),"PROFESSOR")</f>
        <v>PROFESSOR</v>
      </c>
      <c r="E214" s="2" t="str">
        <f ca="1">IFERROR(__xludf.DUMMYFUNCTION("""COMPUTED_VALUE"""),"004/2025")</f>
        <v>004/2025</v>
      </c>
      <c r="F214" s="2" t="str">
        <f ca="1">IFERROR(__xludf.DUMMYFUNCTION("""COMPUTED_VALUE"""),"JOAO PESSOA")</f>
        <v>JOAO PESSOA</v>
      </c>
      <c r="G214" s="11" t="str">
        <f ca="1">IFERROR(__xludf.DUMMYFUNCTION("""COMPUTED_VALUE"""),"CUIDADOR INFANTIL")</f>
        <v>CUIDADOR INFANTIL</v>
      </c>
      <c r="H214" s="11" t="str">
        <f ca="1">IFERROR(__xludf.DUMMYFUNCTION("""COMPUTED_VALUE"""),"CENTRO SOCIAL URBANO MONSENHOR JOSE COUTINHO - BAIRRO DOS IPES")</f>
        <v>CENTRO SOCIAL URBANO MONSENHOR JOSE COUTINHO - BAIRRO DOS IPES</v>
      </c>
      <c r="I214" s="2" t="str">
        <f ca="1">IFERROR(__xludf.DUMMYFUNCTION("""COMPUTED_VALUE"""),"TARDE")</f>
        <v>TARDE</v>
      </c>
      <c r="J214" s="47">
        <f ca="1">IFERROR(__xludf.DUMMYFUNCTION("""COMPUTED_VALUE"""),3)</f>
        <v>3</v>
      </c>
      <c r="K214" s="2"/>
      <c r="L214" s="10"/>
      <c r="M214" s="9" t="str">
        <f ca="1">IFERROR(__xludf.DUMMYFUNCTION("""COMPUTED_VALUE"""),"neide.2336@hotmail.com")</f>
        <v>neide.2336@hotmail.com</v>
      </c>
      <c r="N214" s="2" t="str">
        <f ca="1">IFERROR(__xludf.DUMMYFUNCTION("""COMPUTED_VALUE"""),"neideprof23@gmail.com")</f>
        <v>neideprof23@gmail.com</v>
      </c>
      <c r="O214" s="2" t="str">
        <f ca="1">IFERROR(__xludf.DUMMYFUNCTION("""COMPUTED_VALUE"""),"(83)98823-1676")</f>
        <v>(83)98823-1676</v>
      </c>
      <c r="P214" s="2"/>
      <c r="Q214" s="50"/>
      <c r="R214" s="50"/>
      <c r="S214" s="2" t="str">
        <f ca="1">IFERROR(VLOOKUP(A214,IMPORT_DESISTENCIA!$A$2:$Q2273,14,0),"NÃO")</f>
        <v>NÃO</v>
      </c>
      <c r="T214" s="35"/>
    </row>
    <row r="215" spans="1:20" ht="45" customHeight="1" x14ac:dyDescent="0.25">
      <c r="A215" s="2" t="str">
        <f t="shared" ca="1" si="1"/>
        <v>004/2025/014.746.622-93</v>
      </c>
      <c r="B215" s="2" t="str">
        <f ca="1">IFERROR(__xludf.DUMMYFUNCTION("""COMPUTED_VALUE"""),"014.746.622-93")</f>
        <v>014.746.622-93</v>
      </c>
      <c r="C215" s="43" t="str">
        <f ca="1">IFERROR(__xludf.DUMMYFUNCTION("""COMPUTED_VALUE"""),"CAMILA ARAUJO CRUZ")</f>
        <v>CAMILA ARAUJO CRUZ</v>
      </c>
      <c r="D215" s="2" t="str">
        <f ca="1">IFERROR(__xludf.DUMMYFUNCTION("""COMPUTED_VALUE"""),"PROFESSOR")</f>
        <v>PROFESSOR</v>
      </c>
      <c r="E215" s="2" t="str">
        <f ca="1">IFERROR(__xludf.DUMMYFUNCTION("""COMPUTED_VALUE"""),"004/2025")</f>
        <v>004/2025</v>
      </c>
      <c r="F215" s="2" t="str">
        <f ca="1">IFERROR(__xludf.DUMMYFUNCTION("""COMPUTED_VALUE"""),"JOAO PESSOA")</f>
        <v>JOAO PESSOA</v>
      </c>
      <c r="G215" s="11" t="str">
        <f ca="1">IFERROR(__xludf.DUMMYFUNCTION("""COMPUTED_VALUE"""),"CUIDADOR INFANTIL")</f>
        <v>CUIDADOR INFANTIL</v>
      </c>
      <c r="H215" s="11" t="str">
        <f ca="1">IFERROR(__xludf.DUMMYFUNCTION("""COMPUTED_VALUE"""),"CENTRO SOCIAL URBANO MONSENHOR JOSE COUTINHO - BAIRRO DOS IPES")</f>
        <v>CENTRO SOCIAL URBANO MONSENHOR JOSE COUTINHO - BAIRRO DOS IPES</v>
      </c>
      <c r="I215" s="2" t="str">
        <f ca="1">IFERROR(__xludf.DUMMYFUNCTION("""COMPUTED_VALUE"""),"TARDE")</f>
        <v>TARDE</v>
      </c>
      <c r="J215" s="47">
        <f ca="1">IFERROR(__xludf.DUMMYFUNCTION("""COMPUTED_VALUE"""),4)</f>
        <v>4</v>
      </c>
      <c r="K215" s="2"/>
      <c r="L215" s="10"/>
      <c r="M215" s="9" t="str">
        <f ca="1">IFERROR(__xludf.DUMMYFUNCTION("""COMPUTED_VALUE"""),"camilacruz.prof94@gmail.com")</f>
        <v>camilacruz.prof94@gmail.com</v>
      </c>
      <c r="N215" s="2" t="str">
        <f ca="1">IFERROR(__xludf.DUMMYFUNCTION("""COMPUTED_VALUE"""),"araujocamila@outlook.com")</f>
        <v>araujocamila@outlook.com</v>
      </c>
      <c r="O215" s="2" t="str">
        <f ca="1">IFERROR(__xludf.DUMMYFUNCTION("""COMPUTED_VALUE"""),"(83)982335316")</f>
        <v>(83)982335316</v>
      </c>
      <c r="P215" s="2" t="str">
        <f ca="1">IFERROR(__xludf.DUMMYFUNCTION("""COMPUTED_VALUE"""),"(92)992740130")</f>
        <v>(92)992740130</v>
      </c>
      <c r="Q215" s="50"/>
      <c r="R215" s="50"/>
      <c r="S215" s="2" t="str">
        <f ca="1">IFERROR(VLOOKUP(A215,IMPORT_DESISTENCIA!$A$2:$Q2273,14,0),"NÃO")</f>
        <v>NÃO</v>
      </c>
      <c r="T215" s="35"/>
    </row>
    <row r="216" spans="1:20" ht="45" customHeight="1" x14ac:dyDescent="0.25">
      <c r="A216" s="2" t="str">
        <f t="shared" ca="1" si="1"/>
        <v>004/2025/831.678.624-91</v>
      </c>
      <c r="B216" s="2" t="str">
        <f ca="1">IFERROR(__xludf.DUMMYFUNCTION("""COMPUTED_VALUE"""),"831.678.624-91")</f>
        <v>831.678.624-91</v>
      </c>
      <c r="C216" s="43" t="str">
        <f ca="1">IFERROR(__xludf.DUMMYFUNCTION("""COMPUTED_VALUE"""),"JOSILDA MARIA FALCAO DE OLIVEIRA")</f>
        <v>JOSILDA MARIA FALCAO DE OLIVEIRA</v>
      </c>
      <c r="D216" s="2" t="str">
        <f ca="1">IFERROR(__xludf.DUMMYFUNCTION("""COMPUTED_VALUE"""),"PROFESSOR")</f>
        <v>PROFESSOR</v>
      </c>
      <c r="E216" s="2" t="str">
        <f ca="1">IFERROR(__xludf.DUMMYFUNCTION("""COMPUTED_VALUE"""),"004/2025")</f>
        <v>004/2025</v>
      </c>
      <c r="F216" s="2" t="str">
        <f ca="1">IFERROR(__xludf.DUMMYFUNCTION("""COMPUTED_VALUE"""),"JOAO PESSOA")</f>
        <v>JOAO PESSOA</v>
      </c>
      <c r="G216" s="11" t="str">
        <f ca="1">IFERROR(__xludf.DUMMYFUNCTION("""COMPUTED_VALUE"""),"CUIDADOR INFANTIL")</f>
        <v>CUIDADOR INFANTIL</v>
      </c>
      <c r="H216" s="11" t="str">
        <f ca="1">IFERROR(__xludf.DUMMYFUNCTION("""COMPUTED_VALUE"""),"CENTRO SOCIAL URBANO MONSENHOR JOSE COUTINHO - BAIRRO DOS IPES")</f>
        <v>CENTRO SOCIAL URBANO MONSENHOR JOSE COUTINHO - BAIRRO DOS IPES</v>
      </c>
      <c r="I216" s="2" t="str">
        <f ca="1">IFERROR(__xludf.DUMMYFUNCTION("""COMPUTED_VALUE"""),"TARDE")</f>
        <v>TARDE</v>
      </c>
      <c r="J216" s="47">
        <f ca="1">IFERROR(__xludf.DUMMYFUNCTION("""COMPUTED_VALUE"""),5)</f>
        <v>5</v>
      </c>
      <c r="K216" s="2"/>
      <c r="L216" s="10"/>
      <c r="M216" s="9" t="str">
        <f ca="1">IFERROR(__xludf.DUMMYFUNCTION("""COMPUTED_VALUE"""),"jmf-oliveira@outlook.com")</f>
        <v>jmf-oliveira@outlook.com</v>
      </c>
      <c r="N216" s="2"/>
      <c r="O216" s="2" t="str">
        <f ca="1">IFERROR(__xludf.DUMMYFUNCTION("""COMPUTED_VALUE"""),"(81)99119-3352")</f>
        <v>(81)99119-3352</v>
      </c>
      <c r="P216" s="2"/>
      <c r="Q216" s="50"/>
      <c r="R216" s="50"/>
      <c r="S216" s="2" t="str">
        <f ca="1">IFERROR(VLOOKUP(A216,IMPORT_DESISTENCIA!$A$2:$Q2273,14,0),"NÃO")</f>
        <v>NÃO</v>
      </c>
      <c r="T216" s="35"/>
    </row>
    <row r="217" spans="1:20" ht="45" customHeight="1" x14ac:dyDescent="0.25">
      <c r="A217" s="2" t="str">
        <f t="shared" ca="1" si="1"/>
        <v>004/2025/044.971.294-03</v>
      </c>
      <c r="B217" s="2" t="str">
        <f ca="1">IFERROR(__xludf.DUMMYFUNCTION("""COMPUTED_VALUE"""),"044.971.294-03")</f>
        <v>044.971.294-03</v>
      </c>
      <c r="C217" s="43" t="str">
        <f ca="1">IFERROR(__xludf.DUMMYFUNCTION("""COMPUTED_VALUE"""),"MIQUEIA AURELIA VIEIRA DINIZ DANTAS")</f>
        <v>MIQUEIA AURELIA VIEIRA DINIZ DANTAS</v>
      </c>
      <c r="D217" s="2" t="str">
        <f ca="1">IFERROR(__xludf.DUMMYFUNCTION("""COMPUTED_VALUE"""),"PROFESSOR")</f>
        <v>PROFESSOR</v>
      </c>
      <c r="E217" s="2" t="str">
        <f ca="1">IFERROR(__xludf.DUMMYFUNCTION("""COMPUTED_VALUE"""),"004/2025")</f>
        <v>004/2025</v>
      </c>
      <c r="F217" s="2" t="str">
        <f ca="1">IFERROR(__xludf.DUMMYFUNCTION("""COMPUTED_VALUE"""),"JOAO PESSOA")</f>
        <v>JOAO PESSOA</v>
      </c>
      <c r="G217" s="11" t="str">
        <f ca="1">IFERROR(__xludf.DUMMYFUNCTION("""COMPUTED_VALUE"""),"CUIDADOR INFANTIL")</f>
        <v>CUIDADOR INFANTIL</v>
      </c>
      <c r="H217" s="11" t="str">
        <f ca="1">IFERROR(__xludf.DUMMYFUNCTION("""COMPUTED_VALUE"""),"CENTRO SOCIAL URBANO MONSENHOR JOSE COUTINHO - BAIRRO DOS IPES")</f>
        <v>CENTRO SOCIAL URBANO MONSENHOR JOSE COUTINHO - BAIRRO DOS IPES</v>
      </c>
      <c r="I217" s="2" t="str">
        <f ca="1">IFERROR(__xludf.DUMMYFUNCTION("""COMPUTED_VALUE"""),"TARDE")</f>
        <v>TARDE</v>
      </c>
      <c r="J217" s="47">
        <f ca="1">IFERROR(__xludf.DUMMYFUNCTION("""COMPUTED_VALUE"""),6)</f>
        <v>6</v>
      </c>
      <c r="K217" s="2"/>
      <c r="L217" s="10"/>
      <c r="M217" s="9" t="str">
        <f ca="1">IFERROR(__xludf.DUMMYFUNCTION("""COMPUTED_VALUE"""),"miqueiaaurelia@gmail.com")</f>
        <v>miqueiaaurelia@gmail.com</v>
      </c>
      <c r="N217" s="2" t="str">
        <f ca="1">IFERROR(__xludf.DUMMYFUNCTION("""COMPUTED_VALUE"""),"miqueiaaurelia@hotmail.com")</f>
        <v>miqueiaaurelia@hotmail.com</v>
      </c>
      <c r="O217" s="2" t="str">
        <f ca="1">IFERROR(__xludf.DUMMYFUNCTION("""COMPUTED_VALUE"""),"(83)982075011")</f>
        <v>(83)982075011</v>
      </c>
      <c r="P217" s="2" t="str">
        <f ca="1">IFERROR(__xludf.DUMMYFUNCTION("""COMPUTED_VALUE"""),"(11)986037169")</f>
        <v>(11)986037169</v>
      </c>
      <c r="Q217" s="50"/>
      <c r="R217" s="50"/>
      <c r="S217" s="2" t="str">
        <f ca="1">IFERROR(VLOOKUP(A217,IMPORT_DESISTENCIA!$A$2:$Q2273,14,0),"NÃO")</f>
        <v>NÃO</v>
      </c>
      <c r="T217" s="35"/>
    </row>
    <row r="218" spans="1:20" ht="45" customHeight="1" x14ac:dyDescent="0.25">
      <c r="A218" s="2" t="str">
        <f t="shared" ca="1" si="1"/>
        <v>004/2025/431.899.988-25</v>
      </c>
      <c r="B218" s="2" t="str">
        <f ca="1">IFERROR(__xludf.DUMMYFUNCTION("""COMPUTED_VALUE"""),"431.899.988-25")</f>
        <v>431.899.988-25</v>
      </c>
      <c r="C218" s="43" t="str">
        <f ca="1">IFERROR(__xludf.DUMMYFUNCTION("""COMPUTED_VALUE"""),"TALITTA RAMOS VIEIRA")</f>
        <v>TALITTA RAMOS VIEIRA</v>
      </c>
      <c r="D218" s="2" t="str">
        <f ca="1">IFERROR(__xludf.DUMMYFUNCTION("""COMPUTED_VALUE"""),"PROFESSOR")</f>
        <v>PROFESSOR</v>
      </c>
      <c r="E218" s="2" t="str">
        <f ca="1">IFERROR(__xludf.DUMMYFUNCTION("""COMPUTED_VALUE"""),"004/2025")</f>
        <v>004/2025</v>
      </c>
      <c r="F218" s="2" t="str">
        <f ca="1">IFERROR(__xludf.DUMMYFUNCTION("""COMPUTED_VALUE"""),"JOAO PESSOA")</f>
        <v>JOAO PESSOA</v>
      </c>
      <c r="G218" s="11" t="str">
        <f ca="1">IFERROR(__xludf.DUMMYFUNCTION("""COMPUTED_VALUE"""),"CUIDADOR INFANTIL")</f>
        <v>CUIDADOR INFANTIL</v>
      </c>
      <c r="H218" s="11" t="str">
        <f ca="1">IFERROR(__xludf.DUMMYFUNCTION("""COMPUTED_VALUE"""),"CENTRO SOCIAL URBANO MONSENHOR JOSE COUTINHO - BAIRRO DOS IPES")</f>
        <v>CENTRO SOCIAL URBANO MONSENHOR JOSE COUTINHO - BAIRRO DOS IPES</v>
      </c>
      <c r="I218" s="2" t="str">
        <f ca="1">IFERROR(__xludf.DUMMYFUNCTION("""COMPUTED_VALUE"""),"TARDE")</f>
        <v>TARDE</v>
      </c>
      <c r="J218" s="47">
        <f ca="1">IFERROR(__xludf.DUMMYFUNCTION("""COMPUTED_VALUE"""),7)</f>
        <v>7</v>
      </c>
      <c r="K218" s="2"/>
      <c r="L218" s="10"/>
      <c r="M218" s="9" t="str">
        <f ca="1">IFERROR(__xludf.DUMMYFUNCTION("""COMPUTED_VALUE"""),"talittavieira.ramos@gmail.com")</f>
        <v>talittavieira.ramos@gmail.com</v>
      </c>
      <c r="N218" s="2" t="str">
        <f ca="1">IFERROR(__xludf.DUMMYFUNCTION("""COMPUTED_VALUE"""),"vieiratalitta60@gmail.com")</f>
        <v>vieiratalitta60@gmail.com</v>
      </c>
      <c r="O218" s="2" t="str">
        <f ca="1">IFERROR(__xludf.DUMMYFUNCTION("""COMPUTED_VALUE"""),"(83)99105-0857")</f>
        <v>(83)99105-0857</v>
      </c>
      <c r="P218" s="2" t="str">
        <f ca="1">IFERROR(__xludf.DUMMYFUNCTION("""COMPUTED_VALUE"""),"(83)99332-6235")</f>
        <v>(83)99332-6235</v>
      </c>
      <c r="Q218" s="50"/>
      <c r="R218" s="50"/>
      <c r="S218" s="2" t="str">
        <f ca="1">IFERROR(VLOOKUP(A218,IMPORT_DESISTENCIA!$A$2:$Q2273,14,0),"NÃO")</f>
        <v>NÃO</v>
      </c>
      <c r="T218" s="35"/>
    </row>
    <row r="219" spans="1:20" ht="45" customHeight="1" x14ac:dyDescent="0.25">
      <c r="A219" s="2" t="str">
        <f t="shared" ca="1" si="1"/>
        <v>004/2025/065.845.384-00</v>
      </c>
      <c r="B219" s="2" t="str">
        <f ca="1">IFERROR(__xludf.DUMMYFUNCTION("""COMPUTED_VALUE"""),"065.845.384-00")</f>
        <v>065.845.384-00</v>
      </c>
      <c r="C219" s="43" t="str">
        <f ca="1">IFERROR(__xludf.DUMMYFUNCTION("""COMPUTED_VALUE"""),"FLAVIA GRACYELLE DE ANDRADE GOMES")</f>
        <v>FLAVIA GRACYELLE DE ANDRADE GOMES</v>
      </c>
      <c r="D219" s="2" t="str">
        <f ca="1">IFERROR(__xludf.DUMMYFUNCTION("""COMPUTED_VALUE"""),"PROFESSOR")</f>
        <v>PROFESSOR</v>
      </c>
      <c r="E219" s="2" t="str">
        <f ca="1">IFERROR(__xludf.DUMMYFUNCTION("""COMPUTED_VALUE"""),"004/2025")</f>
        <v>004/2025</v>
      </c>
      <c r="F219" s="2" t="str">
        <f ca="1">IFERROR(__xludf.DUMMYFUNCTION("""COMPUTED_VALUE"""),"JOAO PESSOA")</f>
        <v>JOAO PESSOA</v>
      </c>
      <c r="G219" s="11" t="str">
        <f ca="1">IFERROR(__xludf.DUMMYFUNCTION("""COMPUTED_VALUE"""),"CUIDADOR INFANTIL")</f>
        <v>CUIDADOR INFANTIL</v>
      </c>
      <c r="H219" s="11" t="str">
        <f ca="1">IFERROR(__xludf.DUMMYFUNCTION("""COMPUTED_VALUE"""),"CENTRO SOCIAL URBANO MONSENHOR JOSE COUTINHO - BAIRRO DOS IPES")</f>
        <v>CENTRO SOCIAL URBANO MONSENHOR JOSE COUTINHO - BAIRRO DOS IPES</v>
      </c>
      <c r="I219" s="2" t="str">
        <f ca="1">IFERROR(__xludf.DUMMYFUNCTION("""COMPUTED_VALUE"""),"TARDE")</f>
        <v>TARDE</v>
      </c>
      <c r="J219" s="47">
        <f ca="1">IFERROR(__xludf.DUMMYFUNCTION("""COMPUTED_VALUE"""),8)</f>
        <v>8</v>
      </c>
      <c r="K219" s="2"/>
      <c r="L219" s="10"/>
      <c r="M219" s="9" t="str">
        <f ca="1">IFERROR(__xludf.DUMMYFUNCTION("""COMPUTED_VALUE"""),"flaviagracyelle@gmail.com")</f>
        <v>flaviagracyelle@gmail.com</v>
      </c>
      <c r="N219" s="2"/>
      <c r="O219" s="2" t="str">
        <f ca="1">IFERROR(__xludf.DUMMYFUNCTION("""COMPUTED_VALUE"""),"(83)991665465")</f>
        <v>(83)991665465</v>
      </c>
      <c r="P219" s="2"/>
      <c r="Q219" s="50"/>
      <c r="R219" s="50"/>
      <c r="S219" s="2" t="str">
        <f ca="1">IFERROR(VLOOKUP(A219,IMPORT_DESISTENCIA!$A$2:$Q2273,14,0),"NÃO")</f>
        <v>NÃO</v>
      </c>
      <c r="T219" s="35"/>
    </row>
    <row r="220" spans="1:20" ht="45" customHeight="1" x14ac:dyDescent="0.25">
      <c r="A220" s="2" t="str">
        <f t="shared" ca="1" si="1"/>
        <v>004/2025/075.532.534-64</v>
      </c>
      <c r="B220" s="2" t="str">
        <f ca="1">IFERROR(__xludf.DUMMYFUNCTION("""COMPUTED_VALUE"""),"075.532.534-64")</f>
        <v>075.532.534-64</v>
      </c>
      <c r="C220" s="43" t="str">
        <f ca="1">IFERROR(__xludf.DUMMYFUNCTION("""COMPUTED_VALUE"""),"DEYLLYSE ALVES FERNANDES MARTINS")</f>
        <v>DEYLLYSE ALVES FERNANDES MARTINS</v>
      </c>
      <c r="D220" s="2" t="str">
        <f ca="1">IFERROR(__xludf.DUMMYFUNCTION("""COMPUTED_VALUE"""),"PROFESSOR")</f>
        <v>PROFESSOR</v>
      </c>
      <c r="E220" s="2" t="str">
        <f ca="1">IFERROR(__xludf.DUMMYFUNCTION("""COMPUTED_VALUE"""),"004/2025")</f>
        <v>004/2025</v>
      </c>
      <c r="F220" s="2" t="str">
        <f ca="1">IFERROR(__xludf.DUMMYFUNCTION("""COMPUTED_VALUE"""),"JOAO PESSOA")</f>
        <v>JOAO PESSOA</v>
      </c>
      <c r="G220" s="11" t="str">
        <f ca="1">IFERROR(__xludf.DUMMYFUNCTION("""COMPUTED_VALUE"""),"CUIDADOR INFANTIL")</f>
        <v>CUIDADOR INFANTIL</v>
      </c>
      <c r="H220" s="11" t="str">
        <f ca="1">IFERROR(__xludf.DUMMYFUNCTION("""COMPUTED_VALUE"""),"CENTRO SOCIAL URBANO MONSENHOR JOSE COUTINHO - BAIRRO DOS IPES")</f>
        <v>CENTRO SOCIAL URBANO MONSENHOR JOSE COUTINHO - BAIRRO DOS IPES</v>
      </c>
      <c r="I220" s="2" t="str">
        <f ca="1">IFERROR(__xludf.DUMMYFUNCTION("""COMPUTED_VALUE"""),"TARDE")</f>
        <v>TARDE</v>
      </c>
      <c r="J220" s="47">
        <f ca="1">IFERROR(__xludf.DUMMYFUNCTION("""COMPUTED_VALUE"""),9)</f>
        <v>9</v>
      </c>
      <c r="K220" s="2"/>
      <c r="L220" s="10"/>
      <c r="M220" s="9" t="str">
        <f ca="1">IFERROR(__xludf.DUMMYFUNCTION("""COMPUTED_VALUE"""),"deyllyse.martins@pesqueira.ifpe.edu.br")</f>
        <v>deyllyse.martins@pesqueira.ifpe.edu.br</v>
      </c>
      <c r="N220" s="2" t="str">
        <f ca="1">IFERROR(__xludf.DUMMYFUNCTION("""COMPUTED_VALUE"""),"deyllyse.martins@pesqueira.ifpe.edu.br")</f>
        <v>deyllyse.martins@pesqueira.ifpe.edu.br</v>
      </c>
      <c r="O220" s="2" t="str">
        <f ca="1">IFERROR(__xludf.DUMMYFUNCTION("""COMPUTED_VALUE"""),"(81)99724-6064")</f>
        <v>(81)99724-6064</v>
      </c>
      <c r="P220" s="2" t="str">
        <f ca="1">IFERROR(__xludf.DUMMYFUNCTION("""COMPUTED_VALUE"""),"(83)99956-0196")</f>
        <v>(83)99956-0196</v>
      </c>
      <c r="Q220" s="50"/>
      <c r="R220" s="50"/>
      <c r="S220" s="2" t="str">
        <f ca="1">IFERROR(VLOOKUP(A220,IMPORT_DESISTENCIA!$A$2:$Q2273,14,0),"NÃO")</f>
        <v>NÃO</v>
      </c>
      <c r="T220" s="35"/>
    </row>
    <row r="221" spans="1:20" ht="45" customHeight="1" x14ac:dyDescent="0.25">
      <c r="A221" s="2" t="str">
        <f t="shared" ca="1" si="1"/>
        <v>004/2025/062.935.674-20</v>
      </c>
      <c r="B221" s="2" t="str">
        <f ca="1">IFERROR(__xludf.DUMMYFUNCTION("""COMPUTED_VALUE"""),"062.935.674-20")</f>
        <v>062.935.674-20</v>
      </c>
      <c r="C221" s="43" t="str">
        <f ca="1">IFERROR(__xludf.DUMMYFUNCTION("""COMPUTED_VALUE"""),"IVANILDA DOS SANTOS BEZERRA DE BRITO")</f>
        <v>IVANILDA DOS SANTOS BEZERRA DE BRITO</v>
      </c>
      <c r="D221" s="2" t="str">
        <f ca="1">IFERROR(__xludf.DUMMYFUNCTION("""COMPUTED_VALUE"""),"PROFESSOR")</f>
        <v>PROFESSOR</v>
      </c>
      <c r="E221" s="2" t="str">
        <f ca="1">IFERROR(__xludf.DUMMYFUNCTION("""COMPUTED_VALUE"""),"004/2025")</f>
        <v>004/2025</v>
      </c>
      <c r="F221" s="2" t="str">
        <f ca="1">IFERROR(__xludf.DUMMYFUNCTION("""COMPUTED_VALUE"""),"JOAO PESSOA")</f>
        <v>JOAO PESSOA</v>
      </c>
      <c r="G221" s="11" t="str">
        <f ca="1">IFERROR(__xludf.DUMMYFUNCTION("""COMPUTED_VALUE"""),"CUIDADOR INFANTIL")</f>
        <v>CUIDADOR INFANTIL</v>
      </c>
      <c r="H221" s="11" t="str">
        <f ca="1">IFERROR(__xludf.DUMMYFUNCTION("""COMPUTED_VALUE"""),"CENTRO SOCIAL URBANO MONSENHOR JOSE COUTINHO - BAIRRO DOS IPES")</f>
        <v>CENTRO SOCIAL URBANO MONSENHOR JOSE COUTINHO - BAIRRO DOS IPES</v>
      </c>
      <c r="I221" s="2" t="str">
        <f ca="1">IFERROR(__xludf.DUMMYFUNCTION("""COMPUTED_VALUE"""),"TARDE")</f>
        <v>TARDE</v>
      </c>
      <c r="J221" s="47">
        <f ca="1">IFERROR(__xludf.DUMMYFUNCTION("""COMPUTED_VALUE"""),10)</f>
        <v>10</v>
      </c>
      <c r="K221" s="2"/>
      <c r="L221" s="10"/>
      <c r="M221" s="9" t="str">
        <f ca="1">IFERROR(__xludf.DUMMYFUNCTION("""COMPUTED_VALUE"""),"vanildabrito124@gmail.com")</f>
        <v>vanildabrito124@gmail.com</v>
      </c>
      <c r="N221" s="2" t="str">
        <f ca="1">IFERROR(__xludf.DUMMYFUNCTION("""COMPUTED_VALUE"""),"vanildabrito124@gmail.com")</f>
        <v>vanildabrito124@gmail.com</v>
      </c>
      <c r="O221" s="2" t="str">
        <f ca="1">IFERROR(__xludf.DUMMYFUNCTION("""COMPUTED_VALUE"""),"(84)98814-1842")</f>
        <v>(84)98814-1842</v>
      </c>
      <c r="P221" s="2" t="str">
        <f ca="1">IFERROR(__xludf.DUMMYFUNCTION("""COMPUTED_VALUE"""),"(47)99602-6333")</f>
        <v>(47)99602-6333</v>
      </c>
      <c r="Q221" s="50"/>
      <c r="R221" s="50"/>
      <c r="S221" s="2" t="str">
        <f ca="1">IFERROR(VLOOKUP(A221,IMPORT_DESISTENCIA!$A$2:$Q2273,14,0),"NÃO")</f>
        <v>NÃO</v>
      </c>
      <c r="T221" s="35"/>
    </row>
    <row r="222" spans="1:20" ht="45" customHeight="1" x14ac:dyDescent="0.25">
      <c r="A222" s="2" t="str">
        <f t="shared" ca="1" si="1"/>
        <v>004/2025/054.633.498-94</v>
      </c>
      <c r="B222" s="2" t="str">
        <f ca="1">IFERROR(__xludf.DUMMYFUNCTION("""COMPUTED_VALUE"""),"054.633.498-94")</f>
        <v>054.633.498-94</v>
      </c>
      <c r="C222" s="43" t="str">
        <f ca="1">IFERROR(__xludf.DUMMYFUNCTION("""COMPUTED_VALUE"""),"ANATALIA MARIA DE JESUS MEDEIROS")</f>
        <v>ANATALIA MARIA DE JESUS MEDEIROS</v>
      </c>
      <c r="D222" s="2" t="str">
        <f ca="1">IFERROR(__xludf.DUMMYFUNCTION("""COMPUTED_VALUE"""),"PROFESSOR")</f>
        <v>PROFESSOR</v>
      </c>
      <c r="E222" s="2" t="str">
        <f ca="1">IFERROR(__xludf.DUMMYFUNCTION("""COMPUTED_VALUE"""),"004/2025")</f>
        <v>004/2025</v>
      </c>
      <c r="F222" s="2" t="str">
        <f ca="1">IFERROR(__xludf.DUMMYFUNCTION("""COMPUTED_VALUE"""),"JOAO PESSOA")</f>
        <v>JOAO PESSOA</v>
      </c>
      <c r="G222" s="11" t="str">
        <f ca="1">IFERROR(__xludf.DUMMYFUNCTION("""COMPUTED_VALUE"""),"CUIDADOR INFANTIL")</f>
        <v>CUIDADOR INFANTIL</v>
      </c>
      <c r="H222" s="11" t="str">
        <f ca="1">IFERROR(__xludf.DUMMYFUNCTION("""COMPUTED_VALUE"""),"CENTRO SOCIAL URBANO MONSENHOR JOSE COUTINHO - BAIRRO DOS IPES")</f>
        <v>CENTRO SOCIAL URBANO MONSENHOR JOSE COUTINHO - BAIRRO DOS IPES</v>
      </c>
      <c r="I222" s="2" t="str">
        <f ca="1">IFERROR(__xludf.DUMMYFUNCTION("""COMPUTED_VALUE"""),"TARDE")</f>
        <v>TARDE</v>
      </c>
      <c r="J222" s="47">
        <f ca="1">IFERROR(__xludf.DUMMYFUNCTION("""COMPUTED_VALUE"""),11)</f>
        <v>11</v>
      </c>
      <c r="K222" s="2"/>
      <c r="L222" s="10"/>
      <c r="M222" s="9" t="str">
        <f ca="1">IFERROR(__xludf.DUMMYFUNCTION("""COMPUTED_VALUE"""),"anmajeme2@gmail.com")</f>
        <v>anmajeme2@gmail.com</v>
      </c>
      <c r="N222" s="2"/>
      <c r="O222" s="2" t="str">
        <f ca="1">IFERROR(__xludf.DUMMYFUNCTION("""COMPUTED_VALUE"""),"(11)98333-8265")</f>
        <v>(11)98333-8265</v>
      </c>
      <c r="P222" s="2" t="str">
        <f ca="1">IFERROR(__xludf.DUMMYFUNCTION("""COMPUTED_VALUE"""),"(11)98513-5949")</f>
        <v>(11)98513-5949</v>
      </c>
      <c r="Q222" s="50"/>
      <c r="R222" s="50"/>
      <c r="S222" s="2" t="str">
        <f ca="1">IFERROR(VLOOKUP(A222,IMPORT_DESISTENCIA!$A$2:$Q2273,14,0),"NÃO")</f>
        <v>NÃO</v>
      </c>
      <c r="T222" s="35"/>
    </row>
    <row r="223" spans="1:20" ht="45" customHeight="1" x14ac:dyDescent="0.25">
      <c r="A223" s="2" t="str">
        <f t="shared" ca="1" si="1"/>
        <v>004/2025/866.942.786-91</v>
      </c>
      <c r="B223" s="2" t="str">
        <f ca="1">IFERROR(__xludf.DUMMYFUNCTION("""COMPUTED_VALUE"""),"866.942.786-91")</f>
        <v>866.942.786-91</v>
      </c>
      <c r="C223" s="43" t="str">
        <f ca="1">IFERROR(__xludf.DUMMYFUNCTION("""COMPUTED_VALUE"""),"MARIA APARECIDA COSTA CARVALHO")</f>
        <v>MARIA APARECIDA COSTA CARVALHO</v>
      </c>
      <c r="D223" s="2" t="str">
        <f ca="1">IFERROR(__xludf.DUMMYFUNCTION("""COMPUTED_VALUE"""),"PROFESSOR")</f>
        <v>PROFESSOR</v>
      </c>
      <c r="E223" s="2" t="str">
        <f ca="1">IFERROR(__xludf.DUMMYFUNCTION("""COMPUTED_VALUE"""),"004/2025")</f>
        <v>004/2025</v>
      </c>
      <c r="F223" s="2" t="str">
        <f ca="1">IFERROR(__xludf.DUMMYFUNCTION("""COMPUTED_VALUE"""),"JOAO PESSOA")</f>
        <v>JOAO PESSOA</v>
      </c>
      <c r="G223" s="11" t="str">
        <f ca="1">IFERROR(__xludf.DUMMYFUNCTION("""COMPUTED_VALUE"""),"CUIDADOR INFANTIL")</f>
        <v>CUIDADOR INFANTIL</v>
      </c>
      <c r="H223" s="11" t="str">
        <f ca="1">IFERROR(__xludf.DUMMYFUNCTION("""COMPUTED_VALUE"""),"CENTRO SOCIAL URBANO MONSENHOR JOSE COUTINHO - BAIRRO DOS IPES")</f>
        <v>CENTRO SOCIAL URBANO MONSENHOR JOSE COUTINHO - BAIRRO DOS IPES</v>
      </c>
      <c r="I223" s="2" t="str">
        <f ca="1">IFERROR(__xludf.DUMMYFUNCTION("""COMPUTED_VALUE"""),"TARDE")</f>
        <v>TARDE</v>
      </c>
      <c r="J223" s="47">
        <f ca="1">IFERROR(__xludf.DUMMYFUNCTION("""COMPUTED_VALUE"""),12)</f>
        <v>12</v>
      </c>
      <c r="K223" s="2"/>
      <c r="L223" s="10"/>
      <c r="M223" s="9" t="str">
        <f ca="1">IFERROR(__xludf.DUMMYFUNCTION("""COMPUTED_VALUE"""),"cidinhaicm306@gmail.com")</f>
        <v>cidinhaicm306@gmail.com</v>
      </c>
      <c r="N223" s="2" t="str">
        <f ca="1">IFERROR(__xludf.DUMMYFUNCTION("""COMPUTED_VALUE"""),"cidinhaicm@hotmail.com")</f>
        <v>cidinhaicm@hotmail.com</v>
      </c>
      <c r="O223" s="2" t="str">
        <f ca="1">IFERROR(__xludf.DUMMYFUNCTION("""COMPUTED_VALUE"""),"(83)99995-6256")</f>
        <v>(83)99995-6256</v>
      </c>
      <c r="P223" s="2" t="str">
        <f ca="1">IFERROR(__xludf.DUMMYFUNCTION("""COMPUTED_VALUE"""),"(83)98827-6752")</f>
        <v>(83)98827-6752</v>
      </c>
      <c r="Q223" s="50"/>
      <c r="R223" s="50"/>
      <c r="S223" s="2" t="str">
        <f ca="1">IFERROR(VLOOKUP(A223,IMPORT_DESISTENCIA!$A$2:$Q2273,14,0),"NÃO")</f>
        <v>NÃO</v>
      </c>
      <c r="T223" s="35"/>
    </row>
    <row r="224" spans="1:20" ht="45" customHeight="1" x14ac:dyDescent="0.25">
      <c r="A224" s="2" t="str">
        <f t="shared" ca="1" si="1"/>
        <v>004/2025/086.147.014-11</v>
      </c>
      <c r="B224" s="2" t="str">
        <f ca="1">IFERROR(__xludf.DUMMYFUNCTION("""COMPUTED_VALUE"""),"086.147.014-11")</f>
        <v>086.147.014-11</v>
      </c>
      <c r="C224" s="43" t="str">
        <f ca="1">IFERROR(__xludf.DUMMYFUNCTION("""COMPUTED_VALUE"""),"THAISMA NOBREGA FERREIRA LIMA")</f>
        <v>THAISMA NOBREGA FERREIRA LIMA</v>
      </c>
      <c r="D224" s="2" t="str">
        <f ca="1">IFERROR(__xludf.DUMMYFUNCTION("""COMPUTED_VALUE"""),"PROFESSOR")</f>
        <v>PROFESSOR</v>
      </c>
      <c r="E224" s="2" t="str">
        <f ca="1">IFERROR(__xludf.DUMMYFUNCTION("""COMPUTED_VALUE"""),"004/2025")</f>
        <v>004/2025</v>
      </c>
      <c r="F224" s="2" t="str">
        <f ca="1">IFERROR(__xludf.DUMMYFUNCTION("""COMPUTED_VALUE"""),"JOAO PESSOA")</f>
        <v>JOAO PESSOA</v>
      </c>
      <c r="G224" s="11" t="str">
        <f ca="1">IFERROR(__xludf.DUMMYFUNCTION("""COMPUTED_VALUE"""),"CUIDADOR INFANTIL")</f>
        <v>CUIDADOR INFANTIL</v>
      </c>
      <c r="H224" s="11" t="str">
        <f ca="1">IFERROR(__xludf.DUMMYFUNCTION("""COMPUTED_VALUE"""),"CENTRO SOCIAL URBANO MONSENHOR JOSE COUTINHO - BAIRRO DOS IPES")</f>
        <v>CENTRO SOCIAL URBANO MONSENHOR JOSE COUTINHO - BAIRRO DOS IPES</v>
      </c>
      <c r="I224" s="2" t="str">
        <f ca="1">IFERROR(__xludf.DUMMYFUNCTION("""COMPUTED_VALUE"""),"TARDE")</f>
        <v>TARDE</v>
      </c>
      <c r="J224" s="47">
        <f ca="1">IFERROR(__xludf.DUMMYFUNCTION("""COMPUTED_VALUE"""),13)</f>
        <v>13</v>
      </c>
      <c r="K224" s="2"/>
      <c r="L224" s="10"/>
      <c r="M224" s="9" t="str">
        <f ca="1">IFERROR(__xludf.DUMMYFUNCTION("""COMPUTED_VALUE"""),"thaisma.ferreira@gmail.com")</f>
        <v>thaisma.ferreira@gmail.com</v>
      </c>
      <c r="N224" s="2" t="str">
        <f ca="1">IFERROR(__xludf.DUMMYFUNCTION("""COMPUTED_VALUE"""),"thaismapsicopedagoga@gmail.com")</f>
        <v>thaismapsicopedagoga@gmail.com</v>
      </c>
      <c r="O224" s="2" t="str">
        <f ca="1">IFERROR(__xludf.DUMMYFUNCTION("""COMPUTED_VALUE"""),"(83)988669209")</f>
        <v>(83)988669209</v>
      </c>
      <c r="P224" s="2" t="str">
        <f ca="1">IFERROR(__xludf.DUMMYFUNCTION("""COMPUTED_VALUE"""),"(83)999725407")</f>
        <v>(83)999725407</v>
      </c>
      <c r="Q224" s="50"/>
      <c r="R224" s="50"/>
      <c r="S224" s="2" t="str">
        <f ca="1">IFERROR(VLOOKUP(A224,IMPORT_DESISTENCIA!$A$2:$Q2273,14,0),"NÃO")</f>
        <v>NÃO</v>
      </c>
      <c r="T224" s="35"/>
    </row>
    <row r="225" spans="1:20" ht="45" customHeight="1" x14ac:dyDescent="0.25">
      <c r="A225" s="2" t="str">
        <f t="shared" ca="1" si="1"/>
        <v>004/2025/111.244.784-93</v>
      </c>
      <c r="B225" s="2" t="str">
        <f ca="1">IFERROR(__xludf.DUMMYFUNCTION("""COMPUTED_VALUE"""),"111.244.784-93")</f>
        <v>111.244.784-93</v>
      </c>
      <c r="C225" s="43" t="str">
        <f ca="1">IFERROR(__xludf.DUMMYFUNCTION("""COMPUTED_VALUE"""),"LYNDA LEE BATISTA DOS SANTOS LIMA")</f>
        <v>LYNDA LEE BATISTA DOS SANTOS LIMA</v>
      </c>
      <c r="D225" s="2" t="str">
        <f ca="1">IFERROR(__xludf.DUMMYFUNCTION("""COMPUTED_VALUE"""),"PROFESSOR")</f>
        <v>PROFESSOR</v>
      </c>
      <c r="E225" s="2" t="str">
        <f ca="1">IFERROR(__xludf.DUMMYFUNCTION("""COMPUTED_VALUE"""),"004/2025")</f>
        <v>004/2025</v>
      </c>
      <c r="F225" s="2" t="str">
        <f ca="1">IFERROR(__xludf.DUMMYFUNCTION("""COMPUTED_VALUE"""),"JOAO PESSOA")</f>
        <v>JOAO PESSOA</v>
      </c>
      <c r="G225" s="11" t="str">
        <f ca="1">IFERROR(__xludf.DUMMYFUNCTION("""COMPUTED_VALUE"""),"VENDEDOR")</f>
        <v>VENDEDOR</v>
      </c>
      <c r="H225" s="11" t="str">
        <f ca="1">IFERROR(__xludf.DUMMYFUNCTION("""COMPUTED_VALUE"""),"ASSOCIACAO BENEFICENTE SAO JOSE")</f>
        <v>ASSOCIACAO BENEFICENTE SAO JOSE</v>
      </c>
      <c r="I225" s="2" t="str">
        <f ca="1">IFERROR(__xludf.DUMMYFUNCTION("""COMPUTED_VALUE"""),"TARDE")</f>
        <v>TARDE</v>
      </c>
      <c r="J225" s="47">
        <f ca="1">IFERROR(__xludf.DUMMYFUNCTION("""COMPUTED_VALUE"""),1)</f>
        <v>1</v>
      </c>
      <c r="K225" s="2" t="str">
        <f ca="1">IFERROR(__xludf.DUMMYFUNCTION("""COMPUTED_VALUE"""),"POSSE VALIDADA")</f>
        <v>POSSE VALIDADA</v>
      </c>
      <c r="L225" s="10"/>
      <c r="M225" s="9" t="str">
        <f ca="1">IFERROR(__xludf.DUMMYFUNCTION("""COMPUTED_VALUE"""),"lyndalimabs@gmail.com")</f>
        <v>lyndalimabs@gmail.com</v>
      </c>
      <c r="N225" s="2"/>
      <c r="O225" s="2" t="str">
        <f ca="1">IFERROR(__xludf.DUMMYFUNCTION("""COMPUTED_VALUE"""),"(83)98691-8993")</f>
        <v>(83)98691-8993</v>
      </c>
      <c r="P225" s="2"/>
      <c r="Q225" s="50" t="str">
        <f ca="1">IFERROR(__xludf.DUMMYFUNCTION("""COMPUTED_VALUE"""),"23/04/2025")</f>
        <v>23/04/2025</v>
      </c>
      <c r="R225" s="50" t="str">
        <f ca="1">IFERROR(__xludf.DUMMYFUNCTION("""COMPUTED_VALUE"""),"06/05/2025")</f>
        <v>06/05/2025</v>
      </c>
      <c r="S225" s="2" t="str">
        <f ca="1">IFERROR(VLOOKUP(A225,IMPORT_DESISTENCIA!$A$2:$Q2273,14,0),"NÃO")</f>
        <v>DESISTIU</v>
      </c>
      <c r="T225" s="35"/>
    </row>
    <row r="226" spans="1:20" ht="45" customHeight="1" x14ac:dyDescent="0.25">
      <c r="A226" s="2" t="str">
        <f t="shared" ca="1" si="1"/>
        <v>004/2025/049.737.154-50</v>
      </c>
      <c r="B226" s="2" t="str">
        <f ca="1">IFERROR(__xludf.DUMMYFUNCTION("""COMPUTED_VALUE"""),"049.737.154-50")</f>
        <v>049.737.154-50</v>
      </c>
      <c r="C226" s="43" t="str">
        <f ca="1">IFERROR(__xludf.DUMMYFUNCTION("""COMPUTED_VALUE"""),"SAMIRIA LISSE JACOME DA SILVEIRA")</f>
        <v>SAMIRIA LISSE JACOME DA SILVEIRA</v>
      </c>
      <c r="D226" s="2" t="str">
        <f ca="1">IFERROR(__xludf.DUMMYFUNCTION("""COMPUTED_VALUE"""),"PROFESSOR")</f>
        <v>PROFESSOR</v>
      </c>
      <c r="E226" s="2" t="str">
        <f ca="1">IFERROR(__xludf.DUMMYFUNCTION("""COMPUTED_VALUE"""),"004/2025")</f>
        <v>004/2025</v>
      </c>
      <c r="F226" s="2" t="str">
        <f ca="1">IFERROR(__xludf.DUMMYFUNCTION("""COMPUTED_VALUE"""),"JOAO PESSOA")</f>
        <v>JOAO PESSOA</v>
      </c>
      <c r="G226" s="11" t="str">
        <f ca="1">IFERROR(__xludf.DUMMYFUNCTION("""COMPUTED_VALUE"""),"VENDEDOR")</f>
        <v>VENDEDOR</v>
      </c>
      <c r="H226" s="11" t="str">
        <f ca="1">IFERROR(__xludf.DUMMYFUNCTION("""COMPUTED_VALUE"""),"ASSOCIACAO BENEFICENTE SAO JOSE")</f>
        <v>ASSOCIACAO BENEFICENTE SAO JOSE</v>
      </c>
      <c r="I226" s="2" t="str">
        <f ca="1">IFERROR(__xludf.DUMMYFUNCTION("""COMPUTED_VALUE"""),"TARDE")</f>
        <v>TARDE</v>
      </c>
      <c r="J226" s="47">
        <f ca="1">IFERROR(__xludf.DUMMYFUNCTION("""COMPUTED_VALUE"""),2)</f>
        <v>2</v>
      </c>
      <c r="K226" s="2" t="str">
        <f ca="1">IFERROR(__xludf.DUMMYFUNCTION("""COMPUTED_VALUE"""),"POSSE VALIDADA")</f>
        <v>POSSE VALIDADA</v>
      </c>
      <c r="L226" s="10"/>
      <c r="M226" s="9" t="str">
        <f ca="1">IFERROR(__xludf.DUMMYFUNCTION("""COMPUTED_VALUE"""),"samirialisse@gmail.com")</f>
        <v>samirialisse@gmail.com</v>
      </c>
      <c r="N226" s="2" t="str">
        <f ca="1">IFERROR(__xludf.DUMMYFUNCTION("""COMPUTED_VALUE"""),"samiria_lisse@yahoo.com.br")</f>
        <v>samiria_lisse@yahoo.com.br</v>
      </c>
      <c r="O226" s="2" t="str">
        <f ca="1">IFERROR(__xludf.DUMMYFUNCTION("""COMPUTED_VALUE"""),"(84)99143-8860")</f>
        <v>(84)99143-8860</v>
      </c>
      <c r="P226" s="2" t="str">
        <f ca="1">IFERROR(__xludf.DUMMYFUNCTION("""COMPUTED_VALUE"""),"(84)99109-8962")</f>
        <v>(84)99109-8962</v>
      </c>
      <c r="Q226" s="50" t="str">
        <f ca="1">IFERROR(__xludf.DUMMYFUNCTION("""COMPUTED_VALUE"""),"13/05/2025")</f>
        <v>13/05/2025</v>
      </c>
      <c r="R226" s="50"/>
      <c r="S226" s="2" t="str">
        <f ca="1">IFERROR(VLOOKUP(A226,IMPORT_DESISTENCIA!$A$2:$Q2273,14,0),"NÃO")</f>
        <v>NÃO</v>
      </c>
      <c r="T226" s="35"/>
    </row>
    <row r="227" spans="1:20" ht="45" customHeight="1" x14ac:dyDescent="0.25">
      <c r="A227" s="2" t="str">
        <f t="shared" ca="1" si="1"/>
        <v>004/2025/570.820.812-00</v>
      </c>
      <c r="B227" s="2" t="str">
        <f ca="1">IFERROR(__xludf.DUMMYFUNCTION("""COMPUTED_VALUE"""),"570.820.812-00")</f>
        <v>570.820.812-00</v>
      </c>
      <c r="C227" s="43" t="str">
        <f ca="1">IFERROR(__xludf.DUMMYFUNCTION("""COMPUTED_VALUE"""),"CAREN VIRNA PADILLA DE MELO")</f>
        <v>CAREN VIRNA PADILLA DE MELO</v>
      </c>
      <c r="D227" s="2" t="str">
        <f ca="1">IFERROR(__xludf.DUMMYFUNCTION("""COMPUTED_VALUE"""),"PROFESSOR")</f>
        <v>PROFESSOR</v>
      </c>
      <c r="E227" s="2" t="str">
        <f ca="1">IFERROR(__xludf.DUMMYFUNCTION("""COMPUTED_VALUE"""),"004/2025")</f>
        <v>004/2025</v>
      </c>
      <c r="F227" s="2" t="str">
        <f ca="1">IFERROR(__xludf.DUMMYFUNCTION("""COMPUTED_VALUE"""),"JOAO PESSOA")</f>
        <v>JOAO PESSOA</v>
      </c>
      <c r="G227" s="11" t="str">
        <f ca="1">IFERROR(__xludf.DUMMYFUNCTION("""COMPUTED_VALUE"""),"VENDEDOR")</f>
        <v>VENDEDOR</v>
      </c>
      <c r="H227" s="11" t="str">
        <f ca="1">IFERROR(__xludf.DUMMYFUNCTION("""COMPUTED_VALUE"""),"ASSOCIACAO BENEFICENTE SAO JOSE")</f>
        <v>ASSOCIACAO BENEFICENTE SAO JOSE</v>
      </c>
      <c r="I227" s="2" t="str">
        <f ca="1">IFERROR(__xludf.DUMMYFUNCTION("""COMPUTED_VALUE"""),"TARDE")</f>
        <v>TARDE</v>
      </c>
      <c r="J227" s="47">
        <f ca="1">IFERROR(__xludf.DUMMYFUNCTION("""COMPUTED_VALUE"""),3)</f>
        <v>3</v>
      </c>
      <c r="K227" s="2"/>
      <c r="L227" s="10"/>
      <c r="M227" s="9" t="str">
        <f ca="1">IFERROR(__xludf.DUMMYFUNCTION("""COMPUTED_VALUE"""),"caren.padilla@gmail.com")</f>
        <v>caren.padilla@gmail.com</v>
      </c>
      <c r="N227" s="2" t="str">
        <f ca="1">IFERROR(__xludf.DUMMYFUNCTION("""COMPUTED_VALUE"""),"cvpm.melo@gmail.com")</f>
        <v>cvpm.melo@gmail.com</v>
      </c>
      <c r="O227" s="2" t="str">
        <f ca="1">IFERROR(__xludf.DUMMYFUNCTION("""COMPUTED_VALUE"""),"(68)99917-5256")</f>
        <v>(68)99917-5256</v>
      </c>
      <c r="P227" s="2" t="str">
        <f ca="1">IFERROR(__xludf.DUMMYFUNCTION("""COMPUTED_VALUE"""),"(68)99228-1960")</f>
        <v>(68)99228-1960</v>
      </c>
      <c r="Q227" s="50"/>
      <c r="R227" s="50"/>
      <c r="S227" s="2" t="str">
        <f ca="1">IFERROR(VLOOKUP(A227,IMPORT_DESISTENCIA!$A$2:$Q2273,14,0),"NÃO")</f>
        <v>NÃO</v>
      </c>
      <c r="T227" s="35"/>
    </row>
    <row r="228" spans="1:20" ht="45" customHeight="1" x14ac:dyDescent="0.25">
      <c r="A228" s="2" t="str">
        <f t="shared" ca="1" si="1"/>
        <v>004/2025/058.023.034-17</v>
      </c>
      <c r="B228" s="2" t="str">
        <f ca="1">IFERROR(__xludf.DUMMYFUNCTION("""COMPUTED_VALUE"""),"058.023.034-17")</f>
        <v>058.023.034-17</v>
      </c>
      <c r="C228" s="43" t="str">
        <f ca="1">IFERROR(__xludf.DUMMYFUNCTION("""COMPUTED_VALUE"""),"SILVIA FRANCISCA DA SILVA AQUINO")</f>
        <v>SILVIA FRANCISCA DA SILVA AQUINO</v>
      </c>
      <c r="D228" s="2" t="str">
        <f ca="1">IFERROR(__xludf.DUMMYFUNCTION("""COMPUTED_VALUE"""),"PROFESSOR")</f>
        <v>PROFESSOR</v>
      </c>
      <c r="E228" s="2" t="str">
        <f ca="1">IFERROR(__xludf.DUMMYFUNCTION("""COMPUTED_VALUE"""),"004/2025")</f>
        <v>004/2025</v>
      </c>
      <c r="F228" s="2" t="str">
        <f ca="1">IFERROR(__xludf.DUMMYFUNCTION("""COMPUTED_VALUE"""),"JOAO PESSOA")</f>
        <v>JOAO PESSOA</v>
      </c>
      <c r="G228" s="11" t="str">
        <f ca="1">IFERROR(__xludf.DUMMYFUNCTION("""COMPUTED_VALUE"""),"VENDEDOR")</f>
        <v>VENDEDOR</v>
      </c>
      <c r="H228" s="11" t="str">
        <f ca="1">IFERROR(__xludf.DUMMYFUNCTION("""COMPUTED_VALUE"""),"ASSOCIACAO BENEFICENTE SAO JOSE")</f>
        <v>ASSOCIACAO BENEFICENTE SAO JOSE</v>
      </c>
      <c r="I228" s="2" t="str">
        <f ca="1">IFERROR(__xludf.DUMMYFUNCTION("""COMPUTED_VALUE"""),"TARDE")</f>
        <v>TARDE</v>
      </c>
      <c r="J228" s="47">
        <f ca="1">IFERROR(__xludf.DUMMYFUNCTION("""COMPUTED_VALUE"""),4)</f>
        <v>4</v>
      </c>
      <c r="K228" s="2"/>
      <c r="L228" s="10"/>
      <c r="M228" s="9" t="str">
        <f ca="1">IFERROR(__xludf.DUMMYFUNCTION("""COMPUTED_VALUE"""),"silvia26.concursos@gmail.com")</f>
        <v>silvia26.concursos@gmail.com</v>
      </c>
      <c r="N228" s="2" t="str">
        <f ca="1">IFERROR(__xludf.DUMMYFUNCTION("""COMPUTED_VALUE"""),"silvia.aquino26@gmail.com")</f>
        <v>silvia.aquino26@gmail.com</v>
      </c>
      <c r="O228" s="2" t="str">
        <f ca="1">IFERROR(__xludf.DUMMYFUNCTION("""COMPUTED_VALUE"""),"(83)98815-3144")</f>
        <v>(83)98815-3144</v>
      </c>
      <c r="P228" s="2" t="str">
        <f ca="1">IFERROR(__xludf.DUMMYFUNCTION("""COMPUTED_VALUE"""),"(83)98831-1657")</f>
        <v>(83)98831-1657</v>
      </c>
      <c r="Q228" s="50"/>
      <c r="R228" s="50"/>
      <c r="S228" s="2" t="str">
        <f ca="1">IFERROR(VLOOKUP(A228,IMPORT_DESISTENCIA!$A$2:$Q2273,14,0),"NÃO")</f>
        <v>NÃO</v>
      </c>
      <c r="T228" s="35"/>
    </row>
    <row r="229" spans="1:20" ht="45" customHeight="1" x14ac:dyDescent="0.25">
      <c r="A229" s="2" t="str">
        <f t="shared" ca="1" si="1"/>
        <v>004/2025/087.772.384-27</v>
      </c>
      <c r="B229" s="2" t="str">
        <f ca="1">IFERROR(__xludf.DUMMYFUNCTION("""COMPUTED_VALUE"""),"087.772.384-27")</f>
        <v>087.772.384-27</v>
      </c>
      <c r="C229" s="43" t="str">
        <f ca="1">IFERROR(__xludf.DUMMYFUNCTION("""COMPUTED_VALUE"""),"ERNANDA GABRIELLY DA SILVA VASCONCELOS")</f>
        <v>ERNANDA GABRIELLY DA SILVA VASCONCELOS</v>
      </c>
      <c r="D229" s="2" t="str">
        <f ca="1">IFERROR(__xludf.DUMMYFUNCTION("""COMPUTED_VALUE"""),"PROFESSOR")</f>
        <v>PROFESSOR</v>
      </c>
      <c r="E229" s="2" t="str">
        <f ca="1">IFERROR(__xludf.DUMMYFUNCTION("""COMPUTED_VALUE"""),"004/2025")</f>
        <v>004/2025</v>
      </c>
      <c r="F229" s="2" t="str">
        <f ca="1">IFERROR(__xludf.DUMMYFUNCTION("""COMPUTED_VALUE"""),"JOAO PESSOA")</f>
        <v>JOAO PESSOA</v>
      </c>
      <c r="G229" s="11" t="str">
        <f ca="1">IFERROR(__xludf.DUMMYFUNCTION("""COMPUTED_VALUE"""),"VENDEDOR")</f>
        <v>VENDEDOR</v>
      </c>
      <c r="H229" s="11" t="str">
        <f ca="1">IFERROR(__xludf.DUMMYFUNCTION("""COMPUTED_VALUE"""),"ASSOCIACAO BENEFICENTE SAO JOSE")</f>
        <v>ASSOCIACAO BENEFICENTE SAO JOSE</v>
      </c>
      <c r="I229" s="2" t="str">
        <f ca="1">IFERROR(__xludf.DUMMYFUNCTION("""COMPUTED_VALUE"""),"TARDE")</f>
        <v>TARDE</v>
      </c>
      <c r="J229" s="47">
        <f ca="1">IFERROR(__xludf.DUMMYFUNCTION("""COMPUTED_VALUE"""),5)</f>
        <v>5</v>
      </c>
      <c r="K229" s="2"/>
      <c r="L229" s="10"/>
      <c r="M229" s="9" t="str">
        <f ca="1">IFERROR(__xludf.DUMMYFUNCTION("""COMPUTED_VALUE"""),"ernandagsv@outlook.com")</f>
        <v>ernandagsv@outlook.com</v>
      </c>
      <c r="N229" s="2" t="str">
        <f ca="1">IFERROR(__xludf.DUMMYFUNCTION("""COMPUTED_VALUE"""),"ernandagsv@outlook.com")</f>
        <v>ernandagsv@outlook.com</v>
      </c>
      <c r="O229" s="2" t="str">
        <f ca="1">IFERROR(__xludf.DUMMYFUNCTION("""COMPUTED_VALUE"""),"(83)99603-9901")</f>
        <v>(83)99603-9901</v>
      </c>
      <c r="P229" s="2"/>
      <c r="Q229" s="50"/>
      <c r="R229" s="50"/>
      <c r="S229" s="2" t="str">
        <f ca="1">IFERROR(VLOOKUP(A229,IMPORT_DESISTENCIA!$A$2:$Q2273,14,0),"NÃO")</f>
        <v>NÃO</v>
      </c>
      <c r="T229" s="35"/>
    </row>
    <row r="230" spans="1:20" ht="45" customHeight="1" x14ac:dyDescent="0.25">
      <c r="A230" s="2" t="str">
        <f t="shared" ca="1" si="1"/>
        <v>004/2025/047.137.654-06</v>
      </c>
      <c r="B230" s="2" t="str">
        <f ca="1">IFERROR(__xludf.DUMMYFUNCTION("""COMPUTED_VALUE"""),"047.137.654-06")</f>
        <v>047.137.654-06</v>
      </c>
      <c r="C230" s="43" t="str">
        <f ca="1">IFERROR(__xludf.DUMMYFUNCTION("""COMPUTED_VALUE"""),"BRUNO VINICIUS PESSOA SANTOS")</f>
        <v>BRUNO VINICIUS PESSOA SANTOS</v>
      </c>
      <c r="D230" s="2" t="str">
        <f ca="1">IFERROR(__xludf.DUMMYFUNCTION("""COMPUTED_VALUE"""),"PROFESSOR")</f>
        <v>PROFESSOR</v>
      </c>
      <c r="E230" s="2" t="str">
        <f ca="1">IFERROR(__xludf.DUMMYFUNCTION("""COMPUTED_VALUE"""),"004/2025")</f>
        <v>004/2025</v>
      </c>
      <c r="F230" s="2" t="str">
        <f ca="1">IFERROR(__xludf.DUMMYFUNCTION("""COMPUTED_VALUE"""),"JOAO PESSOA")</f>
        <v>JOAO PESSOA</v>
      </c>
      <c r="G230" s="11" t="str">
        <f ca="1">IFERROR(__xludf.DUMMYFUNCTION("""COMPUTED_VALUE"""),"VENDEDOR")</f>
        <v>VENDEDOR</v>
      </c>
      <c r="H230" s="11" t="str">
        <f ca="1">IFERROR(__xludf.DUMMYFUNCTION("""COMPUTED_VALUE"""),"ASSOCIACAO BENEFICENTE SAO JOSE")</f>
        <v>ASSOCIACAO BENEFICENTE SAO JOSE</v>
      </c>
      <c r="I230" s="2" t="str">
        <f ca="1">IFERROR(__xludf.DUMMYFUNCTION("""COMPUTED_VALUE"""),"TARDE")</f>
        <v>TARDE</v>
      </c>
      <c r="J230" s="47">
        <f ca="1">IFERROR(__xludf.DUMMYFUNCTION("""COMPUTED_VALUE"""),6)</f>
        <v>6</v>
      </c>
      <c r="K230" s="2"/>
      <c r="L230" s="10"/>
      <c r="M230" s="9" t="str">
        <f ca="1">IFERROR(__xludf.DUMMYFUNCTION("""COMPUTED_VALUE"""),"brunovpessoas@gmail.com")</f>
        <v>brunovpessoas@gmail.com</v>
      </c>
      <c r="N230" s="2" t="str">
        <f ca="1">IFERROR(__xludf.DUMMYFUNCTION("""COMPUTED_VALUE"""),"brunovpessoas@hotmail.com")</f>
        <v>brunovpessoas@hotmail.com</v>
      </c>
      <c r="O230" s="2" t="str">
        <f ca="1">IFERROR(__xludf.DUMMYFUNCTION("""COMPUTED_VALUE"""),"(83)999796281")</f>
        <v>(83)999796281</v>
      </c>
      <c r="P230" s="2" t="str">
        <f ca="1">IFERROR(__xludf.DUMMYFUNCTION("""COMPUTED_VALUE"""),"(83)32551196")</f>
        <v>(83)32551196</v>
      </c>
      <c r="Q230" s="50"/>
      <c r="R230" s="50"/>
      <c r="S230" s="2" t="str">
        <f ca="1">IFERROR(VLOOKUP(A230,IMPORT_DESISTENCIA!$A$2:$Q2273,14,0),"NÃO")</f>
        <v>NÃO</v>
      </c>
      <c r="T230" s="35"/>
    </row>
    <row r="231" spans="1:20" ht="45" customHeight="1" x14ac:dyDescent="0.25">
      <c r="A231" s="2" t="str">
        <f t="shared" ca="1" si="1"/>
        <v>004/2025/007.417.564-55</v>
      </c>
      <c r="B231" s="2" t="str">
        <f ca="1">IFERROR(__xludf.DUMMYFUNCTION("""COMPUTED_VALUE"""),"007.417.564-55")</f>
        <v>007.417.564-55</v>
      </c>
      <c r="C231" s="43" t="str">
        <f ca="1">IFERROR(__xludf.DUMMYFUNCTION("""COMPUTED_VALUE"""),"WALDEREE WAGNER PEREIRA DE OLIVEIRA")</f>
        <v>WALDEREE WAGNER PEREIRA DE OLIVEIRA</v>
      </c>
      <c r="D231" s="2" t="str">
        <f ca="1">IFERROR(__xludf.DUMMYFUNCTION("""COMPUTED_VALUE"""),"PROFESSOR")</f>
        <v>PROFESSOR</v>
      </c>
      <c r="E231" s="2" t="str">
        <f ca="1">IFERROR(__xludf.DUMMYFUNCTION("""COMPUTED_VALUE"""),"004/2025")</f>
        <v>004/2025</v>
      </c>
      <c r="F231" s="2" t="str">
        <f ca="1">IFERROR(__xludf.DUMMYFUNCTION("""COMPUTED_VALUE"""),"JOAO PESSOA")</f>
        <v>JOAO PESSOA</v>
      </c>
      <c r="G231" s="11" t="str">
        <f ca="1">IFERROR(__xludf.DUMMYFUNCTION("""COMPUTED_VALUE"""),"VENDEDOR")</f>
        <v>VENDEDOR</v>
      </c>
      <c r="H231" s="11" t="str">
        <f ca="1">IFERROR(__xludf.DUMMYFUNCTION("""COMPUTED_VALUE"""),"ASSOCIACAO BENEFICENTE SAO JOSE")</f>
        <v>ASSOCIACAO BENEFICENTE SAO JOSE</v>
      </c>
      <c r="I231" s="2" t="str">
        <f ca="1">IFERROR(__xludf.DUMMYFUNCTION("""COMPUTED_VALUE"""),"TARDE")</f>
        <v>TARDE</v>
      </c>
      <c r="J231" s="47">
        <f ca="1">IFERROR(__xludf.DUMMYFUNCTION("""COMPUTED_VALUE"""),7)</f>
        <v>7</v>
      </c>
      <c r="K231" s="2"/>
      <c r="L231" s="10"/>
      <c r="M231" s="9" t="str">
        <f ca="1">IFERROR(__xludf.DUMMYFUNCTION("""COMPUTED_VALUE"""),"walderee@gmail.com")</f>
        <v>walderee@gmail.com</v>
      </c>
      <c r="N231" s="2" t="str">
        <f ca="1">IFERROR(__xludf.DUMMYFUNCTION("""COMPUTED_VALUE"""),"waldereeoliveirs@gmail.com")</f>
        <v>waldereeoliveirs@gmail.com</v>
      </c>
      <c r="O231" s="2" t="str">
        <f ca="1">IFERROR(__xludf.DUMMYFUNCTION("""COMPUTED_VALUE"""),"(83)99949-1103")</f>
        <v>(83)99949-1103</v>
      </c>
      <c r="P231" s="2" t="str">
        <f ca="1">IFERROR(__xludf.DUMMYFUNCTION("""COMPUTED_VALUE"""),"(83)98622-1997")</f>
        <v>(83)98622-1997</v>
      </c>
      <c r="Q231" s="50"/>
      <c r="R231" s="50"/>
      <c r="S231" s="2" t="str">
        <f ca="1">IFERROR(VLOOKUP(A231,IMPORT_DESISTENCIA!$A$2:$Q2273,14,0),"NÃO")</f>
        <v>NÃO</v>
      </c>
      <c r="T231" s="35"/>
    </row>
    <row r="232" spans="1:20" ht="45" customHeight="1" x14ac:dyDescent="0.25">
      <c r="A232" s="2" t="str">
        <f t="shared" ca="1" si="1"/>
        <v>004/2025/959.336.111-15</v>
      </c>
      <c r="B232" s="2" t="str">
        <f ca="1">IFERROR(__xludf.DUMMYFUNCTION("""COMPUTED_VALUE"""),"959.336.111-15")</f>
        <v>959.336.111-15</v>
      </c>
      <c r="C232" s="43" t="str">
        <f ca="1">IFERROR(__xludf.DUMMYFUNCTION("""COMPUTED_VALUE"""),"VIVIANE MARIA RAMALHO GALVAO")</f>
        <v>VIVIANE MARIA RAMALHO GALVAO</v>
      </c>
      <c r="D232" s="2" t="str">
        <f ca="1">IFERROR(__xludf.DUMMYFUNCTION("""COMPUTED_VALUE"""),"PROFESSOR")</f>
        <v>PROFESSOR</v>
      </c>
      <c r="E232" s="2" t="str">
        <f ca="1">IFERROR(__xludf.DUMMYFUNCTION("""COMPUTED_VALUE"""),"004/2025")</f>
        <v>004/2025</v>
      </c>
      <c r="F232" s="2" t="str">
        <f ca="1">IFERROR(__xludf.DUMMYFUNCTION("""COMPUTED_VALUE"""),"JOAO PESSOA")</f>
        <v>JOAO PESSOA</v>
      </c>
      <c r="G232" s="11" t="str">
        <f ca="1">IFERROR(__xludf.DUMMYFUNCTION("""COMPUTED_VALUE"""),"VENDEDOR")</f>
        <v>VENDEDOR</v>
      </c>
      <c r="H232" s="11" t="str">
        <f ca="1">IFERROR(__xludf.DUMMYFUNCTION("""COMPUTED_VALUE"""),"ASSOCIACAO BENEFICENTE SAO JOSE")</f>
        <v>ASSOCIACAO BENEFICENTE SAO JOSE</v>
      </c>
      <c r="I232" s="2" t="str">
        <f ca="1">IFERROR(__xludf.DUMMYFUNCTION("""COMPUTED_VALUE"""),"TARDE")</f>
        <v>TARDE</v>
      </c>
      <c r="J232" s="47">
        <f ca="1">IFERROR(__xludf.DUMMYFUNCTION("""COMPUTED_VALUE"""),8)</f>
        <v>8</v>
      </c>
      <c r="K232" s="2"/>
      <c r="L232" s="10"/>
      <c r="M232" s="9" t="str">
        <f ca="1">IFERROR(__xludf.DUMMYFUNCTION("""COMPUTED_VALUE"""),"jornalistavivianeramalho@gmail.com")</f>
        <v>jornalistavivianeramalho@gmail.com</v>
      </c>
      <c r="N232" s="2" t="str">
        <f ca="1">IFERROR(__xludf.DUMMYFUNCTION("""COMPUTED_VALUE"""),"vivianemrgalvao@gmail.com")</f>
        <v>vivianemrgalvao@gmail.com</v>
      </c>
      <c r="O232" s="2" t="str">
        <f ca="1">IFERROR(__xludf.DUMMYFUNCTION("""COMPUTED_VALUE"""),"(83)99637-3451")</f>
        <v>(83)99637-3451</v>
      </c>
      <c r="P232" s="2" t="str">
        <f ca="1">IFERROR(__xludf.DUMMYFUNCTION("""COMPUTED_VALUE"""),"(83)9392-4731")</f>
        <v>(83)9392-4731</v>
      </c>
      <c r="Q232" s="50"/>
      <c r="R232" s="50"/>
      <c r="S232" s="2" t="str">
        <f ca="1">IFERROR(VLOOKUP(A232,IMPORT_DESISTENCIA!$A$2:$Q2273,14,0),"NÃO")</f>
        <v>NÃO</v>
      </c>
      <c r="T232" s="35"/>
    </row>
    <row r="233" spans="1:20" ht="45" customHeight="1" x14ac:dyDescent="0.25">
      <c r="A233" s="2" t="str">
        <f t="shared" ca="1" si="1"/>
        <v>004/2025/062.322.074-16</v>
      </c>
      <c r="B233" s="2" t="str">
        <f ca="1">IFERROR(__xludf.DUMMYFUNCTION("""COMPUTED_VALUE"""),"062.322.074-16")</f>
        <v>062.322.074-16</v>
      </c>
      <c r="C233" s="43" t="str">
        <f ca="1">IFERROR(__xludf.DUMMYFUNCTION("""COMPUTED_VALUE"""),"ALESSIENE MEDEIROS DOS SANTOS")</f>
        <v>ALESSIENE MEDEIROS DOS SANTOS</v>
      </c>
      <c r="D233" s="2" t="str">
        <f ca="1">IFERROR(__xludf.DUMMYFUNCTION("""COMPUTED_VALUE"""),"PROFESSOR")</f>
        <v>PROFESSOR</v>
      </c>
      <c r="E233" s="2" t="str">
        <f ca="1">IFERROR(__xludf.DUMMYFUNCTION("""COMPUTED_VALUE"""),"004/2025")</f>
        <v>004/2025</v>
      </c>
      <c r="F233" s="2" t="str">
        <f ca="1">IFERROR(__xludf.DUMMYFUNCTION("""COMPUTED_VALUE"""),"JOAO PESSOA")</f>
        <v>JOAO PESSOA</v>
      </c>
      <c r="G233" s="11" t="str">
        <f ca="1">IFERROR(__xludf.DUMMYFUNCTION("""COMPUTED_VALUE"""),"VENDEDOR")</f>
        <v>VENDEDOR</v>
      </c>
      <c r="H233" s="11" t="str">
        <f ca="1">IFERROR(__xludf.DUMMYFUNCTION("""COMPUTED_VALUE"""),"ASSOCIACAO BENEFICENTE SAO JOSE")</f>
        <v>ASSOCIACAO BENEFICENTE SAO JOSE</v>
      </c>
      <c r="I233" s="2" t="str">
        <f ca="1">IFERROR(__xludf.DUMMYFUNCTION("""COMPUTED_VALUE"""),"TARDE")</f>
        <v>TARDE</v>
      </c>
      <c r="J233" s="47">
        <f ca="1">IFERROR(__xludf.DUMMYFUNCTION("""COMPUTED_VALUE"""),9)</f>
        <v>9</v>
      </c>
      <c r="K233" s="2"/>
      <c r="L233" s="10"/>
      <c r="M233" s="9" t="str">
        <f ca="1">IFERROR(__xludf.DUMMYFUNCTION("""COMPUTED_VALUE"""),"alessienemedeiros@gmail.com")</f>
        <v>alessienemedeiros@gmail.com</v>
      </c>
      <c r="N233" s="2" t="str">
        <f ca="1">IFERROR(__xludf.DUMMYFUNCTION("""COMPUTED_VALUE"""),"alessiene@yahoo.com.br")</f>
        <v>alessiene@yahoo.com.br</v>
      </c>
      <c r="O233" s="2" t="str">
        <f ca="1">IFERROR(__xludf.DUMMYFUNCTION("""COMPUTED_VALUE"""),"(83)98834-9324")</f>
        <v>(83)98834-9324</v>
      </c>
      <c r="P233" s="2" t="str">
        <f ca="1">IFERROR(__xludf.DUMMYFUNCTION("""COMPUTED_VALUE"""),"(83)98631-0096")</f>
        <v>(83)98631-0096</v>
      </c>
      <c r="Q233" s="50"/>
      <c r="R233" s="50"/>
      <c r="S233" s="2" t="str">
        <f ca="1">IFERROR(VLOOKUP(A233,IMPORT_DESISTENCIA!$A$2:$Q2273,14,0),"NÃO")</f>
        <v>NÃO</v>
      </c>
      <c r="T233" s="35"/>
    </row>
    <row r="234" spans="1:20" ht="45" customHeight="1" x14ac:dyDescent="0.25">
      <c r="A234" s="2" t="str">
        <f t="shared" ca="1" si="1"/>
        <v>004/2025/090.360.684-44</v>
      </c>
      <c r="B234" s="2" t="str">
        <f ca="1">IFERROR(__xludf.DUMMYFUNCTION("""COMPUTED_VALUE"""),"090.360.684-44")</f>
        <v>090.360.684-44</v>
      </c>
      <c r="C234" s="43" t="str">
        <f ca="1">IFERROR(__xludf.DUMMYFUNCTION("""COMPUTED_VALUE"""),"CHARLINE SHELRILY SILVA SANTANA")</f>
        <v>CHARLINE SHELRILY SILVA SANTANA</v>
      </c>
      <c r="D234" s="2" t="str">
        <f ca="1">IFERROR(__xludf.DUMMYFUNCTION("""COMPUTED_VALUE"""),"PROFESSOR")</f>
        <v>PROFESSOR</v>
      </c>
      <c r="E234" s="2" t="str">
        <f ca="1">IFERROR(__xludf.DUMMYFUNCTION("""COMPUTED_VALUE"""),"004/2025")</f>
        <v>004/2025</v>
      </c>
      <c r="F234" s="2" t="str">
        <f ca="1">IFERROR(__xludf.DUMMYFUNCTION("""COMPUTED_VALUE"""),"JOAO PESSOA")</f>
        <v>JOAO PESSOA</v>
      </c>
      <c r="G234" s="11" t="str">
        <f ca="1">IFERROR(__xludf.DUMMYFUNCTION("""COMPUTED_VALUE"""),"VENDEDOR")</f>
        <v>VENDEDOR</v>
      </c>
      <c r="H234" s="11" t="str">
        <f ca="1">IFERROR(__xludf.DUMMYFUNCTION("""COMPUTED_VALUE"""),"ASSOCIACAO BENEFICENTE SAO JOSE")</f>
        <v>ASSOCIACAO BENEFICENTE SAO JOSE</v>
      </c>
      <c r="I234" s="2" t="str">
        <f ca="1">IFERROR(__xludf.DUMMYFUNCTION("""COMPUTED_VALUE"""),"TARDE")</f>
        <v>TARDE</v>
      </c>
      <c r="J234" s="47">
        <f ca="1">IFERROR(__xludf.DUMMYFUNCTION("""COMPUTED_VALUE"""),10)</f>
        <v>10</v>
      </c>
      <c r="K234" s="2"/>
      <c r="L234" s="10"/>
      <c r="M234" s="9" t="str">
        <f ca="1">IFERROR(__xludf.DUMMYFUNCTION("""COMPUTED_VALUE"""),"charlinesantana@gmail.com")</f>
        <v>charlinesantana@gmail.com</v>
      </c>
      <c r="N234" s="2" t="str">
        <f ca="1">IFERROR(__xludf.DUMMYFUNCTION("""COMPUTED_VALUE"""),"charlineshelrily@icloud.com")</f>
        <v>charlineshelrily@icloud.com</v>
      </c>
      <c r="O234" s="2" t="str">
        <f ca="1">IFERROR(__xludf.DUMMYFUNCTION("""COMPUTED_VALUE"""),"(83)98824-9553")</f>
        <v>(83)98824-9553</v>
      </c>
      <c r="P234" s="2" t="str">
        <f ca="1">IFERROR(__xludf.DUMMYFUNCTION("""COMPUTED_VALUE"""),"(83)98841-3673")</f>
        <v>(83)98841-3673</v>
      </c>
      <c r="Q234" s="50"/>
      <c r="R234" s="50"/>
      <c r="S234" s="2" t="str">
        <f ca="1">IFERROR(VLOOKUP(A234,IMPORT_DESISTENCIA!$A$2:$Q2273,14,0),"NÃO")</f>
        <v>NÃO</v>
      </c>
      <c r="T234" s="35"/>
    </row>
    <row r="235" spans="1:20" ht="45" customHeight="1" x14ac:dyDescent="0.25">
      <c r="A235" s="2" t="str">
        <f t="shared" ca="1" si="1"/>
        <v>004/2025/008.588.344-13</v>
      </c>
      <c r="B235" s="2" t="str">
        <f ca="1">IFERROR(__xludf.DUMMYFUNCTION("""COMPUTED_VALUE"""),"008.588.344-13")</f>
        <v>008.588.344-13</v>
      </c>
      <c r="C235" s="43" t="str">
        <f ca="1">IFERROR(__xludf.DUMMYFUNCTION("""COMPUTED_VALUE"""),"IGOR HENRIQUE WANDERLEY SAMPAIO")</f>
        <v>IGOR HENRIQUE WANDERLEY SAMPAIO</v>
      </c>
      <c r="D235" s="2" t="str">
        <f ca="1">IFERROR(__xludf.DUMMYFUNCTION("""COMPUTED_VALUE"""),"PROFESSOR")</f>
        <v>PROFESSOR</v>
      </c>
      <c r="E235" s="2" t="str">
        <f ca="1">IFERROR(__xludf.DUMMYFUNCTION("""COMPUTED_VALUE"""),"004/2025")</f>
        <v>004/2025</v>
      </c>
      <c r="F235" s="2" t="str">
        <f ca="1">IFERROR(__xludf.DUMMYFUNCTION("""COMPUTED_VALUE"""),"JOAO PESSOA")</f>
        <v>JOAO PESSOA</v>
      </c>
      <c r="G235" s="11" t="str">
        <f ca="1">IFERROR(__xludf.DUMMYFUNCTION("""COMPUTED_VALUE"""),"VENDEDOR")</f>
        <v>VENDEDOR</v>
      </c>
      <c r="H235" s="11" t="str">
        <f ca="1">IFERROR(__xludf.DUMMYFUNCTION("""COMPUTED_VALUE"""),"ASSOCIACAO BENEFICENTE SAO JOSE")</f>
        <v>ASSOCIACAO BENEFICENTE SAO JOSE</v>
      </c>
      <c r="I235" s="2" t="str">
        <f ca="1">IFERROR(__xludf.DUMMYFUNCTION("""COMPUTED_VALUE"""),"TARDE")</f>
        <v>TARDE</v>
      </c>
      <c r="J235" s="47">
        <f ca="1">IFERROR(__xludf.DUMMYFUNCTION("""COMPUTED_VALUE"""),11)</f>
        <v>11</v>
      </c>
      <c r="K235" s="2"/>
      <c r="L235" s="10"/>
      <c r="M235" s="9" t="str">
        <f ca="1">IFERROR(__xludf.DUMMYFUNCTION("""COMPUTED_VALUE"""),"ihwsampaio@hotmail.com")</f>
        <v>ihwsampaio@hotmail.com</v>
      </c>
      <c r="N235" s="2" t="str">
        <f ca="1">IFERROR(__xludf.DUMMYFUNCTION("""COMPUTED_VALUE"""),"igorhws.adm@gmail.com")</f>
        <v>igorhws.adm@gmail.com</v>
      </c>
      <c r="O235" s="2" t="str">
        <f ca="1">IFERROR(__xludf.DUMMYFUNCTION("""COMPUTED_VALUE"""),"(83)98889-9161")</f>
        <v>(83)98889-9161</v>
      </c>
      <c r="P235" s="2" t="str">
        <f ca="1">IFERROR(__xludf.DUMMYFUNCTION("""COMPUTED_VALUE"""),"(83)98889-9161")</f>
        <v>(83)98889-9161</v>
      </c>
      <c r="Q235" s="50"/>
      <c r="R235" s="50"/>
      <c r="S235" s="2" t="str">
        <f ca="1">IFERROR(VLOOKUP(A235,IMPORT_DESISTENCIA!$A$2:$Q2273,14,0),"NÃO")</f>
        <v>NÃO</v>
      </c>
      <c r="T235" s="35"/>
    </row>
    <row r="236" spans="1:20" ht="45" customHeight="1" x14ac:dyDescent="0.25">
      <c r="A236" s="2" t="str">
        <f t="shared" ca="1" si="1"/>
        <v>004/2025/007.894.995-50</v>
      </c>
      <c r="B236" s="2" t="str">
        <f ca="1">IFERROR(__xludf.DUMMYFUNCTION("""COMPUTED_VALUE"""),"007.894.995-50")</f>
        <v>007.894.995-50</v>
      </c>
      <c r="C236" s="43" t="str">
        <f ca="1">IFERROR(__xludf.DUMMYFUNCTION("""COMPUTED_VALUE"""),"ROBSON LOPES DA SILVA")</f>
        <v>ROBSON LOPES DA SILVA</v>
      </c>
      <c r="D236" s="2" t="str">
        <f ca="1">IFERROR(__xludf.DUMMYFUNCTION("""COMPUTED_VALUE"""),"PROFESSOR")</f>
        <v>PROFESSOR</v>
      </c>
      <c r="E236" s="2" t="str">
        <f ca="1">IFERROR(__xludf.DUMMYFUNCTION("""COMPUTED_VALUE"""),"004/2025")</f>
        <v>004/2025</v>
      </c>
      <c r="F236" s="2" t="str">
        <f ca="1">IFERROR(__xludf.DUMMYFUNCTION("""COMPUTED_VALUE"""),"JOAO PESSOA")</f>
        <v>JOAO PESSOA</v>
      </c>
      <c r="G236" s="11" t="str">
        <f ca="1">IFERROR(__xludf.DUMMYFUNCTION("""COMPUTED_VALUE"""),"VENDEDOR")</f>
        <v>VENDEDOR</v>
      </c>
      <c r="H236" s="11" t="str">
        <f ca="1">IFERROR(__xludf.DUMMYFUNCTION("""COMPUTED_VALUE"""),"ASSOCIACAO BENEFICENTE SAO JOSE")</f>
        <v>ASSOCIACAO BENEFICENTE SAO JOSE</v>
      </c>
      <c r="I236" s="2" t="str">
        <f ca="1">IFERROR(__xludf.DUMMYFUNCTION("""COMPUTED_VALUE"""),"TARDE")</f>
        <v>TARDE</v>
      </c>
      <c r="J236" s="47">
        <f ca="1">IFERROR(__xludf.DUMMYFUNCTION("""COMPUTED_VALUE"""),12)</f>
        <v>12</v>
      </c>
      <c r="K236" s="2"/>
      <c r="L236" s="10"/>
      <c r="M236" s="9" t="str">
        <f ca="1">IFERROR(__xludf.DUMMYFUNCTION("""COMPUTED_VALUE"""),"geisyanne2017.rg@gmail.com")</f>
        <v>geisyanne2017.rg@gmail.com</v>
      </c>
      <c r="N236" s="2" t="str">
        <f ca="1">IFERROR(__xludf.DUMMYFUNCTION("""COMPUTED_VALUE"""),"estellatj@gmail.com")</f>
        <v>estellatj@gmail.com</v>
      </c>
      <c r="O236" s="2" t="str">
        <f ca="1">IFERROR(__xludf.DUMMYFUNCTION("""COMPUTED_VALUE"""),"(79)99975-7765")</f>
        <v>(79)99975-7765</v>
      </c>
      <c r="P236" s="2" t="str">
        <f ca="1">IFERROR(__xludf.DUMMYFUNCTION("""COMPUTED_VALUE"""),"(79)99975-7765")</f>
        <v>(79)99975-7765</v>
      </c>
      <c r="Q236" s="50"/>
      <c r="R236" s="50"/>
      <c r="S236" s="2" t="str">
        <f ca="1">IFERROR(VLOOKUP(A236,IMPORT_DESISTENCIA!$A$2:$Q2273,14,0),"NÃO")</f>
        <v>NÃO</v>
      </c>
      <c r="T236" s="35"/>
    </row>
    <row r="237" spans="1:20" ht="45" customHeight="1" x14ac:dyDescent="0.25">
      <c r="A237" s="2" t="str">
        <f t="shared" ca="1" si="1"/>
        <v>004/2025/063.371.354-66</v>
      </c>
      <c r="B237" s="2" t="str">
        <f ca="1">IFERROR(__xludf.DUMMYFUNCTION("""COMPUTED_VALUE"""),"063.371.354-66")</f>
        <v>063.371.354-66</v>
      </c>
      <c r="C237" s="43" t="str">
        <f ca="1">IFERROR(__xludf.DUMMYFUNCTION("""COMPUTED_VALUE"""),"THAIS SUELLEN FERREIRA DE FRANÇA")</f>
        <v>THAIS SUELLEN FERREIRA DE FRANÇA</v>
      </c>
      <c r="D237" s="2" t="str">
        <f ca="1">IFERROR(__xludf.DUMMYFUNCTION("""COMPUTED_VALUE"""),"PROFESSOR")</f>
        <v>PROFESSOR</v>
      </c>
      <c r="E237" s="2" t="str">
        <f ca="1">IFERROR(__xludf.DUMMYFUNCTION("""COMPUTED_VALUE"""),"004/2025")</f>
        <v>004/2025</v>
      </c>
      <c r="F237" s="2" t="str">
        <f ca="1">IFERROR(__xludf.DUMMYFUNCTION("""COMPUTED_VALUE"""),"JOAO PESSOA")</f>
        <v>JOAO PESSOA</v>
      </c>
      <c r="G237" s="11" t="str">
        <f ca="1">IFERROR(__xludf.DUMMYFUNCTION("""COMPUTED_VALUE"""),"VENDEDOR")</f>
        <v>VENDEDOR</v>
      </c>
      <c r="H237" s="11" t="str">
        <f ca="1">IFERROR(__xludf.DUMMYFUNCTION("""COMPUTED_VALUE"""),"ASSOCIACAO BENEFICENTE SAO JOSE")</f>
        <v>ASSOCIACAO BENEFICENTE SAO JOSE</v>
      </c>
      <c r="I237" s="2" t="str">
        <f ca="1">IFERROR(__xludf.DUMMYFUNCTION("""COMPUTED_VALUE"""),"TARDE")</f>
        <v>TARDE</v>
      </c>
      <c r="J237" s="47">
        <f ca="1">IFERROR(__xludf.DUMMYFUNCTION("""COMPUTED_VALUE"""),13)</f>
        <v>13</v>
      </c>
      <c r="K237" s="2"/>
      <c r="L237" s="10"/>
      <c r="M237" s="9" t="str">
        <f ca="1">IFERROR(__xludf.DUMMYFUNCTION("""COMPUTED_VALUE"""),"francathais600@gmail.com")</f>
        <v>francathais600@gmail.com</v>
      </c>
      <c r="N237" s="2" t="str">
        <f ca="1">IFERROR(__xludf.DUMMYFUNCTION("""COMPUTED_VALUE"""),"thaisfr30@outlook.com")</f>
        <v>thaisfr30@outlook.com</v>
      </c>
      <c r="O237" s="2" t="str">
        <f ca="1">IFERROR(__xludf.DUMMYFUNCTION("""COMPUTED_VALUE"""),"(83)99664-2880")</f>
        <v>(83)99664-2880</v>
      </c>
      <c r="P237" s="2"/>
      <c r="Q237" s="50"/>
      <c r="R237" s="50"/>
      <c r="S237" s="2" t="str">
        <f ca="1">IFERROR(VLOOKUP(A237,IMPORT_DESISTENCIA!$A$2:$Q2273,14,0),"NÃO")</f>
        <v>NÃO</v>
      </c>
      <c r="T237" s="35"/>
    </row>
    <row r="238" spans="1:20" ht="45" customHeight="1" x14ac:dyDescent="0.25">
      <c r="A238" s="2" t="str">
        <f t="shared" ca="1" si="1"/>
        <v>004/2025/074.515.674-60</v>
      </c>
      <c r="B238" s="2" t="str">
        <f ca="1">IFERROR(__xludf.DUMMYFUNCTION("""COMPUTED_VALUE"""),"074.515.674-60")</f>
        <v>074.515.674-60</v>
      </c>
      <c r="C238" s="43" t="str">
        <f ca="1">IFERROR(__xludf.DUMMYFUNCTION("""COMPUTED_VALUE"""),"BRENO MARCELO MENDONCA DA SILVA")</f>
        <v>BRENO MARCELO MENDONCA DA SILVA</v>
      </c>
      <c r="D238" s="2" t="str">
        <f ca="1">IFERROR(__xludf.DUMMYFUNCTION("""COMPUTED_VALUE"""),"PROFESSOR")</f>
        <v>PROFESSOR</v>
      </c>
      <c r="E238" s="2" t="str">
        <f ca="1">IFERROR(__xludf.DUMMYFUNCTION("""COMPUTED_VALUE"""),"004/2025")</f>
        <v>004/2025</v>
      </c>
      <c r="F238" s="2" t="str">
        <f ca="1">IFERROR(__xludf.DUMMYFUNCTION("""COMPUTED_VALUE"""),"JOAO PESSOA")</f>
        <v>JOAO PESSOA</v>
      </c>
      <c r="G238" s="11" t="str">
        <f ca="1">IFERROR(__xludf.DUMMYFUNCTION("""COMPUTED_VALUE"""),"VENDEDOR")</f>
        <v>VENDEDOR</v>
      </c>
      <c r="H238" s="11" t="str">
        <f ca="1">IFERROR(__xludf.DUMMYFUNCTION("""COMPUTED_VALUE"""),"ASSOCIACAO BENEFICENTE SAO JOSE")</f>
        <v>ASSOCIACAO BENEFICENTE SAO JOSE</v>
      </c>
      <c r="I238" s="2" t="str">
        <f ca="1">IFERROR(__xludf.DUMMYFUNCTION("""COMPUTED_VALUE"""),"TARDE")</f>
        <v>TARDE</v>
      </c>
      <c r="J238" s="47">
        <f ca="1">IFERROR(__xludf.DUMMYFUNCTION("""COMPUTED_VALUE"""),14)</f>
        <v>14</v>
      </c>
      <c r="K238" s="2"/>
      <c r="L238" s="10"/>
      <c r="M238" s="9" t="str">
        <f ca="1">IFERROR(__xludf.DUMMYFUNCTION("""COMPUTED_VALUE"""),"bmmusic659@gmail.com")</f>
        <v>bmmusic659@gmail.com</v>
      </c>
      <c r="N238" s="2"/>
      <c r="O238" s="2" t="str">
        <f ca="1">IFERROR(__xludf.DUMMYFUNCTION("""COMPUTED_VALUE"""),"(83)98755-4625")</f>
        <v>(83)98755-4625</v>
      </c>
      <c r="P238" s="2"/>
      <c r="Q238" s="50"/>
      <c r="R238" s="50"/>
      <c r="S238" s="2" t="str">
        <f ca="1">IFERROR(VLOOKUP(A238,IMPORT_DESISTENCIA!$A$2:$Q2273,14,0),"NÃO")</f>
        <v>NÃO</v>
      </c>
      <c r="T238" s="35"/>
    </row>
    <row r="239" spans="1:20" ht="45" customHeight="1" x14ac:dyDescent="0.25">
      <c r="A239" s="2" t="str">
        <f t="shared" ca="1" si="1"/>
        <v>004/2025/009.579.734-38</v>
      </c>
      <c r="B239" s="2" t="str">
        <f ca="1">IFERROR(__xludf.DUMMYFUNCTION("""COMPUTED_VALUE"""),"009.579.734-38")</f>
        <v>009.579.734-38</v>
      </c>
      <c r="C239" s="43" t="str">
        <f ca="1">IFERROR(__xludf.DUMMYFUNCTION("""COMPUTED_VALUE"""),"SERGIO ORLANDO DE SALES")</f>
        <v>SERGIO ORLANDO DE SALES</v>
      </c>
      <c r="D239" s="2" t="str">
        <f ca="1">IFERROR(__xludf.DUMMYFUNCTION("""COMPUTED_VALUE"""),"PROFESSOR")</f>
        <v>PROFESSOR</v>
      </c>
      <c r="E239" s="2" t="str">
        <f ca="1">IFERROR(__xludf.DUMMYFUNCTION("""COMPUTED_VALUE"""),"004/2025")</f>
        <v>004/2025</v>
      </c>
      <c r="F239" s="2" t="str">
        <f ca="1">IFERROR(__xludf.DUMMYFUNCTION("""COMPUTED_VALUE"""),"JOAO PESSOA")</f>
        <v>JOAO PESSOA</v>
      </c>
      <c r="G239" s="11" t="str">
        <f ca="1">IFERROR(__xludf.DUMMYFUNCTION("""COMPUTED_VALUE"""),"VENDEDOR")</f>
        <v>VENDEDOR</v>
      </c>
      <c r="H239" s="11" t="str">
        <f ca="1">IFERROR(__xludf.DUMMYFUNCTION("""COMPUTED_VALUE"""),"ASSOCIACAO BENEFICENTE SAO JOSE")</f>
        <v>ASSOCIACAO BENEFICENTE SAO JOSE</v>
      </c>
      <c r="I239" s="2" t="str">
        <f ca="1">IFERROR(__xludf.DUMMYFUNCTION("""COMPUTED_VALUE"""),"TARDE")</f>
        <v>TARDE</v>
      </c>
      <c r="J239" s="47">
        <f ca="1">IFERROR(__xludf.DUMMYFUNCTION("""COMPUTED_VALUE"""),15)</f>
        <v>15</v>
      </c>
      <c r="K239" s="2"/>
      <c r="L239" s="10"/>
      <c r="M239" s="9" t="str">
        <f ca="1">IFERROR(__xludf.DUMMYFUNCTION("""COMPUTED_VALUE"""),"sergio.sales.orlando@gmail.com")</f>
        <v>sergio.sales.orlando@gmail.com</v>
      </c>
      <c r="N239" s="2" t="str">
        <f ca="1">IFERROR(__xludf.DUMMYFUNCTION("""COMPUTED_VALUE"""),"edinalvasales28@gmail.com")</f>
        <v>edinalvasales28@gmail.com</v>
      </c>
      <c r="O239" s="2" t="str">
        <f ca="1">IFERROR(__xludf.DUMMYFUNCTION("""COMPUTED_VALUE"""),"(83)99388-3010")</f>
        <v>(83)99388-3010</v>
      </c>
      <c r="P239" s="2" t="str">
        <f ca="1">IFERROR(__xludf.DUMMYFUNCTION("""COMPUTED_VALUE"""),"(83)99170-1441")</f>
        <v>(83)99170-1441</v>
      </c>
      <c r="Q239" s="50"/>
      <c r="R239" s="50"/>
      <c r="S239" s="2" t="str">
        <f ca="1">IFERROR(VLOOKUP(A239,IMPORT_DESISTENCIA!$A$2:$Q2273,14,0),"NÃO")</f>
        <v>NÃO</v>
      </c>
      <c r="T239" s="35"/>
    </row>
    <row r="240" spans="1:20" ht="45" customHeight="1" x14ac:dyDescent="0.25">
      <c r="A240" s="2" t="str">
        <f t="shared" ca="1" si="1"/>
        <v>004/2025/067.039.494-76</v>
      </c>
      <c r="B240" s="2" t="str">
        <f ca="1">IFERROR(__xludf.DUMMYFUNCTION("""COMPUTED_VALUE"""),"067.039.494-76")</f>
        <v>067.039.494-76</v>
      </c>
      <c r="C240" s="43" t="str">
        <f ca="1">IFERROR(__xludf.DUMMYFUNCTION("""COMPUTED_VALUE"""),"CECILIA MARIA RODRIGUES")</f>
        <v>CECILIA MARIA RODRIGUES</v>
      </c>
      <c r="D240" s="2" t="str">
        <f ca="1">IFERROR(__xludf.DUMMYFUNCTION("""COMPUTED_VALUE"""),"PROFESSOR")</f>
        <v>PROFESSOR</v>
      </c>
      <c r="E240" s="2" t="str">
        <f ca="1">IFERROR(__xludf.DUMMYFUNCTION("""COMPUTED_VALUE"""),"004/2025")</f>
        <v>004/2025</v>
      </c>
      <c r="F240" s="2" t="str">
        <f ca="1">IFERROR(__xludf.DUMMYFUNCTION("""COMPUTED_VALUE"""),"MARIZOPOLIS")</f>
        <v>MARIZOPOLIS</v>
      </c>
      <c r="G240" s="11" t="str">
        <f ca="1">IFERROR(__xludf.DUMMYFUNCTION("""COMPUTED_VALUE"""),"CONFEITEIRO")</f>
        <v>CONFEITEIRO</v>
      </c>
      <c r="H240" s="11" t="str">
        <f ca="1">IFERROR(__xludf.DUMMYFUNCTION("""COMPUTED_VALUE"""),"ESCOLA MUNICIPAL VEREADOR JOAO GONCALVES DE SOUSA")</f>
        <v>ESCOLA MUNICIPAL VEREADOR JOAO GONCALVES DE SOUSA</v>
      </c>
      <c r="I240" s="2" t="str">
        <f ca="1">IFERROR(__xludf.DUMMYFUNCTION("""COMPUTED_VALUE"""),"NOITE")</f>
        <v>NOITE</v>
      </c>
      <c r="J240" s="47">
        <f ca="1">IFERROR(__xludf.DUMMYFUNCTION("""COMPUTED_VALUE"""),1)</f>
        <v>1</v>
      </c>
      <c r="K240" s="2"/>
      <c r="L240" s="10"/>
      <c r="M240" s="9" t="str">
        <f ca="1">IFERROR(__xludf.DUMMYFUNCTION("""COMPUTED_VALUE"""),"cmaria22.r@gmail.com")</f>
        <v>cmaria22.r@gmail.com</v>
      </c>
      <c r="N240" s="2" t="str">
        <f ca="1">IFERROR(__xludf.DUMMYFUNCTION("""COMPUTED_VALUE"""),"ceciliarodrigues17@yaho.com.br")</f>
        <v>ceciliarodrigues17@yaho.com.br</v>
      </c>
      <c r="O240" s="2" t="str">
        <f ca="1">IFERROR(__xludf.DUMMYFUNCTION("""COMPUTED_VALUE"""),"(81)981040018")</f>
        <v>(81)981040018</v>
      </c>
      <c r="P240" s="2"/>
      <c r="Q240" s="50"/>
      <c r="R240" s="50"/>
      <c r="S240" s="2" t="str">
        <f ca="1">IFERROR(VLOOKUP(A240,IMPORT_DESISTENCIA!$A$2:$Q2273,14,0),"NÃO")</f>
        <v>NÃO</v>
      </c>
      <c r="T240" s="35"/>
    </row>
    <row r="241" spans="1:20" ht="45" customHeight="1" x14ac:dyDescent="0.25">
      <c r="A241" s="2" t="str">
        <f t="shared" ca="1" si="1"/>
        <v>004/2025/061.390.834-19</v>
      </c>
      <c r="B241" s="2" t="str">
        <f ca="1">IFERROR(__xludf.DUMMYFUNCTION("""COMPUTED_VALUE"""),"061.390.834-19")</f>
        <v>061.390.834-19</v>
      </c>
      <c r="C241" s="43" t="str">
        <f ca="1">IFERROR(__xludf.DUMMYFUNCTION("""COMPUTED_VALUE"""),"KAROL SHARON FELIPE PEREIRA")</f>
        <v>KAROL SHARON FELIPE PEREIRA</v>
      </c>
      <c r="D241" s="2" t="str">
        <f ca="1">IFERROR(__xludf.DUMMYFUNCTION("""COMPUTED_VALUE"""),"PROFESSOR")</f>
        <v>PROFESSOR</v>
      </c>
      <c r="E241" s="2" t="str">
        <f ca="1">IFERROR(__xludf.DUMMYFUNCTION("""COMPUTED_VALUE"""),"004/2025")</f>
        <v>004/2025</v>
      </c>
      <c r="F241" s="2" t="str">
        <f ca="1">IFERROR(__xludf.DUMMYFUNCTION("""COMPUTED_VALUE"""),"PATOS")</f>
        <v>PATOS</v>
      </c>
      <c r="G241" s="11" t="str">
        <f ca="1">IFERROR(__xludf.DUMMYFUNCTION("""COMPUTED_VALUE"""),"COSTUREIRO DE MAQUINA RETA E OVERLOQUE")</f>
        <v>COSTUREIRO DE MAQUINA RETA E OVERLOQUE</v>
      </c>
      <c r="H241" s="11" t="str">
        <f ca="1">IFERROR(__xludf.DUMMYFUNCTION("""COMPUTED_VALUE"""),"PRESIDIO REGIONAL FEMININO DE PATOS")</f>
        <v>PRESIDIO REGIONAL FEMININO DE PATOS</v>
      </c>
      <c r="I241" s="2" t="str">
        <f ca="1">IFERROR(__xludf.DUMMYFUNCTION("""COMPUTED_VALUE"""),"TARDE")</f>
        <v>TARDE</v>
      </c>
      <c r="J241" s="47">
        <f ca="1">IFERROR(__xludf.DUMMYFUNCTION("""COMPUTED_VALUE"""),1)</f>
        <v>1</v>
      </c>
      <c r="K241" s="2"/>
      <c r="L241" s="10"/>
      <c r="M241" s="9" t="str">
        <f ca="1">IFERROR(__xludf.DUMMYFUNCTION("""COMPUTED_VALUE"""),"karolpgigi@gmail.com")</f>
        <v>karolpgigi@gmail.com</v>
      </c>
      <c r="N241" s="2" t="str">
        <f ca="1">IFERROR(__xludf.DUMMYFUNCTION("""COMPUTED_VALUE"""),"karol_felipe@hotmail.com")</f>
        <v>karol_felipe@hotmail.com</v>
      </c>
      <c r="O241" s="2" t="str">
        <f ca="1">IFERROR(__xludf.DUMMYFUNCTION("""COMPUTED_VALUE"""),"(84)99964-0188")</f>
        <v>(84)99964-0188</v>
      </c>
      <c r="P241" s="2" t="str">
        <f ca="1">IFERROR(__xludf.DUMMYFUNCTION("""COMPUTED_VALUE"""),"(84)99964-0188")</f>
        <v>(84)99964-0188</v>
      </c>
      <c r="Q241" s="50"/>
      <c r="R241" s="50"/>
      <c r="S241" s="2" t="str">
        <f ca="1">IFERROR(VLOOKUP(A241,IMPORT_DESISTENCIA!$A$2:$Q2273,14,0),"NÃO")</f>
        <v>NÃO</v>
      </c>
      <c r="T241" s="35"/>
    </row>
    <row r="242" spans="1:20" ht="45" customHeight="1" x14ac:dyDescent="0.25">
      <c r="A242" s="2" t="str">
        <f t="shared" ca="1" si="1"/>
        <v>004/2025/095.126.584-96</v>
      </c>
      <c r="B242" s="2" t="str">
        <f ca="1">IFERROR(__xludf.DUMMYFUNCTION("""COMPUTED_VALUE"""),"095.126.584-96")</f>
        <v>095.126.584-96</v>
      </c>
      <c r="C242" s="43" t="str">
        <f ca="1">IFERROR(__xludf.DUMMYFUNCTION("""COMPUTED_VALUE"""),"PAULO SERGIO DA SILVA")</f>
        <v>PAULO SERGIO DA SILVA</v>
      </c>
      <c r="D242" s="2" t="str">
        <f ca="1">IFERROR(__xludf.DUMMYFUNCTION("""COMPUTED_VALUE"""),"PROFESSOR")</f>
        <v>PROFESSOR</v>
      </c>
      <c r="E242" s="2" t="str">
        <f ca="1">IFERROR(__xludf.DUMMYFUNCTION("""COMPUTED_VALUE"""),"004/2025")</f>
        <v>004/2025</v>
      </c>
      <c r="F242" s="2" t="str">
        <f ca="1">IFERROR(__xludf.DUMMYFUNCTION("""COMPUTED_VALUE"""),"PILOES")</f>
        <v>PILOES</v>
      </c>
      <c r="G242" s="11" t="str">
        <f ca="1">IFERROR(__xludf.DUMMYFUNCTION("""COMPUTED_VALUE"""),"CUIDADOR DE IDOSO")</f>
        <v>CUIDADOR DE IDOSO</v>
      </c>
      <c r="H242" s="11" t="str">
        <f ca="1">IFERROR(__xludf.DUMMYFUNCTION("""COMPUTED_VALUE"""),"EMEF BRAZ BARACUHY")</f>
        <v>EMEF BRAZ BARACUHY</v>
      </c>
      <c r="I242" s="2" t="str">
        <f ca="1">IFERROR(__xludf.DUMMYFUNCTION("""COMPUTED_VALUE"""),"NOITE")</f>
        <v>NOITE</v>
      </c>
      <c r="J242" s="47">
        <f ca="1">IFERROR(__xludf.DUMMYFUNCTION("""COMPUTED_VALUE"""),1)</f>
        <v>1</v>
      </c>
      <c r="K242" s="2" t="str">
        <f ca="1">IFERROR(__xludf.DUMMYFUNCTION("""COMPUTED_VALUE"""),"POSSE VALIDADA")</f>
        <v>POSSE VALIDADA</v>
      </c>
      <c r="L242" s="10"/>
      <c r="M242" s="9" t="str">
        <f ca="1">IFERROR(__xludf.DUMMYFUNCTION("""COMPUTED_VALUE"""),"paulo.s.silva11@outlook.com")</f>
        <v>paulo.s.silva11@outlook.com</v>
      </c>
      <c r="N242" s="2"/>
      <c r="O242" s="2" t="str">
        <f ca="1">IFERROR(__xludf.DUMMYFUNCTION("""COMPUTED_VALUE"""),"(87)99151-6923")</f>
        <v>(87)99151-6923</v>
      </c>
      <c r="P242" s="2"/>
      <c r="Q242" s="50" t="str">
        <f ca="1">IFERROR(__xludf.DUMMYFUNCTION("""COMPUTED_VALUE"""),"23/04/2025")</f>
        <v>23/04/2025</v>
      </c>
      <c r="R242" s="50" t="str">
        <f ca="1">IFERROR(__xludf.DUMMYFUNCTION("""COMPUTED_VALUE"""),"07/05/2025")</f>
        <v>07/05/2025</v>
      </c>
      <c r="S242" s="2" t="str">
        <f ca="1">IFERROR(VLOOKUP(A242,IMPORT_DESISTENCIA!$A$2:$Q2273,14,0),"NÃO")</f>
        <v>DESISTIU</v>
      </c>
      <c r="T242" s="35"/>
    </row>
    <row r="243" spans="1:20" ht="45" customHeight="1" x14ac:dyDescent="0.25">
      <c r="A243" s="2" t="str">
        <f t="shared" ca="1" si="1"/>
        <v>004/2025/042.250.194-89</v>
      </c>
      <c r="B243" s="2" t="str">
        <f ca="1">IFERROR(__xludf.DUMMYFUNCTION("""COMPUTED_VALUE"""),"042.250.194-89")</f>
        <v>042.250.194-89</v>
      </c>
      <c r="C243" s="43" t="str">
        <f ca="1">IFERROR(__xludf.DUMMYFUNCTION("""COMPUTED_VALUE"""),"WAGNER SOARES FERREIRA")</f>
        <v>WAGNER SOARES FERREIRA</v>
      </c>
      <c r="D243" s="2" t="str">
        <f ca="1">IFERROR(__xludf.DUMMYFUNCTION("""COMPUTED_VALUE"""),"PROFESSOR")</f>
        <v>PROFESSOR</v>
      </c>
      <c r="E243" s="2" t="str">
        <f ca="1">IFERROR(__xludf.DUMMYFUNCTION("""COMPUTED_VALUE"""),"004/2025")</f>
        <v>004/2025</v>
      </c>
      <c r="F243" s="2" t="str">
        <f ca="1">IFERROR(__xludf.DUMMYFUNCTION("""COMPUTED_VALUE"""),"POMBAL")</f>
        <v>POMBAL</v>
      </c>
      <c r="G243" s="11" t="str">
        <f ca="1">IFERROR(__xludf.DUMMYFUNCTION("""COMPUTED_VALUE"""),"MICROEMPREENDEDOR INDIVIDUAL (MEI)")</f>
        <v>MICROEMPREENDEDOR INDIVIDUAL (MEI)</v>
      </c>
      <c r="H243" s="11" t="str">
        <f ca="1">IFERROR(__xludf.DUMMYFUNCTION("""COMPUTED_VALUE"""),"ESCOLA AMELIA MARIA DA LUZ")</f>
        <v>ESCOLA AMELIA MARIA DA LUZ</v>
      </c>
      <c r="I243" s="2" t="str">
        <f ca="1">IFERROR(__xludf.DUMMYFUNCTION("""COMPUTED_VALUE"""),"NOITE")</f>
        <v>NOITE</v>
      </c>
      <c r="J243" s="47">
        <f ca="1">IFERROR(__xludf.DUMMYFUNCTION("""COMPUTED_VALUE"""),1)</f>
        <v>1</v>
      </c>
      <c r="K243" s="2" t="str">
        <f ca="1">IFERROR(__xludf.DUMMYFUNCTION("""COMPUTED_VALUE"""),"POSSE VALIDADA")</f>
        <v>POSSE VALIDADA</v>
      </c>
      <c r="L243" s="10"/>
      <c r="M243" s="9" t="str">
        <f ca="1">IFERROR(__xludf.DUMMYFUNCTION("""COMPUTED_VALUE"""),"jpp.wagner@gmail.com")</f>
        <v>jpp.wagner@gmail.com</v>
      </c>
      <c r="N243" s="2"/>
      <c r="O243" s="2" t="str">
        <f ca="1">IFERROR(__xludf.DUMMYFUNCTION("""COMPUTED_VALUE"""),"(83)98880-7340")</f>
        <v>(83)98880-7340</v>
      </c>
      <c r="P243" s="2"/>
      <c r="Q243" s="50" t="str">
        <f ca="1">IFERROR(__xludf.DUMMYFUNCTION("""COMPUTED_VALUE"""),"17/04/2025")</f>
        <v>17/04/2025</v>
      </c>
      <c r="R243" s="50"/>
      <c r="S243" s="2" t="str">
        <f ca="1">IFERROR(VLOOKUP(A243,IMPORT_DESISTENCIA!$A$2:$Q2273,14,0),"NÃO")</f>
        <v>NÃO</v>
      </c>
      <c r="T243" s="35"/>
    </row>
    <row r="244" spans="1:20" ht="45" customHeight="1" x14ac:dyDescent="0.25">
      <c r="A244" s="2" t="str">
        <f t="shared" ca="1" si="1"/>
        <v>004/2025/120.126.354-90</v>
      </c>
      <c r="B244" s="2" t="str">
        <f ca="1">IFERROR(__xludf.DUMMYFUNCTION("""COMPUTED_VALUE"""),"120.126.354-90")</f>
        <v>120.126.354-90</v>
      </c>
      <c r="C244" s="43" t="str">
        <f ca="1">IFERROR(__xludf.DUMMYFUNCTION("""COMPUTED_VALUE"""),"SAMARA NOBREGA DE OLIVEIRA GONÇALVES")</f>
        <v>SAMARA NOBREGA DE OLIVEIRA GONÇALVES</v>
      </c>
      <c r="D244" s="2" t="str">
        <f ca="1">IFERROR(__xludf.DUMMYFUNCTION("""COMPUTED_VALUE"""),"PROFESSOR")</f>
        <v>PROFESSOR</v>
      </c>
      <c r="E244" s="2" t="str">
        <f ca="1">IFERROR(__xludf.DUMMYFUNCTION("""COMPUTED_VALUE"""),"004/2025")</f>
        <v>004/2025</v>
      </c>
      <c r="F244" s="2" t="str">
        <f ca="1">IFERROR(__xludf.DUMMYFUNCTION("""COMPUTED_VALUE"""),"POMBAL")</f>
        <v>POMBAL</v>
      </c>
      <c r="G244" s="11" t="str">
        <f ca="1">IFERROR(__xludf.DUMMYFUNCTION("""COMPUTED_VALUE"""),"MICROEMPREENDEDOR INDIVIDUAL (MEI)")</f>
        <v>MICROEMPREENDEDOR INDIVIDUAL (MEI)</v>
      </c>
      <c r="H244" s="11" t="str">
        <f ca="1">IFERROR(__xludf.DUMMYFUNCTION("""COMPUTED_VALUE"""),"ESCOLA AMELIA MARIA DA LUZ")</f>
        <v>ESCOLA AMELIA MARIA DA LUZ</v>
      </c>
      <c r="I244" s="2" t="str">
        <f ca="1">IFERROR(__xludf.DUMMYFUNCTION("""COMPUTED_VALUE"""),"NOITE")</f>
        <v>NOITE</v>
      </c>
      <c r="J244" s="47">
        <f ca="1">IFERROR(__xludf.DUMMYFUNCTION("""COMPUTED_VALUE"""),2)</f>
        <v>2</v>
      </c>
      <c r="K244" s="2"/>
      <c r="L244" s="10"/>
      <c r="M244" s="9" t="str">
        <f ca="1">IFERROR(__xludf.DUMMYFUNCTION("""COMPUTED_VALUE"""),"samara.goncalves@professor.pb.gov.br")</f>
        <v>samara.goncalves@professor.pb.gov.br</v>
      </c>
      <c r="N244" s="2" t="str">
        <f ca="1">IFERROR(__xludf.DUMMYFUNCTION("""COMPUTED_VALUE"""),"profsamaranobrega@gmail.com")</f>
        <v>profsamaranobrega@gmail.com</v>
      </c>
      <c r="O244" s="2" t="str">
        <f ca="1">IFERROR(__xludf.DUMMYFUNCTION("""COMPUTED_VALUE"""),"(83)99384-1449")</f>
        <v>(83)99384-1449</v>
      </c>
      <c r="P244" s="2" t="str">
        <f ca="1">IFERROR(__xludf.DUMMYFUNCTION("""COMPUTED_VALUE"""),"(83)99141-2824")</f>
        <v>(83)99141-2824</v>
      </c>
      <c r="Q244" s="50"/>
      <c r="R244" s="50"/>
      <c r="S244" s="2" t="str">
        <f ca="1">IFERROR(VLOOKUP(A244,IMPORT_DESISTENCIA!$A$2:$Q2273,14,0),"NÃO")</f>
        <v>NÃO</v>
      </c>
      <c r="T244" s="35"/>
    </row>
    <row r="245" spans="1:20" ht="45" customHeight="1" x14ac:dyDescent="0.25">
      <c r="A245" s="2" t="str">
        <f t="shared" ca="1" si="1"/>
        <v>004/2025/097.188.254-10</v>
      </c>
      <c r="B245" s="2" t="str">
        <f ca="1">IFERROR(__xludf.DUMMYFUNCTION("""COMPUTED_VALUE"""),"097.188.254-10")</f>
        <v>097.188.254-10</v>
      </c>
      <c r="C245" s="43" t="str">
        <f ca="1">IFERROR(__xludf.DUMMYFUNCTION("""COMPUTED_VALUE"""),"ANTONIONE PONTES ABRANTES")</f>
        <v>ANTONIONE PONTES ABRANTES</v>
      </c>
      <c r="D245" s="2" t="str">
        <f ca="1">IFERROR(__xludf.DUMMYFUNCTION("""COMPUTED_VALUE"""),"PROFESSOR")</f>
        <v>PROFESSOR</v>
      </c>
      <c r="E245" s="2" t="str">
        <f ca="1">IFERROR(__xludf.DUMMYFUNCTION("""COMPUTED_VALUE"""),"004/2025")</f>
        <v>004/2025</v>
      </c>
      <c r="F245" s="2" t="str">
        <f ca="1">IFERROR(__xludf.DUMMYFUNCTION("""COMPUTED_VALUE"""),"POMBAL")</f>
        <v>POMBAL</v>
      </c>
      <c r="G245" s="11" t="str">
        <f ca="1">IFERROR(__xludf.DUMMYFUNCTION("""COMPUTED_VALUE"""),"MICROEMPREENDEDOR INDIVIDUAL (MEI)")</f>
        <v>MICROEMPREENDEDOR INDIVIDUAL (MEI)</v>
      </c>
      <c r="H245" s="11" t="str">
        <f ca="1">IFERROR(__xludf.DUMMYFUNCTION("""COMPUTED_VALUE"""),"ESCOLA AMELIA MARIA DA LUZ")</f>
        <v>ESCOLA AMELIA MARIA DA LUZ</v>
      </c>
      <c r="I245" s="2" t="str">
        <f ca="1">IFERROR(__xludf.DUMMYFUNCTION("""COMPUTED_VALUE"""),"NOITE")</f>
        <v>NOITE</v>
      </c>
      <c r="J245" s="47">
        <f ca="1">IFERROR(__xludf.DUMMYFUNCTION("""COMPUTED_VALUE"""),3)</f>
        <v>3</v>
      </c>
      <c r="K245" s="2"/>
      <c r="L245" s="10"/>
      <c r="M245" s="9" t="str">
        <f ca="1">IFERROR(__xludf.DUMMYFUNCTION("""COMPUTED_VALUE"""),"antonione.pontes@gmail.com")</f>
        <v>antonione.pontes@gmail.com</v>
      </c>
      <c r="N245" s="2"/>
      <c r="O245" s="2" t="str">
        <f ca="1">IFERROR(__xludf.DUMMYFUNCTION("""COMPUTED_VALUE"""),"(83)98138-3227")</f>
        <v>(83)98138-3227</v>
      </c>
      <c r="P245" s="2"/>
      <c r="Q245" s="50"/>
      <c r="R245" s="50"/>
      <c r="S245" s="2" t="str">
        <f ca="1">IFERROR(VLOOKUP(A245,IMPORT_DESISTENCIA!$A$2:$Q2273,14,0),"NÃO")</f>
        <v>NÃO</v>
      </c>
      <c r="T245" s="35"/>
    </row>
    <row r="246" spans="1:20" ht="45" customHeight="1" x14ac:dyDescent="0.25">
      <c r="A246" s="2" t="str">
        <f t="shared" ca="1" si="1"/>
        <v>004/2025/007.895.464-93</v>
      </c>
      <c r="B246" s="2" t="str">
        <f ca="1">IFERROR(__xludf.DUMMYFUNCTION("""COMPUTED_VALUE"""),"007.895.464-93")</f>
        <v>007.895.464-93</v>
      </c>
      <c r="C246" s="43" t="str">
        <f ca="1">IFERROR(__xludf.DUMMYFUNCTION("""COMPUTED_VALUE"""),"MARGARETH AQUINO DOS SANTOA")</f>
        <v>MARGARETH AQUINO DOS SANTOA</v>
      </c>
      <c r="D246" s="2" t="str">
        <f ca="1">IFERROR(__xludf.DUMMYFUNCTION("""COMPUTED_VALUE"""),"PROFESSOR")</f>
        <v>PROFESSOR</v>
      </c>
      <c r="E246" s="2" t="str">
        <f ca="1">IFERROR(__xludf.DUMMYFUNCTION("""COMPUTED_VALUE"""),"004/2025")</f>
        <v>004/2025</v>
      </c>
      <c r="F246" s="2" t="str">
        <f ca="1">IFERROR(__xludf.DUMMYFUNCTION("""COMPUTED_VALUE"""),"POMBAL")</f>
        <v>POMBAL</v>
      </c>
      <c r="G246" s="11" t="str">
        <f ca="1">IFERROR(__xludf.DUMMYFUNCTION("""COMPUTED_VALUE"""),"MICROEMPREENDEDOR INDIVIDUAL (MEI)")</f>
        <v>MICROEMPREENDEDOR INDIVIDUAL (MEI)</v>
      </c>
      <c r="H246" s="11" t="str">
        <f ca="1">IFERROR(__xludf.DUMMYFUNCTION("""COMPUTED_VALUE"""),"ESCOLA AMELIA MARIA DA LUZ")</f>
        <v>ESCOLA AMELIA MARIA DA LUZ</v>
      </c>
      <c r="I246" s="2" t="str">
        <f ca="1">IFERROR(__xludf.DUMMYFUNCTION("""COMPUTED_VALUE"""),"NOITE")</f>
        <v>NOITE</v>
      </c>
      <c r="J246" s="47">
        <f ca="1">IFERROR(__xludf.DUMMYFUNCTION("""COMPUTED_VALUE"""),4)</f>
        <v>4</v>
      </c>
      <c r="K246" s="2"/>
      <c r="L246" s="10"/>
      <c r="M246" s="9" t="str">
        <f ca="1">IFERROR(__xludf.DUMMYFUNCTION("""COMPUTED_VALUE"""),"margotaquino514@gmail.com")</f>
        <v>margotaquino514@gmail.com</v>
      </c>
      <c r="N246" s="2" t="str">
        <f ca="1">IFERROR(__xludf.DUMMYFUNCTION("""COMPUTED_VALUE"""),"margotaquinosantos@hotmail.com")</f>
        <v>margotaquinosantos@hotmail.com</v>
      </c>
      <c r="O246" s="2" t="str">
        <f ca="1">IFERROR(__xludf.DUMMYFUNCTION("""COMPUTED_VALUE"""),"(84)99606-8684")</f>
        <v>(84)99606-8684</v>
      </c>
      <c r="P246" s="2" t="str">
        <f ca="1">IFERROR(__xludf.DUMMYFUNCTION("""COMPUTED_VALUE"""),"(84)99606-8684")</f>
        <v>(84)99606-8684</v>
      </c>
      <c r="Q246" s="50"/>
      <c r="R246" s="50"/>
      <c r="S246" s="2" t="str">
        <f ca="1">IFERROR(VLOOKUP(A246,IMPORT_DESISTENCIA!$A$2:$Q2273,14,0),"NÃO")</f>
        <v>NÃO</v>
      </c>
      <c r="T246" s="35"/>
    </row>
    <row r="247" spans="1:20" ht="45" customHeight="1" x14ac:dyDescent="0.25">
      <c r="A247" s="2" t="str">
        <f t="shared" ca="1" si="1"/>
        <v>004/2025/050.353.134-09</v>
      </c>
      <c r="B247" s="2" t="str">
        <f ca="1">IFERROR(__xludf.DUMMYFUNCTION("""COMPUTED_VALUE"""),"050.353.134-09")</f>
        <v>050.353.134-09</v>
      </c>
      <c r="C247" s="43" t="str">
        <f ca="1">IFERROR(__xludf.DUMMYFUNCTION("""COMPUTED_VALUE"""),"JOAO PAULO PEREIRA DA SILVA")</f>
        <v>JOAO PAULO PEREIRA DA SILVA</v>
      </c>
      <c r="D247" s="2" t="str">
        <f ca="1">IFERROR(__xludf.DUMMYFUNCTION("""COMPUTED_VALUE"""),"PROFESSOR")</f>
        <v>PROFESSOR</v>
      </c>
      <c r="E247" s="2" t="str">
        <f ca="1">IFERROR(__xludf.DUMMYFUNCTION("""COMPUTED_VALUE"""),"004/2025")</f>
        <v>004/2025</v>
      </c>
      <c r="F247" s="2" t="str">
        <f ca="1">IFERROR(__xludf.DUMMYFUNCTION("""COMPUTED_VALUE"""),"POMBAL")</f>
        <v>POMBAL</v>
      </c>
      <c r="G247" s="11" t="str">
        <f ca="1">IFERROR(__xludf.DUMMYFUNCTION("""COMPUTED_VALUE"""),"MICROEMPREENDEDOR INDIVIDUAL (MEI)")</f>
        <v>MICROEMPREENDEDOR INDIVIDUAL (MEI)</v>
      </c>
      <c r="H247" s="11" t="str">
        <f ca="1">IFERROR(__xludf.DUMMYFUNCTION("""COMPUTED_VALUE"""),"ESCOLA AMELIA MARIA DA LUZ")</f>
        <v>ESCOLA AMELIA MARIA DA LUZ</v>
      </c>
      <c r="I247" s="2" t="str">
        <f ca="1">IFERROR(__xludf.DUMMYFUNCTION("""COMPUTED_VALUE"""),"NOITE")</f>
        <v>NOITE</v>
      </c>
      <c r="J247" s="47">
        <f ca="1">IFERROR(__xludf.DUMMYFUNCTION("""COMPUTED_VALUE"""),5)</f>
        <v>5</v>
      </c>
      <c r="K247" s="2"/>
      <c r="L247" s="10"/>
      <c r="M247" s="9" t="str">
        <f ca="1">IFERROR(__xludf.DUMMYFUNCTION("""COMPUTED_VALUE"""),"jpp.adm2016@gmail.com")</f>
        <v>jpp.adm2016@gmail.com</v>
      </c>
      <c r="N247" s="2" t="str">
        <f ca="1">IFERROR(__xludf.DUMMYFUNCTION("""COMPUTED_VALUE"""),"jpp.adm@hotmail.com")</f>
        <v>jpp.adm@hotmail.com</v>
      </c>
      <c r="O247" s="2" t="str">
        <f ca="1">IFERROR(__xludf.DUMMYFUNCTION("""COMPUTED_VALUE"""),"(83)99871-6612")</f>
        <v>(83)99871-6612</v>
      </c>
      <c r="P247" s="2" t="str">
        <f ca="1">IFERROR(__xludf.DUMMYFUNCTION("""COMPUTED_VALUE"""),"(83)99693-9856")</f>
        <v>(83)99693-9856</v>
      </c>
      <c r="Q247" s="50"/>
      <c r="R247" s="50"/>
      <c r="S247" s="2" t="str">
        <f ca="1">IFERROR(VLOOKUP(A247,IMPORT_DESISTENCIA!$A$2:$Q2273,14,0),"NÃO")</f>
        <v>NÃO</v>
      </c>
      <c r="T247" s="35"/>
    </row>
    <row r="248" spans="1:20" ht="45" customHeight="1" x14ac:dyDescent="0.25">
      <c r="A248" s="2" t="str">
        <f t="shared" ca="1" si="1"/>
        <v>004/2025/038.988.404-92</v>
      </c>
      <c r="B248" s="2" t="str">
        <f ca="1">IFERROR(__xludf.DUMMYFUNCTION("""COMPUTED_VALUE"""),"038.988.404-92")</f>
        <v>038.988.404-92</v>
      </c>
      <c r="C248" s="43" t="str">
        <f ca="1">IFERROR(__xludf.DUMMYFUNCTION("""COMPUTED_VALUE"""),"MARGYSA THAYMMARA BEZERRA ROSAS")</f>
        <v>MARGYSA THAYMMARA BEZERRA ROSAS</v>
      </c>
      <c r="D248" s="2" t="str">
        <f ca="1">IFERROR(__xludf.DUMMYFUNCTION("""COMPUTED_VALUE"""),"PROFESSOR")</f>
        <v>PROFESSOR</v>
      </c>
      <c r="E248" s="2" t="str">
        <f ca="1">IFERROR(__xludf.DUMMYFUNCTION("""COMPUTED_VALUE"""),"004/2025")</f>
        <v>004/2025</v>
      </c>
      <c r="F248" s="2" t="str">
        <f ca="1">IFERROR(__xludf.DUMMYFUNCTION("""COMPUTED_VALUE"""),"SAO FRANCISCO")</f>
        <v>SAO FRANCISCO</v>
      </c>
      <c r="G248" s="11" t="str">
        <f ca="1">IFERROR(__xludf.DUMMYFUNCTION("""COMPUTED_VALUE"""),"CUIDADOR INFANTIL")</f>
        <v>CUIDADOR INFANTIL</v>
      </c>
      <c r="H248" s="11" t="str">
        <f ca="1">IFERROR(__xludf.DUMMYFUNCTION("""COMPUTED_VALUE"""),"EMEF. FRANCISCO SALES GADELHA DE OLIVEIRA")</f>
        <v>EMEF. FRANCISCO SALES GADELHA DE OLIVEIRA</v>
      </c>
      <c r="I248" s="2" t="str">
        <f ca="1">IFERROR(__xludf.DUMMYFUNCTION("""COMPUTED_VALUE"""),"NOITE")</f>
        <v>NOITE</v>
      </c>
      <c r="J248" s="47">
        <f ca="1">IFERROR(__xludf.DUMMYFUNCTION("""COMPUTED_VALUE"""),1)</f>
        <v>1</v>
      </c>
      <c r="K248" s="2"/>
      <c r="L248" s="10"/>
      <c r="M248" s="9" t="str">
        <f ca="1">IFERROR(__xludf.DUMMYFUNCTION("""COMPUTED_VALUE"""),"rmargysa4@gmail.com")</f>
        <v>rmargysa4@gmail.com</v>
      </c>
      <c r="N248" s="2" t="str">
        <f ca="1">IFERROR(__xludf.DUMMYFUNCTION("""COMPUTED_VALUE"""),"margysatbrosas@gmail.com")</f>
        <v>margysatbrosas@gmail.com</v>
      </c>
      <c r="O248" s="2" t="str">
        <f ca="1">IFERROR(__xludf.DUMMYFUNCTION("""COMPUTED_VALUE"""),"(83)99159-6589")</f>
        <v>(83)99159-6589</v>
      </c>
      <c r="P248" s="2" t="str">
        <f ca="1">IFERROR(__xludf.DUMMYFUNCTION("""COMPUTED_VALUE"""),"(83)99368-5343")</f>
        <v>(83)99368-5343</v>
      </c>
      <c r="Q248" s="50"/>
      <c r="R248" s="50"/>
      <c r="S248" s="2" t="str">
        <f ca="1">IFERROR(VLOOKUP(A248,IMPORT_DESISTENCIA!$A$2:$Q2273,14,0),"NÃO")</f>
        <v>NÃO</v>
      </c>
      <c r="T248" s="35"/>
    </row>
    <row r="249" spans="1:20" ht="45" customHeight="1" x14ac:dyDescent="0.25">
      <c r="A249" s="2" t="str">
        <f t="shared" ca="1" si="1"/>
        <v>004/2025/100.879.724-33</v>
      </c>
      <c r="B249" s="2" t="str">
        <f ca="1">IFERROR(__xludf.DUMMYFUNCTION("""COMPUTED_VALUE"""),"100.879.724-33")</f>
        <v>100.879.724-33</v>
      </c>
      <c r="C249" s="43" t="str">
        <f ca="1">IFERROR(__xludf.DUMMYFUNCTION("""COMPUTED_VALUE"""),"FELIPE LOURENÇO DE SOUSA")</f>
        <v>FELIPE LOURENÇO DE SOUSA</v>
      </c>
      <c r="D249" s="2" t="str">
        <f ca="1">IFERROR(__xludf.DUMMYFUNCTION("""COMPUTED_VALUE"""),"PROFESSOR")</f>
        <v>PROFESSOR</v>
      </c>
      <c r="E249" s="2" t="str">
        <f ca="1">IFERROR(__xludf.DUMMYFUNCTION("""COMPUTED_VALUE"""),"004/2025")</f>
        <v>004/2025</v>
      </c>
      <c r="F249" s="2" t="str">
        <f ca="1">IFERROR(__xludf.DUMMYFUNCTION("""COMPUTED_VALUE"""),"SAO FRANCISCO")</f>
        <v>SAO FRANCISCO</v>
      </c>
      <c r="G249" s="11" t="str">
        <f ca="1">IFERROR(__xludf.DUMMYFUNCTION("""COMPUTED_VALUE"""),"CUIDADOR INFANTIL")</f>
        <v>CUIDADOR INFANTIL</v>
      </c>
      <c r="H249" s="11" t="str">
        <f ca="1">IFERROR(__xludf.DUMMYFUNCTION("""COMPUTED_VALUE"""),"EMEF. FRANCISCO SALES GADELHA DE OLIVEIRA")</f>
        <v>EMEF. FRANCISCO SALES GADELHA DE OLIVEIRA</v>
      </c>
      <c r="I249" s="2" t="str">
        <f ca="1">IFERROR(__xludf.DUMMYFUNCTION("""COMPUTED_VALUE"""),"NOITE")</f>
        <v>NOITE</v>
      </c>
      <c r="J249" s="47">
        <f ca="1">IFERROR(__xludf.DUMMYFUNCTION("""COMPUTED_VALUE"""),2)</f>
        <v>2</v>
      </c>
      <c r="K249" s="2" t="str">
        <f ca="1">IFERROR(__xludf.DUMMYFUNCTION("""COMPUTED_VALUE"""),"POSSE VALIDADA")</f>
        <v>POSSE VALIDADA</v>
      </c>
      <c r="L249" s="10"/>
      <c r="M249" s="9" t="str">
        <f ca="1">IFERROR(__xludf.DUMMYFUNCTION("""COMPUTED_VALUE"""),"professor-felipe2011@hotmail.com")</f>
        <v>professor-felipe2011@hotmail.com</v>
      </c>
      <c r="N249" s="2" t="str">
        <f ca="1">IFERROR(__xludf.DUMMYFUNCTION("""COMPUTED_VALUE"""),"felipedeviola@gmail.com")</f>
        <v>felipedeviola@gmail.com</v>
      </c>
      <c r="O249" s="2" t="str">
        <f ca="1">IFERROR(__xludf.DUMMYFUNCTION("""COMPUTED_VALUE"""),"(83)982289053")</f>
        <v>(83)982289053</v>
      </c>
      <c r="P249" s="2" t="str">
        <f ca="1">IFERROR(__xludf.DUMMYFUNCTION("""COMPUTED_VALUE"""),"(83)981258056")</f>
        <v>(83)981258056</v>
      </c>
      <c r="Q249" s="50" t="str">
        <f ca="1">IFERROR(__xludf.DUMMYFUNCTION("""COMPUTED_VALUE"""),"08/05/2025")</f>
        <v>08/05/2025</v>
      </c>
      <c r="R249" s="50"/>
      <c r="S249" s="2" t="str">
        <f ca="1">IFERROR(VLOOKUP(A249,IMPORT_DESISTENCIA!$A$2:$Q2273,14,0),"NÃO")</f>
        <v>NÃO</v>
      </c>
      <c r="T249" s="35"/>
    </row>
    <row r="250" spans="1:20" ht="45" customHeight="1" x14ac:dyDescent="0.25">
      <c r="A250" s="2" t="str">
        <f t="shared" ca="1" si="1"/>
        <v>004/2025/283.566.378-99</v>
      </c>
      <c r="B250" s="2" t="str">
        <f ca="1">IFERROR(__xludf.DUMMYFUNCTION("""COMPUTED_VALUE"""),"283.566.378-99")</f>
        <v>283.566.378-99</v>
      </c>
      <c r="C250" s="43" t="str">
        <f ca="1">IFERROR(__xludf.DUMMYFUNCTION("""COMPUTED_VALUE"""),"KENNE ANA ALVES LOPES")</f>
        <v>KENNE ANA ALVES LOPES</v>
      </c>
      <c r="D250" s="2" t="str">
        <f ca="1">IFERROR(__xludf.DUMMYFUNCTION("""COMPUTED_VALUE"""),"PROFESSOR")</f>
        <v>PROFESSOR</v>
      </c>
      <c r="E250" s="2" t="str">
        <f ca="1">IFERROR(__xludf.DUMMYFUNCTION("""COMPUTED_VALUE"""),"004/2025")</f>
        <v>004/2025</v>
      </c>
      <c r="F250" s="2" t="str">
        <f ca="1">IFERROR(__xludf.DUMMYFUNCTION("""COMPUTED_VALUE"""),"SAO FRANCISCO")</f>
        <v>SAO FRANCISCO</v>
      </c>
      <c r="G250" s="11" t="str">
        <f ca="1">IFERROR(__xludf.DUMMYFUNCTION("""COMPUTED_VALUE"""),"CUIDADOR INFANTIL")</f>
        <v>CUIDADOR INFANTIL</v>
      </c>
      <c r="H250" s="11" t="str">
        <f ca="1">IFERROR(__xludf.DUMMYFUNCTION("""COMPUTED_VALUE"""),"EMEF. FRANCISCO SALES GADELHA DE OLIVEIRA")</f>
        <v>EMEF. FRANCISCO SALES GADELHA DE OLIVEIRA</v>
      </c>
      <c r="I250" s="2" t="str">
        <f ca="1">IFERROR(__xludf.DUMMYFUNCTION("""COMPUTED_VALUE"""),"NOITE")</f>
        <v>NOITE</v>
      </c>
      <c r="J250" s="47">
        <f ca="1">IFERROR(__xludf.DUMMYFUNCTION("""COMPUTED_VALUE"""),3)</f>
        <v>3</v>
      </c>
      <c r="K250" s="2"/>
      <c r="L250" s="10"/>
      <c r="M250" s="9" t="str">
        <f ca="1">IFERROR(__xludf.DUMMYFUNCTION("""COMPUTED_VALUE"""),"alopesana63@gmail.com")</f>
        <v>alopesana63@gmail.com</v>
      </c>
      <c r="N250" s="2" t="str">
        <f ca="1">IFERROR(__xludf.DUMMYFUNCTION("""COMPUTED_VALUE"""),"kenne_bianka@hotmail.com")</f>
        <v>kenne_bianka@hotmail.com</v>
      </c>
      <c r="O250" s="2" t="str">
        <f ca="1">IFERROR(__xludf.DUMMYFUNCTION("""COMPUTED_VALUE"""),"(83)98212-0910")</f>
        <v>(83)98212-0910</v>
      </c>
      <c r="P250" s="2" t="str">
        <f ca="1">IFERROR(__xludf.DUMMYFUNCTION("""COMPUTED_VALUE"""),"(83)98289-7888")</f>
        <v>(83)98289-7888</v>
      </c>
      <c r="Q250" s="50"/>
      <c r="R250" s="50"/>
      <c r="S250" s="2" t="str">
        <f ca="1">IFERROR(VLOOKUP(A250,IMPORT_DESISTENCIA!$A$2:$Q2273,14,0),"NÃO")</f>
        <v>NÃO</v>
      </c>
      <c r="T250" s="35"/>
    </row>
    <row r="251" spans="1:20" ht="45" customHeight="1" x14ac:dyDescent="0.25">
      <c r="A251" s="2" t="str">
        <f t="shared" ca="1" si="1"/>
        <v>004/2025/074.422.494-26</v>
      </c>
      <c r="B251" s="2" t="str">
        <f ca="1">IFERROR(__xludf.DUMMYFUNCTION("""COMPUTED_VALUE"""),"074.422.494-26")</f>
        <v>074.422.494-26</v>
      </c>
      <c r="C251" s="43" t="str">
        <f ca="1">IFERROR(__xludf.DUMMYFUNCTION("""COMPUTED_VALUE"""),"IRLANA ANDRESA MACEDO DE LIMA")</f>
        <v>IRLANA ANDRESA MACEDO DE LIMA</v>
      </c>
      <c r="D251" s="2" t="str">
        <f ca="1">IFERROR(__xludf.DUMMYFUNCTION("""COMPUTED_VALUE"""),"PROFESSOR")</f>
        <v>PROFESSOR</v>
      </c>
      <c r="E251" s="2" t="str">
        <f ca="1">IFERROR(__xludf.DUMMYFUNCTION("""COMPUTED_VALUE"""),"004/2025")</f>
        <v>004/2025</v>
      </c>
      <c r="F251" s="2" t="str">
        <f ca="1">IFERROR(__xludf.DUMMYFUNCTION("""COMPUTED_VALUE"""),"SAO FRANCISCO")</f>
        <v>SAO FRANCISCO</v>
      </c>
      <c r="G251" s="11" t="str">
        <f ca="1">IFERROR(__xludf.DUMMYFUNCTION("""COMPUTED_VALUE"""),"CUIDADOR INFANTIL")</f>
        <v>CUIDADOR INFANTIL</v>
      </c>
      <c r="H251" s="11" t="str">
        <f ca="1">IFERROR(__xludf.DUMMYFUNCTION("""COMPUTED_VALUE"""),"EMEF. FRANCISCO SALES GADELHA DE OLIVEIRA")</f>
        <v>EMEF. FRANCISCO SALES GADELHA DE OLIVEIRA</v>
      </c>
      <c r="I251" s="2" t="str">
        <f ca="1">IFERROR(__xludf.DUMMYFUNCTION("""COMPUTED_VALUE"""),"NOITE")</f>
        <v>NOITE</v>
      </c>
      <c r="J251" s="47">
        <f ca="1">IFERROR(__xludf.DUMMYFUNCTION("""COMPUTED_VALUE"""),4)</f>
        <v>4</v>
      </c>
      <c r="K251" s="2"/>
      <c r="L251" s="10"/>
      <c r="M251" s="9" t="str">
        <f ca="1">IFERROR(__xludf.DUMMYFUNCTION("""COMPUTED_VALUE"""),"yrlana.lima@hotmail.com")</f>
        <v>yrlana.lima@hotmail.com</v>
      </c>
      <c r="N251" s="2"/>
      <c r="O251" s="2" t="str">
        <f ca="1">IFERROR(__xludf.DUMMYFUNCTION("""COMPUTED_VALUE"""),"(83)98174-8038")</f>
        <v>(83)98174-8038</v>
      </c>
      <c r="P251" s="2"/>
      <c r="Q251" s="50"/>
      <c r="R251" s="50"/>
      <c r="S251" s="2" t="str">
        <f ca="1">IFERROR(VLOOKUP(A251,IMPORT_DESISTENCIA!$A$2:$Q2273,14,0),"NÃO")</f>
        <v>NÃO</v>
      </c>
      <c r="T251" s="35"/>
    </row>
    <row r="252" spans="1:20" ht="45" customHeight="1" x14ac:dyDescent="0.25">
      <c r="A252" s="2" t="str">
        <f t="shared" ca="1" si="1"/>
        <v>004/2025/122.473.974-41</v>
      </c>
      <c r="B252" s="2" t="str">
        <f ca="1">IFERROR(__xludf.DUMMYFUNCTION("""COMPUTED_VALUE"""),"122.473.974-41")</f>
        <v>122.473.974-41</v>
      </c>
      <c r="C252" s="43" t="str">
        <f ca="1">IFERROR(__xludf.DUMMYFUNCTION("""COMPUTED_VALUE"""),"ESTEFANE MILIANO DA SILVA")</f>
        <v>ESTEFANE MILIANO DA SILVA</v>
      </c>
      <c r="D252" s="2" t="str">
        <f ca="1">IFERROR(__xludf.DUMMYFUNCTION("""COMPUTED_VALUE"""),"PROFESSOR")</f>
        <v>PROFESSOR</v>
      </c>
      <c r="E252" s="2" t="str">
        <f ca="1">IFERROR(__xludf.DUMMYFUNCTION("""COMPUTED_VALUE"""),"004/2025")</f>
        <v>004/2025</v>
      </c>
      <c r="F252" s="2" t="str">
        <f ca="1">IFERROR(__xludf.DUMMYFUNCTION("""COMPUTED_VALUE"""),"UIRAUNA")</f>
        <v>UIRAUNA</v>
      </c>
      <c r="G252" s="11" t="str">
        <f ca="1">IFERROR(__xludf.DUMMYFUNCTION("""COMPUTED_VALUE"""),"CUIDADOR DE IDOSO")</f>
        <v>CUIDADOR DE IDOSO</v>
      </c>
      <c r="H252" s="11" t="str">
        <f ca="1">IFERROR(__xludf.DUMMYFUNCTION("""COMPUTED_VALUE"""),"ECIT DR. JOSE DUARTE FILHO")</f>
        <v>ECIT DR. JOSE DUARTE FILHO</v>
      </c>
      <c r="I252" s="2" t="str">
        <f ca="1">IFERROR(__xludf.DUMMYFUNCTION("""COMPUTED_VALUE"""),"NOITE")</f>
        <v>NOITE</v>
      </c>
      <c r="J252" s="47">
        <f ca="1">IFERROR(__xludf.DUMMYFUNCTION("""COMPUTED_VALUE"""),1)</f>
        <v>1</v>
      </c>
      <c r="K252" s="2" t="str">
        <f ca="1">IFERROR(__xludf.DUMMYFUNCTION("""COMPUTED_VALUE"""),"POSSE VALIDADA")</f>
        <v>POSSE VALIDADA</v>
      </c>
      <c r="L252" s="10"/>
      <c r="M252" s="9" t="str">
        <f ca="1">IFERROR(__xludf.DUMMYFUNCTION("""COMPUTED_VALUE"""),"estefanemiliano7@gmail.com")</f>
        <v>estefanemiliano7@gmail.com</v>
      </c>
      <c r="N252" s="2" t="str">
        <f ca="1">IFERROR(__xludf.DUMMYFUNCTION("""COMPUTED_VALUE"""),"estefanemiliano20@gmail.com")</f>
        <v>estefanemiliano20@gmail.com</v>
      </c>
      <c r="O252" s="2" t="str">
        <f ca="1">IFERROR(__xludf.DUMMYFUNCTION("""COMPUTED_VALUE"""),"(83)99815-4793")</f>
        <v>(83)99815-4793</v>
      </c>
      <c r="P252" s="2" t="str">
        <f ca="1">IFERROR(__xludf.DUMMYFUNCTION("""COMPUTED_VALUE"""),"(83)99815-4793")</f>
        <v>(83)99815-4793</v>
      </c>
      <c r="Q252" s="50" t="str">
        <f ca="1">IFERROR(__xludf.DUMMYFUNCTION("""COMPUTED_VALUE"""),"23/04/2025")</f>
        <v>23/04/2025</v>
      </c>
      <c r="R252" s="50" t="str">
        <f ca="1">IFERROR(__xludf.DUMMYFUNCTION("""COMPUTED_VALUE"""),"06/05/2025")</f>
        <v>06/05/2025</v>
      </c>
      <c r="S252" s="2" t="str">
        <f ca="1">IFERROR(VLOOKUP(A252,IMPORT_DESISTENCIA!$A$2:$Q2273,14,0),"NÃO")</f>
        <v>DESISTIU</v>
      </c>
      <c r="T252" s="35"/>
    </row>
    <row r="253" spans="1:20" ht="45" customHeight="1" x14ac:dyDescent="0.25">
      <c r="A253" s="2" t="str">
        <f t="shared" ca="1" si="1"/>
        <v>004/2025/071.531.824-11</v>
      </c>
      <c r="B253" s="2" t="str">
        <f ca="1">IFERROR(__xludf.DUMMYFUNCTION("""COMPUTED_VALUE"""),"071.531.824-11")</f>
        <v>071.531.824-11</v>
      </c>
      <c r="C253" s="43" t="str">
        <f ca="1">IFERROR(__xludf.DUMMYFUNCTION("""COMPUTED_VALUE"""),"PALOMA LEITE DA SILVA")</f>
        <v>PALOMA LEITE DA SILVA</v>
      </c>
      <c r="D253" s="2" t="str">
        <f ca="1">IFERROR(__xludf.DUMMYFUNCTION("""COMPUTED_VALUE"""),"PROFESSOR")</f>
        <v>PROFESSOR</v>
      </c>
      <c r="E253" s="2" t="str">
        <f ca="1">IFERROR(__xludf.DUMMYFUNCTION("""COMPUTED_VALUE"""),"004/2025")</f>
        <v>004/2025</v>
      </c>
      <c r="F253" s="2" t="str">
        <f ca="1">IFERROR(__xludf.DUMMYFUNCTION("""COMPUTED_VALUE"""),"UIRAUNA")</f>
        <v>UIRAUNA</v>
      </c>
      <c r="G253" s="11" t="str">
        <f ca="1">IFERROR(__xludf.DUMMYFUNCTION("""COMPUTED_VALUE"""),"CUIDADOR DE IDOSO")</f>
        <v>CUIDADOR DE IDOSO</v>
      </c>
      <c r="H253" s="11" t="str">
        <f ca="1">IFERROR(__xludf.DUMMYFUNCTION("""COMPUTED_VALUE"""),"ECIT DR. JOSE DUARTE FILHO")</f>
        <v>ECIT DR. JOSE DUARTE FILHO</v>
      </c>
      <c r="I253" s="2" t="str">
        <f ca="1">IFERROR(__xludf.DUMMYFUNCTION("""COMPUTED_VALUE"""),"NOITE")</f>
        <v>NOITE</v>
      </c>
      <c r="J253" s="47">
        <f ca="1">IFERROR(__xludf.DUMMYFUNCTION("""COMPUTED_VALUE"""),2)</f>
        <v>2</v>
      </c>
      <c r="K253" s="2" t="str">
        <f ca="1">IFERROR(__xludf.DUMMYFUNCTION("""COMPUTED_VALUE"""),"POSSE VALIDADA")</f>
        <v>POSSE VALIDADA</v>
      </c>
      <c r="L253" s="10"/>
      <c r="M253" s="9" t="str">
        <f ca="1">IFERROR(__xludf.DUMMYFUNCTION("""COMPUTED_VALUE"""),"leitepaloma@yahoo.com.br")</f>
        <v>leitepaloma@yahoo.com.br</v>
      </c>
      <c r="N253" s="2" t="str">
        <f ca="1">IFERROR(__xludf.DUMMYFUNCTION("""COMPUTED_VALUE"""),"leitepaloma@yahoo.com.br")</f>
        <v>leitepaloma@yahoo.com.br</v>
      </c>
      <c r="O253" s="2" t="str">
        <f ca="1">IFERROR(__xludf.DUMMYFUNCTION("""COMPUTED_VALUE"""),"(83)996230704")</f>
        <v>(83)996230704</v>
      </c>
      <c r="P253" s="2" t="str">
        <f ca="1">IFERROR(__xludf.DUMMYFUNCTION("""COMPUTED_VALUE"""),"(83)996230704")</f>
        <v>(83)996230704</v>
      </c>
      <c r="Q253" s="50" t="str">
        <f ca="1">IFERROR(__xludf.DUMMYFUNCTION("""COMPUTED_VALUE"""),"09/05/2025")</f>
        <v>09/05/2025</v>
      </c>
      <c r="R253" s="50"/>
      <c r="S253" s="2" t="str">
        <f ca="1">IFERROR(VLOOKUP(A253,IMPORT_DESISTENCIA!$A$2:$Q2273,14,0),"NÃO")</f>
        <v>NÃO</v>
      </c>
      <c r="T253" s="35"/>
    </row>
    <row r="254" spans="1:20" ht="45" customHeight="1" x14ac:dyDescent="0.25">
      <c r="A254" s="2" t="str">
        <f t="shared" si="1"/>
        <v/>
      </c>
      <c r="B254" s="2"/>
      <c r="C254" s="43"/>
      <c r="D254" s="2"/>
      <c r="E254" s="2"/>
      <c r="F254" s="2"/>
      <c r="G254" s="11"/>
      <c r="H254" s="11"/>
      <c r="I254" s="2"/>
      <c r="J254" s="2"/>
      <c r="K254" s="2"/>
      <c r="L254" s="10"/>
      <c r="M254" s="9"/>
      <c r="N254" s="2"/>
      <c r="O254" s="2"/>
      <c r="P254" s="2"/>
      <c r="Q254" s="50"/>
      <c r="R254" s="50"/>
      <c r="S254" s="2">
        <f>IFERROR(VLOOKUP(A254,IMPORT_DESISTENCIA!$A$2:$Q2273,14,0),"NÃO")</f>
        <v>0</v>
      </c>
      <c r="T254" s="35"/>
    </row>
    <row r="255" spans="1:20" ht="45" customHeight="1" x14ac:dyDescent="0.25">
      <c r="A255" s="2" t="str">
        <f t="shared" si="1"/>
        <v/>
      </c>
      <c r="B255" s="2"/>
      <c r="C255" s="43"/>
      <c r="D255" s="2"/>
      <c r="E255" s="2"/>
      <c r="F255" s="2"/>
      <c r="G255" s="11"/>
      <c r="H255" s="11"/>
      <c r="I255" s="2"/>
      <c r="J255" s="2"/>
      <c r="K255" s="2"/>
      <c r="L255" s="10"/>
      <c r="M255" s="9"/>
      <c r="N255" s="2"/>
      <c r="O255" s="2"/>
      <c r="P255" s="2"/>
      <c r="Q255" s="50"/>
      <c r="R255" s="50"/>
      <c r="S255" s="2">
        <f>IFERROR(VLOOKUP(A255,IMPORT_DESISTENCIA!$A$2:$Q2273,14,0),"NÃO")</f>
        <v>0</v>
      </c>
      <c r="T255" s="35"/>
    </row>
    <row r="256" spans="1:20" ht="45" customHeight="1" x14ac:dyDescent="0.25">
      <c r="A256" s="2" t="str">
        <f t="shared" si="1"/>
        <v/>
      </c>
      <c r="B256" s="2"/>
      <c r="C256" s="43"/>
      <c r="D256" s="2"/>
      <c r="E256" s="2"/>
      <c r="F256" s="2"/>
      <c r="G256" s="11"/>
      <c r="H256" s="11"/>
      <c r="I256" s="2"/>
      <c r="J256" s="2"/>
      <c r="K256" s="2"/>
      <c r="L256" s="10"/>
      <c r="M256" s="9"/>
      <c r="N256" s="2"/>
      <c r="O256" s="2"/>
      <c r="P256" s="2"/>
      <c r="Q256" s="50"/>
      <c r="R256" s="50"/>
      <c r="S256" s="2">
        <f>IFERROR(VLOOKUP(A256,IMPORT_DESISTENCIA!$A$2:$Q2273,14,0),"NÃO")</f>
        <v>0</v>
      </c>
      <c r="T256" s="35"/>
    </row>
    <row r="257" spans="1:20" ht="45" customHeight="1" x14ac:dyDescent="0.25">
      <c r="A257" s="2" t="str">
        <f t="shared" si="1"/>
        <v/>
      </c>
      <c r="B257" s="2"/>
      <c r="C257" s="43"/>
      <c r="D257" s="2"/>
      <c r="E257" s="2"/>
      <c r="F257" s="2"/>
      <c r="G257" s="11"/>
      <c r="H257" s="11"/>
      <c r="I257" s="2"/>
      <c r="J257" s="2"/>
      <c r="K257" s="2"/>
      <c r="L257" s="10"/>
      <c r="M257" s="9"/>
      <c r="N257" s="2"/>
      <c r="O257" s="2"/>
      <c r="P257" s="2"/>
      <c r="Q257" s="50"/>
      <c r="R257" s="50"/>
      <c r="S257" s="2">
        <f>IFERROR(VLOOKUP(A257,IMPORT_DESISTENCIA!$A$2:$Q2273,14,0),"NÃO")</f>
        <v>0</v>
      </c>
      <c r="T257" s="35"/>
    </row>
    <row r="258" spans="1:20" ht="45" customHeight="1" x14ac:dyDescent="0.25">
      <c r="A258" s="2" t="str">
        <f t="shared" si="1"/>
        <v/>
      </c>
      <c r="B258" s="2"/>
      <c r="C258" s="43"/>
      <c r="D258" s="2"/>
      <c r="E258" s="2"/>
      <c r="F258" s="2"/>
      <c r="G258" s="11"/>
      <c r="H258" s="11"/>
      <c r="I258" s="2"/>
      <c r="J258" s="2"/>
      <c r="K258" s="2"/>
      <c r="L258" s="10"/>
      <c r="M258" s="9"/>
      <c r="N258" s="2"/>
      <c r="O258" s="2"/>
      <c r="P258" s="2"/>
      <c r="Q258" s="50"/>
      <c r="R258" s="50"/>
      <c r="S258" s="2">
        <f>IFERROR(VLOOKUP(A258,IMPORT_DESISTENCIA!$A$2:$Q2273,14,0),"NÃO")</f>
        <v>0</v>
      </c>
      <c r="T258" s="35"/>
    </row>
    <row r="259" spans="1:20" ht="45" customHeight="1" x14ac:dyDescent="0.25">
      <c r="A259" s="2" t="str">
        <f t="shared" si="1"/>
        <v/>
      </c>
      <c r="B259" s="2"/>
      <c r="C259" s="43"/>
      <c r="D259" s="2"/>
      <c r="E259" s="2"/>
      <c r="F259" s="2"/>
      <c r="G259" s="11"/>
      <c r="H259" s="11"/>
      <c r="I259" s="2"/>
      <c r="J259" s="2"/>
      <c r="K259" s="2"/>
      <c r="L259" s="10"/>
      <c r="M259" s="9"/>
      <c r="N259" s="2"/>
      <c r="O259" s="2"/>
      <c r="P259" s="2"/>
      <c r="Q259" s="50"/>
      <c r="R259" s="50"/>
      <c r="S259" s="2">
        <f>IFERROR(VLOOKUP(A259,IMPORT_DESISTENCIA!$A$2:$Q2273,14,0),"NÃO")</f>
        <v>0</v>
      </c>
      <c r="T259" s="35"/>
    </row>
    <row r="260" spans="1:20" ht="45" customHeight="1" x14ac:dyDescent="0.25">
      <c r="A260" s="2" t="str">
        <f t="shared" si="1"/>
        <v/>
      </c>
      <c r="B260" s="2"/>
      <c r="C260" s="43"/>
      <c r="D260" s="2"/>
      <c r="E260" s="2"/>
      <c r="F260" s="2"/>
      <c r="G260" s="11"/>
      <c r="H260" s="11"/>
      <c r="I260" s="2"/>
      <c r="J260" s="2"/>
      <c r="K260" s="2"/>
      <c r="L260" s="10"/>
      <c r="M260" s="9"/>
      <c r="N260" s="2"/>
      <c r="O260" s="2"/>
      <c r="P260" s="2"/>
      <c r="Q260" s="50"/>
      <c r="R260" s="50"/>
      <c r="S260" s="2">
        <f>IFERROR(VLOOKUP(A260,IMPORT_DESISTENCIA!$A$2:$Q2273,14,0),"NÃO")</f>
        <v>0</v>
      </c>
      <c r="T260" s="35"/>
    </row>
    <row r="261" spans="1:20" ht="45" customHeight="1" x14ac:dyDescent="0.25">
      <c r="A261" s="2" t="str">
        <f t="shared" si="1"/>
        <v/>
      </c>
      <c r="B261" s="2"/>
      <c r="C261" s="43"/>
      <c r="D261" s="2"/>
      <c r="E261" s="2"/>
      <c r="F261" s="2"/>
      <c r="G261" s="11"/>
      <c r="H261" s="11"/>
      <c r="I261" s="2"/>
      <c r="J261" s="2"/>
      <c r="K261" s="2"/>
      <c r="L261" s="10"/>
      <c r="M261" s="9"/>
      <c r="N261" s="2"/>
      <c r="O261" s="2"/>
      <c r="P261" s="2"/>
      <c r="Q261" s="50"/>
      <c r="R261" s="50"/>
      <c r="S261" s="2">
        <f>IFERROR(VLOOKUP(A261,IMPORT_DESISTENCIA!$A$2:$Q2273,14,0),"NÃO")</f>
        <v>0</v>
      </c>
      <c r="T261" s="35"/>
    </row>
    <row r="262" spans="1:20" ht="45" customHeight="1" x14ac:dyDescent="0.25">
      <c r="A262" s="2" t="str">
        <f t="shared" si="1"/>
        <v/>
      </c>
      <c r="B262" s="2"/>
      <c r="C262" s="43"/>
      <c r="D262" s="2"/>
      <c r="E262" s="2"/>
      <c r="F262" s="2"/>
      <c r="G262" s="11"/>
      <c r="H262" s="11"/>
      <c r="I262" s="2"/>
      <c r="J262" s="2"/>
      <c r="K262" s="2"/>
      <c r="L262" s="10"/>
      <c r="M262" s="9"/>
      <c r="N262" s="2"/>
      <c r="O262" s="2"/>
      <c r="P262" s="2"/>
      <c r="Q262" s="50"/>
      <c r="R262" s="50"/>
      <c r="S262" s="2">
        <f>IFERROR(VLOOKUP(A262,IMPORT_DESISTENCIA!$A$2:$Q2273,14,0),"NÃO")</f>
        <v>0</v>
      </c>
      <c r="T262" s="35"/>
    </row>
    <row r="263" spans="1:20" ht="45" customHeight="1" x14ac:dyDescent="0.25">
      <c r="A263" s="2" t="str">
        <f t="shared" si="1"/>
        <v/>
      </c>
      <c r="B263" s="2"/>
      <c r="C263" s="43"/>
      <c r="D263" s="2"/>
      <c r="E263" s="2"/>
      <c r="F263" s="2"/>
      <c r="G263" s="11"/>
      <c r="H263" s="11"/>
      <c r="I263" s="2"/>
      <c r="J263" s="2"/>
      <c r="K263" s="2"/>
      <c r="L263" s="10"/>
      <c r="M263" s="9"/>
      <c r="N263" s="2"/>
      <c r="O263" s="2"/>
      <c r="P263" s="2"/>
      <c r="Q263" s="50"/>
      <c r="R263" s="50"/>
      <c r="S263" s="2">
        <f>IFERROR(VLOOKUP(A263,IMPORT_DESISTENCIA!$A$2:$Q2273,14,0),"NÃO")</f>
        <v>0</v>
      </c>
      <c r="T263" s="35"/>
    </row>
    <row r="264" spans="1:20" ht="45" customHeight="1" x14ac:dyDescent="0.25">
      <c r="A264" s="2" t="str">
        <f t="shared" si="1"/>
        <v/>
      </c>
      <c r="B264" s="2"/>
      <c r="C264" s="43"/>
      <c r="D264" s="2"/>
      <c r="E264" s="2"/>
      <c r="F264" s="2"/>
      <c r="G264" s="11"/>
      <c r="H264" s="11"/>
      <c r="I264" s="2"/>
      <c r="J264" s="2"/>
      <c r="K264" s="2"/>
      <c r="L264" s="10"/>
      <c r="M264" s="9"/>
      <c r="N264" s="2"/>
      <c r="O264" s="2"/>
      <c r="P264" s="2"/>
      <c r="Q264" s="50"/>
      <c r="R264" s="50"/>
      <c r="S264" s="2">
        <f>IFERROR(VLOOKUP(A264,IMPORT_DESISTENCIA!$A$2:$Q2273,14,0),"NÃO")</f>
        <v>0</v>
      </c>
      <c r="T264" s="35"/>
    </row>
    <row r="265" spans="1:20" ht="45" customHeight="1" x14ac:dyDescent="0.25">
      <c r="A265" s="2" t="str">
        <f t="shared" si="1"/>
        <v/>
      </c>
      <c r="B265" s="2"/>
      <c r="C265" s="43"/>
      <c r="D265" s="2"/>
      <c r="E265" s="2"/>
      <c r="F265" s="2"/>
      <c r="G265" s="11"/>
      <c r="H265" s="11"/>
      <c r="I265" s="2"/>
      <c r="J265" s="2"/>
      <c r="K265" s="2"/>
      <c r="L265" s="10"/>
      <c r="M265" s="9"/>
      <c r="N265" s="2"/>
      <c r="O265" s="2"/>
      <c r="P265" s="2"/>
      <c r="Q265" s="50"/>
      <c r="R265" s="50"/>
      <c r="S265" s="2">
        <f>IFERROR(VLOOKUP(A265,IMPORT_DESISTENCIA!$A$2:$Q2273,14,0),"NÃO")</f>
        <v>0</v>
      </c>
      <c r="T265" s="35"/>
    </row>
    <row r="266" spans="1:20" ht="45" customHeight="1" x14ac:dyDescent="0.25">
      <c r="A266" s="2" t="str">
        <f t="shared" si="1"/>
        <v/>
      </c>
      <c r="B266" s="2"/>
      <c r="C266" s="43"/>
      <c r="D266" s="2"/>
      <c r="E266" s="2"/>
      <c r="F266" s="2"/>
      <c r="G266" s="11"/>
      <c r="H266" s="11"/>
      <c r="I266" s="2"/>
      <c r="J266" s="2"/>
      <c r="K266" s="2"/>
      <c r="L266" s="10"/>
      <c r="M266" s="9"/>
      <c r="N266" s="2"/>
      <c r="O266" s="2"/>
      <c r="P266" s="2"/>
      <c r="Q266" s="50"/>
      <c r="R266" s="50"/>
      <c r="S266" s="2">
        <f>IFERROR(VLOOKUP(A266,IMPORT_DESISTENCIA!$A$2:$Q2273,14,0),"NÃO")</f>
        <v>0</v>
      </c>
      <c r="T266" s="35"/>
    </row>
    <row r="267" spans="1:20" ht="45" customHeight="1" x14ac:dyDescent="0.25">
      <c r="A267" s="2" t="str">
        <f t="shared" si="1"/>
        <v/>
      </c>
      <c r="B267" s="2"/>
      <c r="C267" s="43"/>
      <c r="D267" s="2"/>
      <c r="E267" s="2"/>
      <c r="F267" s="2"/>
      <c r="G267" s="11"/>
      <c r="H267" s="11"/>
      <c r="I267" s="2"/>
      <c r="J267" s="2"/>
      <c r="K267" s="2"/>
      <c r="L267" s="10"/>
      <c r="M267" s="9"/>
      <c r="N267" s="2"/>
      <c r="O267" s="2"/>
      <c r="P267" s="2"/>
      <c r="Q267" s="50"/>
      <c r="R267" s="50"/>
      <c r="S267" s="2">
        <f>IFERROR(VLOOKUP(A267,IMPORT_DESISTENCIA!$A$2:$Q2273,14,0),"NÃO")</f>
        <v>0</v>
      </c>
      <c r="T267" s="35"/>
    </row>
    <row r="268" spans="1:20" ht="45" customHeight="1" x14ac:dyDescent="0.25">
      <c r="A268" s="2" t="str">
        <f t="shared" si="1"/>
        <v/>
      </c>
      <c r="B268" s="2"/>
      <c r="C268" s="43"/>
      <c r="D268" s="2"/>
      <c r="E268" s="2"/>
      <c r="F268" s="2"/>
      <c r="G268" s="11"/>
      <c r="H268" s="11"/>
      <c r="I268" s="2"/>
      <c r="J268" s="2"/>
      <c r="K268" s="2"/>
      <c r="L268" s="10"/>
      <c r="M268" s="9"/>
      <c r="N268" s="2"/>
      <c r="O268" s="2"/>
      <c r="P268" s="2"/>
      <c r="Q268" s="50"/>
      <c r="R268" s="50"/>
      <c r="S268" s="2">
        <f>IFERROR(VLOOKUP(A268,IMPORT_DESISTENCIA!$A$2:$Q2273,14,0),"NÃO")</f>
        <v>0</v>
      </c>
      <c r="T268" s="35"/>
    </row>
    <row r="269" spans="1:20" ht="45" customHeight="1" x14ac:dyDescent="0.25">
      <c r="A269" s="2" t="str">
        <f t="shared" si="1"/>
        <v/>
      </c>
      <c r="B269" s="2"/>
      <c r="C269" s="43"/>
      <c r="D269" s="2"/>
      <c r="E269" s="2"/>
      <c r="F269" s="2"/>
      <c r="G269" s="11"/>
      <c r="H269" s="11"/>
      <c r="I269" s="2"/>
      <c r="J269" s="2"/>
      <c r="K269" s="2"/>
      <c r="L269" s="10"/>
      <c r="M269" s="9"/>
      <c r="N269" s="2"/>
      <c r="O269" s="2"/>
      <c r="P269" s="2"/>
      <c r="Q269" s="50"/>
      <c r="R269" s="50"/>
      <c r="S269" s="2">
        <f>IFERROR(VLOOKUP(A269,IMPORT_DESISTENCIA!$A$2:$Q2273,14,0),"NÃO")</f>
        <v>0</v>
      </c>
      <c r="T269" s="35"/>
    </row>
    <row r="270" spans="1:20" ht="45" customHeight="1" x14ac:dyDescent="0.25">
      <c r="A270" s="2" t="str">
        <f t="shared" si="1"/>
        <v/>
      </c>
      <c r="B270" s="2"/>
      <c r="C270" s="43"/>
      <c r="D270" s="2"/>
      <c r="E270" s="2"/>
      <c r="F270" s="2"/>
      <c r="G270" s="11"/>
      <c r="H270" s="11"/>
      <c r="I270" s="2"/>
      <c r="J270" s="2"/>
      <c r="K270" s="2"/>
      <c r="L270" s="10"/>
      <c r="M270" s="9"/>
      <c r="N270" s="2"/>
      <c r="O270" s="2"/>
      <c r="P270" s="2"/>
      <c r="Q270" s="50"/>
      <c r="R270" s="50"/>
      <c r="S270" s="2">
        <f>IFERROR(VLOOKUP(A270,IMPORT_DESISTENCIA!$A$2:$Q2273,14,0),"NÃO")</f>
        <v>0</v>
      </c>
      <c r="T270" s="35"/>
    </row>
    <row r="271" spans="1:20" ht="45" customHeight="1" x14ac:dyDescent="0.25">
      <c r="A271" s="2" t="str">
        <f t="shared" si="1"/>
        <v/>
      </c>
      <c r="B271" s="2"/>
      <c r="C271" s="43"/>
      <c r="D271" s="2"/>
      <c r="E271" s="2"/>
      <c r="F271" s="2"/>
      <c r="G271" s="11"/>
      <c r="H271" s="11"/>
      <c r="I271" s="2"/>
      <c r="J271" s="2"/>
      <c r="K271" s="2"/>
      <c r="L271" s="10"/>
      <c r="M271" s="9"/>
      <c r="N271" s="2"/>
      <c r="O271" s="2"/>
      <c r="P271" s="2"/>
      <c r="Q271" s="50"/>
      <c r="R271" s="50"/>
      <c r="S271" s="2">
        <f>IFERROR(VLOOKUP(A271,IMPORT_DESISTENCIA!$A$2:$Q2273,14,0),"NÃO")</f>
        <v>0</v>
      </c>
      <c r="T271" s="35"/>
    </row>
    <row r="272" spans="1:20" ht="45" customHeight="1" x14ac:dyDescent="0.25">
      <c r="A272" s="2" t="str">
        <f t="shared" si="1"/>
        <v/>
      </c>
      <c r="B272" s="2"/>
      <c r="C272" s="43"/>
      <c r="D272" s="2"/>
      <c r="E272" s="2"/>
      <c r="F272" s="2"/>
      <c r="G272" s="11"/>
      <c r="H272" s="11"/>
      <c r="I272" s="2"/>
      <c r="J272" s="2"/>
      <c r="K272" s="2"/>
      <c r="L272" s="10"/>
      <c r="M272" s="9"/>
      <c r="N272" s="2"/>
      <c r="O272" s="2"/>
      <c r="P272" s="2"/>
      <c r="Q272" s="50"/>
      <c r="R272" s="50"/>
      <c r="S272" s="2">
        <f>IFERROR(VLOOKUP(A272,IMPORT_DESISTENCIA!$A$2:$Q2273,14,0),"NÃO")</f>
        <v>0</v>
      </c>
      <c r="T272" s="35"/>
    </row>
    <row r="273" spans="1:20" ht="45" customHeight="1" x14ac:dyDescent="0.25">
      <c r="A273" s="2" t="str">
        <f t="shared" si="1"/>
        <v/>
      </c>
      <c r="B273" s="2"/>
      <c r="C273" s="43"/>
      <c r="D273" s="2"/>
      <c r="E273" s="2"/>
      <c r="F273" s="2"/>
      <c r="G273" s="11"/>
      <c r="H273" s="11"/>
      <c r="I273" s="2"/>
      <c r="J273" s="2"/>
      <c r="K273" s="2"/>
      <c r="L273" s="10"/>
      <c r="M273" s="9"/>
      <c r="N273" s="2"/>
      <c r="O273" s="2"/>
      <c r="P273" s="2"/>
      <c r="Q273" s="50"/>
      <c r="R273" s="50"/>
      <c r="S273" s="2">
        <f>IFERROR(VLOOKUP(A273,IMPORT_DESISTENCIA!$A$2:$Q2273,14,0),"NÃO")</f>
        <v>0</v>
      </c>
      <c r="T273" s="35"/>
    </row>
    <row r="274" spans="1:20" ht="45" customHeight="1" x14ac:dyDescent="0.25">
      <c r="A274" s="2" t="str">
        <f t="shared" si="1"/>
        <v/>
      </c>
      <c r="B274" s="2"/>
      <c r="C274" s="43"/>
      <c r="D274" s="2"/>
      <c r="E274" s="2"/>
      <c r="F274" s="2"/>
      <c r="G274" s="11"/>
      <c r="H274" s="11"/>
      <c r="I274" s="2"/>
      <c r="J274" s="2"/>
      <c r="K274" s="2"/>
      <c r="L274" s="10"/>
      <c r="M274" s="9"/>
      <c r="N274" s="2"/>
      <c r="O274" s="2"/>
      <c r="P274" s="2"/>
      <c r="Q274" s="50"/>
      <c r="R274" s="50"/>
      <c r="S274" s="2">
        <f>IFERROR(VLOOKUP(A274,IMPORT_DESISTENCIA!$A$2:$Q2273,14,0),"NÃO")</f>
        <v>0</v>
      </c>
      <c r="T274" s="35"/>
    </row>
    <row r="275" spans="1:20" ht="45" customHeight="1" x14ac:dyDescent="0.25">
      <c r="A275" s="2" t="str">
        <f t="shared" si="1"/>
        <v/>
      </c>
      <c r="B275" s="2"/>
      <c r="C275" s="43"/>
      <c r="D275" s="2"/>
      <c r="E275" s="2"/>
      <c r="F275" s="2"/>
      <c r="G275" s="11"/>
      <c r="H275" s="11"/>
      <c r="I275" s="2"/>
      <c r="J275" s="2"/>
      <c r="K275" s="2"/>
      <c r="L275" s="10"/>
      <c r="M275" s="9"/>
      <c r="N275" s="2"/>
      <c r="O275" s="2"/>
      <c r="P275" s="2"/>
      <c r="Q275" s="50"/>
      <c r="R275" s="50"/>
      <c r="S275" s="2">
        <f>IFERROR(VLOOKUP(A275,IMPORT_DESISTENCIA!$A$2:$Q2273,14,0),"NÃO")</f>
        <v>0</v>
      </c>
      <c r="T275" s="35"/>
    </row>
    <row r="276" spans="1:20" ht="45" customHeight="1" x14ac:dyDescent="0.25">
      <c r="A276" s="2" t="str">
        <f t="shared" si="1"/>
        <v/>
      </c>
      <c r="B276" s="2"/>
      <c r="C276" s="43"/>
      <c r="D276" s="2"/>
      <c r="E276" s="2"/>
      <c r="F276" s="2"/>
      <c r="G276" s="11"/>
      <c r="H276" s="11"/>
      <c r="I276" s="2"/>
      <c r="J276" s="2"/>
      <c r="K276" s="2"/>
      <c r="L276" s="10"/>
      <c r="M276" s="9"/>
      <c r="N276" s="2"/>
      <c r="O276" s="2"/>
      <c r="P276" s="2"/>
      <c r="Q276" s="50"/>
      <c r="R276" s="50"/>
      <c r="S276" s="2">
        <f>IFERROR(VLOOKUP(A276,IMPORT_DESISTENCIA!$A$2:$Q2273,14,0),"NÃO")</f>
        <v>0</v>
      </c>
      <c r="T276" s="35"/>
    </row>
    <row r="277" spans="1:20" ht="45" customHeight="1" x14ac:dyDescent="0.25">
      <c r="A277" s="2" t="str">
        <f t="shared" si="1"/>
        <v/>
      </c>
      <c r="B277" s="2"/>
      <c r="C277" s="43"/>
      <c r="D277" s="2"/>
      <c r="E277" s="2"/>
      <c r="F277" s="2"/>
      <c r="G277" s="11"/>
      <c r="H277" s="11"/>
      <c r="I277" s="2"/>
      <c r="J277" s="2"/>
      <c r="K277" s="2"/>
      <c r="L277" s="10"/>
      <c r="M277" s="9"/>
      <c r="N277" s="2"/>
      <c r="O277" s="2"/>
      <c r="P277" s="2"/>
      <c r="Q277" s="50"/>
      <c r="R277" s="50"/>
      <c r="S277" s="2">
        <f>IFERROR(VLOOKUP(A277,IMPORT_DESISTENCIA!$A$2:$Q2273,14,0),"NÃO")</f>
        <v>0</v>
      </c>
      <c r="T277" s="35"/>
    </row>
    <row r="278" spans="1:20" ht="45" customHeight="1" x14ac:dyDescent="0.25">
      <c r="A278" s="2" t="str">
        <f t="shared" si="1"/>
        <v/>
      </c>
      <c r="B278" s="2"/>
      <c r="C278" s="43"/>
      <c r="D278" s="2"/>
      <c r="E278" s="2"/>
      <c r="F278" s="2"/>
      <c r="G278" s="11"/>
      <c r="H278" s="11"/>
      <c r="I278" s="2"/>
      <c r="J278" s="2"/>
      <c r="K278" s="2"/>
      <c r="L278" s="10"/>
      <c r="M278" s="9"/>
      <c r="N278" s="2"/>
      <c r="O278" s="2"/>
      <c r="P278" s="2"/>
      <c r="Q278" s="50"/>
      <c r="R278" s="50"/>
      <c r="S278" s="2">
        <f>IFERROR(VLOOKUP(A278,IMPORT_DESISTENCIA!$A$2:$Q2273,14,0),"NÃO")</f>
        <v>0</v>
      </c>
      <c r="T278" s="35"/>
    </row>
    <row r="279" spans="1:20" ht="45" customHeight="1" x14ac:dyDescent="0.25">
      <c r="A279" s="2" t="str">
        <f t="shared" si="1"/>
        <v/>
      </c>
      <c r="B279" s="2"/>
      <c r="C279" s="43"/>
      <c r="D279" s="2"/>
      <c r="E279" s="2"/>
      <c r="F279" s="2"/>
      <c r="G279" s="11"/>
      <c r="H279" s="11"/>
      <c r="I279" s="2"/>
      <c r="J279" s="2"/>
      <c r="K279" s="2"/>
      <c r="L279" s="10"/>
      <c r="M279" s="9"/>
      <c r="N279" s="2"/>
      <c r="O279" s="2"/>
      <c r="P279" s="2"/>
      <c r="Q279" s="50"/>
      <c r="R279" s="50"/>
      <c r="S279" s="2">
        <f>IFERROR(VLOOKUP(A279,IMPORT_DESISTENCIA!$A$2:$Q2273,14,0),"NÃO")</f>
        <v>0</v>
      </c>
      <c r="T279" s="35"/>
    </row>
    <row r="280" spans="1:20" ht="45" customHeight="1" x14ac:dyDescent="0.25">
      <c r="A280" s="2" t="str">
        <f t="shared" si="1"/>
        <v/>
      </c>
      <c r="B280" s="2"/>
      <c r="C280" s="43"/>
      <c r="D280" s="2"/>
      <c r="E280" s="2"/>
      <c r="F280" s="2"/>
      <c r="G280" s="11"/>
      <c r="H280" s="11"/>
      <c r="I280" s="2"/>
      <c r="J280" s="2"/>
      <c r="K280" s="2"/>
      <c r="L280" s="10"/>
      <c r="M280" s="9"/>
      <c r="N280" s="2"/>
      <c r="O280" s="2"/>
      <c r="P280" s="2"/>
      <c r="Q280" s="50"/>
      <c r="R280" s="50"/>
      <c r="S280" s="2">
        <f>IFERROR(VLOOKUP(A280,IMPORT_DESISTENCIA!$A$2:$Q2273,14,0),"NÃO")</f>
        <v>0</v>
      </c>
      <c r="T280" s="35"/>
    </row>
    <row r="281" spans="1:20" ht="45" customHeight="1" x14ac:dyDescent="0.25">
      <c r="A281" s="2" t="str">
        <f t="shared" si="1"/>
        <v/>
      </c>
      <c r="B281" s="2"/>
      <c r="C281" s="43"/>
      <c r="D281" s="2"/>
      <c r="E281" s="2"/>
      <c r="F281" s="2"/>
      <c r="G281" s="11"/>
      <c r="H281" s="11"/>
      <c r="I281" s="2"/>
      <c r="J281" s="2"/>
      <c r="K281" s="2"/>
      <c r="L281" s="10"/>
      <c r="M281" s="9"/>
      <c r="N281" s="2"/>
      <c r="O281" s="2"/>
      <c r="P281" s="2"/>
      <c r="Q281" s="50"/>
      <c r="R281" s="50"/>
      <c r="S281" s="2">
        <f>IFERROR(VLOOKUP(A281,IMPORT_DESISTENCIA!$A$2:$Q2273,14,0),"NÃO")</f>
        <v>0</v>
      </c>
      <c r="T281" s="35"/>
    </row>
    <row r="282" spans="1:20" ht="45" customHeight="1" x14ac:dyDescent="0.25">
      <c r="A282" s="2" t="str">
        <f t="shared" si="1"/>
        <v/>
      </c>
      <c r="B282" s="2"/>
      <c r="C282" s="43"/>
      <c r="D282" s="2"/>
      <c r="E282" s="2"/>
      <c r="F282" s="2"/>
      <c r="G282" s="11"/>
      <c r="H282" s="11"/>
      <c r="I282" s="2"/>
      <c r="J282" s="2"/>
      <c r="K282" s="2"/>
      <c r="L282" s="10"/>
      <c r="M282" s="9"/>
      <c r="N282" s="2"/>
      <c r="O282" s="2"/>
      <c r="P282" s="2"/>
      <c r="Q282" s="50"/>
      <c r="R282" s="50"/>
      <c r="S282" s="2">
        <f>IFERROR(VLOOKUP(A282,IMPORT_DESISTENCIA!$A$2:$Q2273,14,0),"NÃO")</f>
        <v>0</v>
      </c>
      <c r="T282" s="35"/>
    </row>
    <row r="283" spans="1:20" ht="45" customHeight="1" x14ac:dyDescent="0.25">
      <c r="A283" s="2" t="str">
        <f t="shared" si="1"/>
        <v/>
      </c>
      <c r="B283" s="2"/>
      <c r="C283" s="43"/>
      <c r="D283" s="2"/>
      <c r="E283" s="2"/>
      <c r="F283" s="2"/>
      <c r="G283" s="11"/>
      <c r="H283" s="11"/>
      <c r="I283" s="2"/>
      <c r="J283" s="2"/>
      <c r="K283" s="2"/>
      <c r="L283" s="10"/>
      <c r="M283" s="9"/>
      <c r="N283" s="2"/>
      <c r="O283" s="2"/>
      <c r="P283" s="2"/>
      <c r="Q283" s="50"/>
      <c r="R283" s="50"/>
      <c r="S283" s="2">
        <f>IFERROR(VLOOKUP(A283,IMPORT_DESISTENCIA!$A$2:$Q2273,14,0),"NÃO")</f>
        <v>0</v>
      </c>
      <c r="T283" s="35"/>
    </row>
    <row r="284" spans="1:20" ht="45" customHeight="1" x14ac:dyDescent="0.25">
      <c r="A284" s="2" t="str">
        <f t="shared" si="1"/>
        <v/>
      </c>
      <c r="B284" s="2"/>
      <c r="C284" s="43"/>
      <c r="D284" s="2"/>
      <c r="E284" s="2"/>
      <c r="F284" s="2"/>
      <c r="G284" s="11"/>
      <c r="H284" s="11"/>
      <c r="I284" s="2"/>
      <c r="J284" s="2"/>
      <c r="K284" s="2"/>
      <c r="L284" s="10"/>
      <c r="M284" s="9"/>
      <c r="N284" s="2"/>
      <c r="O284" s="2"/>
      <c r="P284" s="2"/>
      <c r="Q284" s="50"/>
      <c r="R284" s="50"/>
      <c r="S284" s="2">
        <f>IFERROR(VLOOKUP(A284,IMPORT_DESISTENCIA!$A$2:$Q2273,14,0),"NÃO")</f>
        <v>0</v>
      </c>
      <c r="T284" s="35"/>
    </row>
    <row r="285" spans="1:20" ht="45" customHeight="1" x14ac:dyDescent="0.25">
      <c r="A285" s="2" t="str">
        <f t="shared" si="1"/>
        <v/>
      </c>
      <c r="B285" s="2"/>
      <c r="C285" s="43"/>
      <c r="D285" s="2"/>
      <c r="E285" s="2"/>
      <c r="F285" s="2"/>
      <c r="G285" s="11"/>
      <c r="H285" s="11"/>
      <c r="I285" s="2"/>
      <c r="J285" s="2"/>
      <c r="K285" s="2"/>
      <c r="L285" s="10"/>
      <c r="M285" s="9"/>
      <c r="N285" s="2"/>
      <c r="O285" s="2"/>
      <c r="P285" s="2"/>
      <c r="Q285" s="50"/>
      <c r="R285" s="50"/>
      <c r="S285" s="2">
        <f>IFERROR(VLOOKUP(A285,IMPORT_DESISTENCIA!$A$2:$Q2273,14,0),"NÃO")</f>
        <v>0</v>
      </c>
      <c r="T285" s="35"/>
    </row>
    <row r="286" spans="1:20" ht="45" customHeight="1" x14ac:dyDescent="0.25">
      <c r="A286" s="2" t="str">
        <f t="shared" si="1"/>
        <v/>
      </c>
      <c r="B286" s="2"/>
      <c r="C286" s="43"/>
      <c r="D286" s="2"/>
      <c r="E286" s="2"/>
      <c r="F286" s="2"/>
      <c r="G286" s="11"/>
      <c r="H286" s="11"/>
      <c r="I286" s="2"/>
      <c r="J286" s="2"/>
      <c r="K286" s="2"/>
      <c r="L286" s="10"/>
      <c r="M286" s="9"/>
      <c r="N286" s="2"/>
      <c r="O286" s="2"/>
      <c r="P286" s="2"/>
      <c r="Q286" s="50"/>
      <c r="R286" s="50"/>
      <c r="S286" s="2">
        <f>IFERROR(VLOOKUP(A286,IMPORT_DESISTENCIA!$A$2:$Q2273,14,0),"NÃO")</f>
        <v>0</v>
      </c>
      <c r="T286" s="35"/>
    </row>
    <row r="287" spans="1:20" ht="45" customHeight="1" x14ac:dyDescent="0.25">
      <c r="A287" s="2" t="str">
        <f t="shared" si="1"/>
        <v/>
      </c>
      <c r="B287" s="2"/>
      <c r="C287" s="43"/>
      <c r="D287" s="2"/>
      <c r="E287" s="2"/>
      <c r="F287" s="2"/>
      <c r="G287" s="11"/>
      <c r="H287" s="11"/>
      <c r="I287" s="2"/>
      <c r="J287" s="2"/>
      <c r="K287" s="2"/>
      <c r="L287" s="10"/>
      <c r="M287" s="9"/>
      <c r="N287" s="2"/>
      <c r="O287" s="2"/>
      <c r="P287" s="2"/>
      <c r="Q287" s="50"/>
      <c r="R287" s="50"/>
      <c r="S287" s="2">
        <f>IFERROR(VLOOKUP(A287,IMPORT_DESISTENCIA!$A$2:$Q2273,14,0),"NÃO")</f>
        <v>0</v>
      </c>
      <c r="T287" s="35"/>
    </row>
    <row r="288" spans="1:20" ht="45" customHeight="1" x14ac:dyDescent="0.25">
      <c r="A288" s="2" t="str">
        <f t="shared" si="1"/>
        <v/>
      </c>
      <c r="B288" s="2"/>
      <c r="C288" s="43"/>
      <c r="D288" s="2"/>
      <c r="E288" s="2"/>
      <c r="F288" s="2"/>
      <c r="G288" s="11"/>
      <c r="H288" s="11"/>
      <c r="I288" s="2"/>
      <c r="J288" s="2"/>
      <c r="K288" s="2"/>
      <c r="L288" s="10"/>
      <c r="M288" s="9"/>
      <c r="N288" s="2"/>
      <c r="O288" s="2"/>
      <c r="P288" s="2"/>
      <c r="Q288" s="50"/>
      <c r="R288" s="50"/>
      <c r="S288" s="2">
        <f>IFERROR(VLOOKUP(A288,IMPORT_DESISTENCIA!$A$2:$Q2273,14,0),"NÃO")</f>
        <v>0</v>
      </c>
      <c r="T288" s="35"/>
    </row>
    <row r="289" spans="1:20" ht="45" customHeight="1" x14ac:dyDescent="0.25">
      <c r="A289" s="2" t="str">
        <f t="shared" si="1"/>
        <v/>
      </c>
      <c r="B289" s="2"/>
      <c r="C289" s="43"/>
      <c r="D289" s="2"/>
      <c r="E289" s="2"/>
      <c r="F289" s="2"/>
      <c r="G289" s="11"/>
      <c r="H289" s="11"/>
      <c r="I289" s="2"/>
      <c r="J289" s="2"/>
      <c r="K289" s="2"/>
      <c r="L289" s="10"/>
      <c r="M289" s="9"/>
      <c r="N289" s="2"/>
      <c r="O289" s="2"/>
      <c r="P289" s="2"/>
      <c r="Q289" s="50"/>
      <c r="R289" s="50"/>
      <c r="S289" s="2">
        <f>IFERROR(VLOOKUP(A289,IMPORT_DESISTENCIA!$A$2:$Q2273,14,0),"NÃO")</f>
        <v>0</v>
      </c>
      <c r="T289" s="35"/>
    </row>
    <row r="290" spans="1:20" ht="45" customHeight="1" x14ac:dyDescent="0.25">
      <c r="A290" s="2" t="str">
        <f t="shared" si="1"/>
        <v/>
      </c>
      <c r="B290" s="2"/>
      <c r="C290" s="43"/>
      <c r="D290" s="2"/>
      <c r="E290" s="2"/>
      <c r="F290" s="2"/>
      <c r="G290" s="11"/>
      <c r="H290" s="11"/>
      <c r="I290" s="2"/>
      <c r="J290" s="2"/>
      <c r="K290" s="2"/>
      <c r="L290" s="10"/>
      <c r="M290" s="9"/>
      <c r="N290" s="2"/>
      <c r="O290" s="2"/>
      <c r="P290" s="2"/>
      <c r="Q290" s="50"/>
      <c r="R290" s="50"/>
      <c r="S290" s="2">
        <f>IFERROR(VLOOKUP(A290,IMPORT_DESISTENCIA!$A$2:$Q2273,14,0),"NÃO")</f>
        <v>0</v>
      </c>
      <c r="T290" s="35"/>
    </row>
    <row r="291" spans="1:20" ht="45" customHeight="1" x14ac:dyDescent="0.25">
      <c r="A291" s="2" t="str">
        <f t="shared" si="1"/>
        <v/>
      </c>
      <c r="B291" s="2"/>
      <c r="C291" s="43"/>
      <c r="D291" s="2"/>
      <c r="E291" s="2"/>
      <c r="F291" s="2"/>
      <c r="G291" s="11"/>
      <c r="H291" s="11"/>
      <c r="I291" s="2"/>
      <c r="J291" s="2"/>
      <c r="K291" s="2"/>
      <c r="L291" s="10"/>
      <c r="M291" s="9"/>
      <c r="N291" s="2"/>
      <c r="O291" s="2"/>
      <c r="P291" s="2"/>
      <c r="Q291" s="50"/>
      <c r="R291" s="50"/>
      <c r="S291" s="2">
        <f>IFERROR(VLOOKUP(A291,IMPORT_DESISTENCIA!$A$2:$Q2273,14,0),"NÃO")</f>
        <v>0</v>
      </c>
      <c r="T291" s="35"/>
    </row>
    <row r="292" spans="1:20" ht="45" customHeight="1" x14ac:dyDescent="0.25">
      <c r="A292" s="2" t="str">
        <f t="shared" si="1"/>
        <v/>
      </c>
      <c r="B292" s="2"/>
      <c r="C292" s="43"/>
      <c r="D292" s="2"/>
      <c r="E292" s="2"/>
      <c r="F292" s="2"/>
      <c r="G292" s="11"/>
      <c r="H292" s="11"/>
      <c r="I292" s="2"/>
      <c r="J292" s="2"/>
      <c r="K292" s="2"/>
      <c r="L292" s="10"/>
      <c r="M292" s="9"/>
      <c r="N292" s="2"/>
      <c r="O292" s="2"/>
      <c r="P292" s="2"/>
      <c r="Q292" s="50"/>
      <c r="R292" s="50"/>
      <c r="S292" s="2">
        <f>IFERROR(VLOOKUP(A292,IMPORT_DESISTENCIA!$A$2:$Q2273,14,0),"NÃO")</f>
        <v>0</v>
      </c>
      <c r="T292" s="35"/>
    </row>
    <row r="293" spans="1:20" ht="45" customHeight="1" x14ac:dyDescent="0.25">
      <c r="A293" s="2" t="str">
        <f t="shared" si="1"/>
        <v/>
      </c>
      <c r="B293" s="2"/>
      <c r="C293" s="43"/>
      <c r="D293" s="2"/>
      <c r="E293" s="2"/>
      <c r="F293" s="2"/>
      <c r="G293" s="11"/>
      <c r="H293" s="11"/>
      <c r="I293" s="2"/>
      <c r="J293" s="2"/>
      <c r="K293" s="2"/>
      <c r="L293" s="10"/>
      <c r="M293" s="9"/>
      <c r="N293" s="2"/>
      <c r="O293" s="2"/>
      <c r="P293" s="2"/>
      <c r="Q293" s="50"/>
      <c r="R293" s="50"/>
      <c r="S293" s="2">
        <f>IFERROR(VLOOKUP(A293,IMPORT_DESISTENCIA!$A$2:$Q2273,14,0),"NÃO")</f>
        <v>0</v>
      </c>
      <c r="T293" s="35"/>
    </row>
    <row r="294" spans="1:20" ht="45" customHeight="1" x14ac:dyDescent="0.25">
      <c r="A294" s="2" t="str">
        <f t="shared" si="1"/>
        <v/>
      </c>
      <c r="B294" s="2"/>
      <c r="C294" s="43"/>
      <c r="D294" s="2"/>
      <c r="E294" s="2"/>
      <c r="F294" s="2"/>
      <c r="G294" s="11"/>
      <c r="H294" s="11"/>
      <c r="I294" s="2"/>
      <c r="J294" s="2"/>
      <c r="K294" s="2"/>
      <c r="L294" s="10"/>
      <c r="M294" s="9"/>
      <c r="N294" s="2"/>
      <c r="O294" s="2"/>
      <c r="P294" s="2"/>
      <c r="Q294" s="50"/>
      <c r="R294" s="50"/>
      <c r="S294" s="2">
        <f>IFERROR(VLOOKUP(A294,IMPORT_DESISTENCIA!$A$2:$Q2273,14,0),"NÃO")</f>
        <v>0</v>
      </c>
      <c r="T294" s="35"/>
    </row>
    <row r="295" spans="1:20" ht="45" customHeight="1" x14ac:dyDescent="0.25">
      <c r="A295" s="2" t="str">
        <f t="shared" si="1"/>
        <v/>
      </c>
      <c r="B295" s="2"/>
      <c r="C295" s="43"/>
      <c r="D295" s="2"/>
      <c r="E295" s="2"/>
      <c r="F295" s="2"/>
      <c r="G295" s="11"/>
      <c r="H295" s="11"/>
      <c r="I295" s="2"/>
      <c r="J295" s="2"/>
      <c r="K295" s="2"/>
      <c r="L295" s="10"/>
      <c r="M295" s="9"/>
      <c r="N295" s="2"/>
      <c r="O295" s="2"/>
      <c r="P295" s="2"/>
      <c r="Q295" s="50"/>
      <c r="R295" s="50"/>
      <c r="S295" s="2">
        <f>IFERROR(VLOOKUP(A295,IMPORT_DESISTENCIA!$A$2:$Q2273,14,0),"NÃO")</f>
        <v>0</v>
      </c>
      <c r="T295" s="35"/>
    </row>
    <row r="296" spans="1:20" ht="45" customHeight="1" x14ac:dyDescent="0.25">
      <c r="A296" s="2" t="str">
        <f t="shared" si="1"/>
        <v/>
      </c>
      <c r="B296" s="2"/>
      <c r="C296" s="43"/>
      <c r="D296" s="2"/>
      <c r="E296" s="2"/>
      <c r="F296" s="2"/>
      <c r="G296" s="11"/>
      <c r="H296" s="11"/>
      <c r="I296" s="2"/>
      <c r="J296" s="2"/>
      <c r="K296" s="2"/>
      <c r="L296" s="10"/>
      <c r="M296" s="9"/>
      <c r="N296" s="2"/>
      <c r="O296" s="2"/>
      <c r="P296" s="2"/>
      <c r="Q296" s="50"/>
      <c r="R296" s="50"/>
      <c r="S296" s="2">
        <f>IFERROR(VLOOKUP(A296,IMPORT_DESISTENCIA!$A$2:$Q2273,14,0),"NÃO")</f>
        <v>0</v>
      </c>
      <c r="T296" s="35"/>
    </row>
    <row r="297" spans="1:20" ht="45" customHeight="1" x14ac:dyDescent="0.25">
      <c r="A297" s="2" t="str">
        <f t="shared" si="1"/>
        <v/>
      </c>
      <c r="B297" s="2"/>
      <c r="C297" s="43"/>
      <c r="D297" s="2"/>
      <c r="E297" s="2"/>
      <c r="F297" s="2"/>
      <c r="G297" s="11"/>
      <c r="H297" s="11"/>
      <c r="I297" s="2"/>
      <c r="J297" s="2"/>
      <c r="K297" s="2"/>
      <c r="L297" s="10"/>
      <c r="M297" s="9"/>
      <c r="N297" s="2"/>
      <c r="O297" s="2"/>
      <c r="P297" s="2"/>
      <c r="Q297" s="50"/>
      <c r="R297" s="50"/>
      <c r="S297" s="2">
        <f>IFERROR(VLOOKUP(A297,IMPORT_DESISTENCIA!$A$2:$Q2273,14,0),"NÃO")</f>
        <v>0</v>
      </c>
      <c r="T297" s="35"/>
    </row>
    <row r="298" spans="1:20" ht="45" customHeight="1" x14ac:dyDescent="0.25">
      <c r="A298" s="2" t="str">
        <f t="shared" si="1"/>
        <v/>
      </c>
      <c r="B298" s="2"/>
      <c r="C298" s="43"/>
      <c r="D298" s="2"/>
      <c r="E298" s="2"/>
      <c r="F298" s="2"/>
      <c r="G298" s="11"/>
      <c r="H298" s="11"/>
      <c r="I298" s="2"/>
      <c r="J298" s="2"/>
      <c r="K298" s="2"/>
      <c r="L298" s="10"/>
      <c r="M298" s="9"/>
      <c r="N298" s="2"/>
      <c r="O298" s="2"/>
      <c r="P298" s="2"/>
      <c r="Q298" s="50"/>
      <c r="R298" s="50"/>
      <c r="S298" s="2">
        <f>IFERROR(VLOOKUP(A298,IMPORT_DESISTENCIA!$A$2:$Q2273,14,0),"NÃO")</f>
        <v>0</v>
      </c>
      <c r="T298" s="35"/>
    </row>
    <row r="299" spans="1:20" ht="45" customHeight="1" x14ac:dyDescent="0.25">
      <c r="A299" s="2" t="str">
        <f t="shared" si="1"/>
        <v/>
      </c>
      <c r="B299" s="2"/>
      <c r="C299" s="43"/>
      <c r="D299" s="2"/>
      <c r="E299" s="2"/>
      <c r="F299" s="2"/>
      <c r="G299" s="11"/>
      <c r="H299" s="11"/>
      <c r="I299" s="2"/>
      <c r="J299" s="2"/>
      <c r="K299" s="2"/>
      <c r="L299" s="10"/>
      <c r="M299" s="9"/>
      <c r="N299" s="2"/>
      <c r="O299" s="2"/>
      <c r="P299" s="2"/>
      <c r="Q299" s="50"/>
      <c r="R299" s="50"/>
      <c r="S299" s="2">
        <f>IFERROR(VLOOKUP(A299,IMPORT_DESISTENCIA!$A$2:$Q2273,14,0),"NÃO")</f>
        <v>0</v>
      </c>
      <c r="T299" s="35"/>
    </row>
    <row r="300" spans="1:20" ht="45" customHeight="1" x14ac:dyDescent="0.25">
      <c r="A300" s="2" t="str">
        <f t="shared" si="1"/>
        <v/>
      </c>
      <c r="B300" s="2"/>
      <c r="C300" s="43"/>
      <c r="D300" s="2"/>
      <c r="E300" s="2"/>
      <c r="F300" s="2"/>
      <c r="G300" s="11"/>
      <c r="H300" s="11"/>
      <c r="I300" s="2"/>
      <c r="J300" s="2"/>
      <c r="K300" s="2"/>
      <c r="L300" s="10"/>
      <c r="M300" s="9"/>
      <c r="N300" s="2"/>
      <c r="O300" s="2"/>
      <c r="P300" s="2"/>
      <c r="Q300" s="50"/>
      <c r="R300" s="50"/>
      <c r="S300" s="2">
        <f>IFERROR(VLOOKUP(A300,IMPORT_DESISTENCIA!$A$2:$Q2273,14,0),"NÃO")</f>
        <v>0</v>
      </c>
      <c r="T300" s="35"/>
    </row>
    <row r="301" spans="1:20" ht="45" customHeight="1" x14ac:dyDescent="0.25">
      <c r="A301" s="2" t="str">
        <f t="shared" si="1"/>
        <v/>
      </c>
      <c r="B301" s="2"/>
      <c r="C301" s="43"/>
      <c r="D301" s="2"/>
      <c r="E301" s="2"/>
      <c r="F301" s="2"/>
      <c r="G301" s="11"/>
      <c r="H301" s="11"/>
      <c r="I301" s="2"/>
      <c r="J301" s="2"/>
      <c r="K301" s="2"/>
      <c r="L301" s="10"/>
      <c r="M301" s="9"/>
      <c r="N301" s="2"/>
      <c r="O301" s="2"/>
      <c r="P301" s="2"/>
      <c r="Q301" s="50"/>
      <c r="R301" s="50"/>
      <c r="S301" s="2">
        <f>IFERROR(VLOOKUP(A301,IMPORT_DESISTENCIA!$A$2:$Q2273,14,0),"NÃO")</f>
        <v>0</v>
      </c>
      <c r="T301" s="35"/>
    </row>
    <row r="302" spans="1:20" ht="45" customHeight="1" x14ac:dyDescent="0.25">
      <c r="A302" s="2" t="str">
        <f t="shared" si="1"/>
        <v/>
      </c>
      <c r="B302" s="2"/>
      <c r="C302" s="43"/>
      <c r="D302" s="2"/>
      <c r="E302" s="2"/>
      <c r="F302" s="2"/>
      <c r="G302" s="11"/>
      <c r="H302" s="11"/>
      <c r="I302" s="2"/>
      <c r="J302" s="2"/>
      <c r="K302" s="2"/>
      <c r="L302" s="10"/>
      <c r="M302" s="9"/>
      <c r="N302" s="2"/>
      <c r="O302" s="2"/>
      <c r="P302" s="2"/>
      <c r="Q302" s="50"/>
      <c r="R302" s="50"/>
      <c r="S302" s="2">
        <f>IFERROR(VLOOKUP(A302,IMPORT_DESISTENCIA!$A$2:$Q2273,14,0),"NÃO")</f>
        <v>0</v>
      </c>
      <c r="T302" s="35"/>
    </row>
    <row r="303" spans="1:20" ht="45" customHeight="1" x14ac:dyDescent="0.25">
      <c r="A303" s="2" t="str">
        <f t="shared" si="1"/>
        <v/>
      </c>
      <c r="B303" s="2"/>
      <c r="C303" s="43"/>
      <c r="D303" s="2"/>
      <c r="E303" s="2"/>
      <c r="F303" s="2"/>
      <c r="G303" s="11"/>
      <c r="H303" s="11"/>
      <c r="I303" s="2"/>
      <c r="J303" s="2"/>
      <c r="K303" s="2"/>
      <c r="L303" s="10"/>
      <c r="M303" s="9"/>
      <c r="N303" s="2"/>
      <c r="O303" s="2"/>
      <c r="P303" s="2"/>
      <c r="Q303" s="50"/>
      <c r="R303" s="50"/>
      <c r="S303" s="2">
        <f>IFERROR(VLOOKUP(A303,IMPORT_DESISTENCIA!$A$2:$Q2273,14,0),"NÃO")</f>
        <v>0</v>
      </c>
      <c r="T303" s="35"/>
    </row>
    <row r="304" spans="1:20" ht="45" customHeight="1" x14ac:dyDescent="0.25">
      <c r="A304" s="2" t="str">
        <f t="shared" si="1"/>
        <v/>
      </c>
      <c r="B304" s="2"/>
      <c r="C304" s="43"/>
      <c r="D304" s="2"/>
      <c r="E304" s="2"/>
      <c r="F304" s="2"/>
      <c r="G304" s="11"/>
      <c r="H304" s="11"/>
      <c r="I304" s="2"/>
      <c r="J304" s="2"/>
      <c r="K304" s="2"/>
      <c r="L304" s="10"/>
      <c r="M304" s="9"/>
      <c r="N304" s="2"/>
      <c r="O304" s="2"/>
      <c r="P304" s="2"/>
      <c r="Q304" s="50"/>
      <c r="R304" s="50"/>
      <c r="S304" s="2">
        <f>IFERROR(VLOOKUP(A304,IMPORT_DESISTENCIA!$A$2:$Q2273,14,0),"NÃO")</f>
        <v>0</v>
      </c>
      <c r="T304" s="35"/>
    </row>
    <row r="305" spans="1:20" ht="45" customHeight="1" x14ac:dyDescent="0.25">
      <c r="A305" s="2" t="str">
        <f t="shared" si="1"/>
        <v/>
      </c>
      <c r="B305" s="2"/>
      <c r="C305" s="43"/>
      <c r="D305" s="2"/>
      <c r="E305" s="2"/>
      <c r="F305" s="2"/>
      <c r="G305" s="11"/>
      <c r="H305" s="11"/>
      <c r="I305" s="2"/>
      <c r="J305" s="2"/>
      <c r="K305" s="2"/>
      <c r="L305" s="10"/>
      <c r="M305" s="9"/>
      <c r="N305" s="2"/>
      <c r="O305" s="2"/>
      <c r="P305" s="2"/>
      <c r="Q305" s="50"/>
      <c r="R305" s="50"/>
      <c r="S305" s="2">
        <f>IFERROR(VLOOKUP(A305,IMPORT_DESISTENCIA!$A$2:$Q2273,14,0),"NÃO")</f>
        <v>0</v>
      </c>
      <c r="T305" s="35"/>
    </row>
    <row r="306" spans="1:20" ht="45" customHeight="1" x14ac:dyDescent="0.25">
      <c r="A306" s="2" t="str">
        <f t="shared" si="1"/>
        <v/>
      </c>
      <c r="B306" s="2"/>
      <c r="C306" s="43"/>
      <c r="D306" s="2"/>
      <c r="E306" s="2"/>
      <c r="F306" s="2"/>
      <c r="G306" s="11"/>
      <c r="H306" s="11"/>
      <c r="I306" s="2"/>
      <c r="J306" s="2"/>
      <c r="K306" s="2"/>
      <c r="L306" s="10"/>
      <c r="M306" s="9"/>
      <c r="N306" s="2"/>
      <c r="O306" s="2"/>
      <c r="P306" s="2"/>
      <c r="Q306" s="50"/>
      <c r="R306" s="50"/>
      <c r="S306" s="2">
        <f>IFERROR(VLOOKUP(A306,IMPORT_DESISTENCIA!$A$2:$Q2273,14,0),"NÃO")</f>
        <v>0</v>
      </c>
      <c r="T306" s="35"/>
    </row>
    <row r="307" spans="1:20" ht="45" customHeight="1" x14ac:dyDescent="0.25">
      <c r="A307" s="2" t="str">
        <f t="shared" si="1"/>
        <v/>
      </c>
      <c r="B307" s="2"/>
      <c r="C307" s="43"/>
      <c r="D307" s="2"/>
      <c r="E307" s="2"/>
      <c r="F307" s="2"/>
      <c r="G307" s="11"/>
      <c r="H307" s="11"/>
      <c r="I307" s="2"/>
      <c r="J307" s="2"/>
      <c r="K307" s="2"/>
      <c r="L307" s="10"/>
      <c r="M307" s="9"/>
      <c r="N307" s="2"/>
      <c r="O307" s="2"/>
      <c r="P307" s="2"/>
      <c r="Q307" s="50"/>
      <c r="R307" s="50"/>
      <c r="S307" s="2">
        <f>IFERROR(VLOOKUP(A307,IMPORT_DESISTENCIA!$A$2:$Q2273,14,0),"NÃO")</f>
        <v>0</v>
      </c>
      <c r="T307" s="35"/>
    </row>
    <row r="308" spans="1:20" ht="45" customHeight="1" x14ac:dyDescent="0.25">
      <c r="A308" s="2" t="str">
        <f t="shared" si="1"/>
        <v/>
      </c>
      <c r="B308" s="2"/>
      <c r="C308" s="43"/>
      <c r="D308" s="2"/>
      <c r="E308" s="2"/>
      <c r="F308" s="2"/>
      <c r="G308" s="11"/>
      <c r="H308" s="11"/>
      <c r="I308" s="2"/>
      <c r="J308" s="2"/>
      <c r="K308" s="2"/>
      <c r="L308" s="10"/>
      <c r="M308" s="9"/>
      <c r="N308" s="2"/>
      <c r="O308" s="2"/>
      <c r="P308" s="2"/>
      <c r="Q308" s="50"/>
      <c r="R308" s="50"/>
      <c r="S308" s="2">
        <f>IFERROR(VLOOKUP(A308,IMPORT_DESISTENCIA!$A$2:$Q2273,14,0),"NÃO")</f>
        <v>0</v>
      </c>
      <c r="T308" s="35"/>
    </row>
    <row r="309" spans="1:20" ht="45" customHeight="1" x14ac:dyDescent="0.25">
      <c r="A309" s="2" t="str">
        <f t="shared" si="1"/>
        <v/>
      </c>
      <c r="B309" s="2"/>
      <c r="C309" s="43"/>
      <c r="D309" s="2"/>
      <c r="E309" s="2"/>
      <c r="F309" s="2"/>
      <c r="G309" s="11"/>
      <c r="H309" s="11"/>
      <c r="I309" s="2"/>
      <c r="J309" s="2"/>
      <c r="K309" s="2"/>
      <c r="L309" s="10"/>
      <c r="M309" s="9"/>
      <c r="N309" s="2"/>
      <c r="O309" s="2"/>
      <c r="P309" s="2"/>
      <c r="Q309" s="50"/>
      <c r="R309" s="50"/>
      <c r="S309" s="2">
        <f>IFERROR(VLOOKUP(A309,IMPORT_DESISTENCIA!$A$2:$Q2273,14,0),"NÃO")</f>
        <v>0</v>
      </c>
      <c r="T309" s="35"/>
    </row>
    <row r="310" spans="1:20" ht="45" customHeight="1" x14ac:dyDescent="0.25">
      <c r="A310" s="2" t="str">
        <f t="shared" si="1"/>
        <v/>
      </c>
      <c r="B310" s="2"/>
      <c r="C310" s="43"/>
      <c r="D310" s="2"/>
      <c r="E310" s="2"/>
      <c r="F310" s="2"/>
      <c r="G310" s="11"/>
      <c r="H310" s="11"/>
      <c r="I310" s="2"/>
      <c r="J310" s="2"/>
      <c r="K310" s="2"/>
      <c r="L310" s="10"/>
      <c r="M310" s="9"/>
      <c r="N310" s="2"/>
      <c r="O310" s="2"/>
      <c r="P310" s="2"/>
      <c r="Q310" s="50"/>
      <c r="R310" s="50"/>
      <c r="S310" s="2">
        <f>IFERROR(VLOOKUP(A310,IMPORT_DESISTENCIA!$A$2:$Q2273,14,0),"NÃO")</f>
        <v>0</v>
      </c>
      <c r="T310" s="35"/>
    </row>
    <row r="311" spans="1:20" ht="45" customHeight="1" x14ac:dyDescent="0.25">
      <c r="A311" s="2" t="str">
        <f t="shared" si="1"/>
        <v/>
      </c>
      <c r="B311" s="2"/>
      <c r="C311" s="43"/>
      <c r="D311" s="2"/>
      <c r="E311" s="2"/>
      <c r="F311" s="2"/>
      <c r="G311" s="11"/>
      <c r="H311" s="11"/>
      <c r="I311" s="2"/>
      <c r="J311" s="2"/>
      <c r="K311" s="2"/>
      <c r="L311" s="10"/>
      <c r="M311" s="9"/>
      <c r="N311" s="2"/>
      <c r="O311" s="2"/>
      <c r="P311" s="2"/>
      <c r="Q311" s="50"/>
      <c r="R311" s="50"/>
      <c r="S311" s="2">
        <f>IFERROR(VLOOKUP(A311,IMPORT_DESISTENCIA!$A$2:$Q2273,14,0),"NÃO")</f>
        <v>0</v>
      </c>
      <c r="T311" s="35"/>
    </row>
    <row r="312" spans="1:20" ht="45" customHeight="1" x14ac:dyDescent="0.25">
      <c r="A312" s="2" t="str">
        <f t="shared" si="1"/>
        <v/>
      </c>
      <c r="B312" s="2"/>
      <c r="C312" s="43"/>
      <c r="D312" s="2"/>
      <c r="E312" s="2"/>
      <c r="F312" s="2"/>
      <c r="G312" s="11"/>
      <c r="H312" s="11"/>
      <c r="I312" s="2"/>
      <c r="J312" s="2"/>
      <c r="K312" s="2"/>
      <c r="L312" s="10"/>
      <c r="M312" s="9"/>
      <c r="N312" s="2"/>
      <c r="O312" s="2"/>
      <c r="P312" s="2"/>
      <c r="Q312" s="50"/>
      <c r="R312" s="50"/>
      <c r="S312" s="2">
        <f>IFERROR(VLOOKUP(A312,IMPORT_DESISTENCIA!$A$2:$Q2273,14,0),"NÃO")</f>
        <v>0</v>
      </c>
      <c r="T312" s="35"/>
    </row>
    <row r="313" spans="1:20" ht="45" customHeight="1" x14ac:dyDescent="0.25">
      <c r="A313" s="2" t="str">
        <f t="shared" si="1"/>
        <v/>
      </c>
      <c r="B313" s="2"/>
      <c r="C313" s="43"/>
      <c r="D313" s="2"/>
      <c r="E313" s="2"/>
      <c r="F313" s="2"/>
      <c r="G313" s="11"/>
      <c r="H313" s="11"/>
      <c r="I313" s="2"/>
      <c r="J313" s="2"/>
      <c r="K313" s="2"/>
      <c r="L313" s="10"/>
      <c r="M313" s="9"/>
      <c r="N313" s="2"/>
      <c r="O313" s="2"/>
      <c r="P313" s="2"/>
      <c r="Q313" s="50"/>
      <c r="R313" s="50"/>
      <c r="S313" s="2">
        <f>IFERROR(VLOOKUP(A313,IMPORT_DESISTENCIA!$A$2:$Q2273,14,0),"NÃO")</f>
        <v>0</v>
      </c>
      <c r="T313" s="35"/>
    </row>
    <row r="314" spans="1:20" ht="45" customHeight="1" x14ac:dyDescent="0.25">
      <c r="A314" s="2" t="str">
        <f t="shared" si="1"/>
        <v/>
      </c>
      <c r="B314" s="2"/>
      <c r="C314" s="43"/>
      <c r="D314" s="2"/>
      <c r="E314" s="2"/>
      <c r="F314" s="2"/>
      <c r="G314" s="11"/>
      <c r="H314" s="11"/>
      <c r="I314" s="2"/>
      <c r="J314" s="2"/>
      <c r="K314" s="2"/>
      <c r="L314" s="10"/>
      <c r="M314" s="9"/>
      <c r="N314" s="2"/>
      <c r="O314" s="2"/>
      <c r="P314" s="2"/>
      <c r="Q314" s="50"/>
      <c r="R314" s="50"/>
      <c r="S314" s="2">
        <f>IFERROR(VLOOKUP(A314,IMPORT_DESISTENCIA!$A$2:$Q2273,14,0),"NÃO")</f>
        <v>0</v>
      </c>
      <c r="T314" s="35"/>
    </row>
    <row r="315" spans="1:20" ht="45" customHeight="1" x14ac:dyDescent="0.25">
      <c r="A315" s="2" t="str">
        <f t="shared" si="1"/>
        <v/>
      </c>
      <c r="B315" s="2"/>
      <c r="C315" s="43"/>
      <c r="D315" s="2"/>
      <c r="E315" s="2"/>
      <c r="F315" s="2"/>
      <c r="G315" s="11"/>
      <c r="H315" s="11"/>
      <c r="I315" s="2"/>
      <c r="J315" s="2"/>
      <c r="K315" s="2"/>
      <c r="L315" s="10"/>
      <c r="M315" s="9"/>
      <c r="N315" s="2"/>
      <c r="O315" s="2"/>
      <c r="P315" s="2"/>
      <c r="Q315" s="50"/>
      <c r="R315" s="50"/>
      <c r="S315" s="2">
        <f>IFERROR(VLOOKUP(A315,IMPORT_DESISTENCIA!$A$2:$Q2273,14,0),"NÃO")</f>
        <v>0</v>
      </c>
      <c r="T315" s="35"/>
    </row>
    <row r="316" spans="1:20" ht="45" customHeight="1" x14ac:dyDescent="0.25">
      <c r="A316" s="2" t="str">
        <f t="shared" si="1"/>
        <v/>
      </c>
      <c r="B316" s="2"/>
      <c r="C316" s="43"/>
      <c r="D316" s="2"/>
      <c r="E316" s="2"/>
      <c r="F316" s="2"/>
      <c r="G316" s="11"/>
      <c r="H316" s="11"/>
      <c r="I316" s="2"/>
      <c r="J316" s="2"/>
      <c r="K316" s="2"/>
      <c r="L316" s="10"/>
      <c r="M316" s="9"/>
      <c r="N316" s="2"/>
      <c r="O316" s="2"/>
      <c r="P316" s="2"/>
      <c r="Q316" s="50"/>
      <c r="R316" s="50"/>
      <c r="S316" s="2">
        <f>IFERROR(VLOOKUP(A316,IMPORT_DESISTENCIA!$A$2:$Q2273,14,0),"NÃO")</f>
        <v>0</v>
      </c>
      <c r="T316" s="35"/>
    </row>
    <row r="317" spans="1:20" ht="45" customHeight="1" x14ac:dyDescent="0.25">
      <c r="A317" s="2" t="str">
        <f t="shared" si="1"/>
        <v/>
      </c>
      <c r="B317" s="2"/>
      <c r="C317" s="43"/>
      <c r="D317" s="2"/>
      <c r="E317" s="2"/>
      <c r="F317" s="2"/>
      <c r="G317" s="11"/>
      <c r="H317" s="11"/>
      <c r="I317" s="2"/>
      <c r="J317" s="2"/>
      <c r="K317" s="2"/>
      <c r="L317" s="10"/>
      <c r="M317" s="9"/>
      <c r="N317" s="2"/>
      <c r="O317" s="2"/>
      <c r="P317" s="2"/>
      <c r="Q317" s="50"/>
      <c r="R317" s="50"/>
      <c r="S317" s="2">
        <f>IFERROR(VLOOKUP(A317,IMPORT_DESISTENCIA!$A$2:$Q2273,14,0),"NÃO")</f>
        <v>0</v>
      </c>
      <c r="T317" s="35"/>
    </row>
    <row r="318" spans="1:20" ht="45" customHeight="1" x14ac:dyDescent="0.25">
      <c r="A318" s="2" t="str">
        <f t="shared" si="1"/>
        <v/>
      </c>
      <c r="B318" s="2"/>
      <c r="C318" s="43"/>
      <c r="D318" s="2"/>
      <c r="E318" s="2"/>
      <c r="F318" s="2"/>
      <c r="G318" s="11"/>
      <c r="H318" s="11"/>
      <c r="I318" s="2"/>
      <c r="J318" s="2"/>
      <c r="K318" s="2"/>
      <c r="L318" s="10"/>
      <c r="M318" s="9"/>
      <c r="N318" s="2"/>
      <c r="O318" s="2"/>
      <c r="P318" s="2"/>
      <c r="Q318" s="50"/>
      <c r="R318" s="50"/>
      <c r="S318" s="2">
        <f>IFERROR(VLOOKUP(A318,IMPORT_DESISTENCIA!$A$2:$Q2273,14,0),"NÃO")</f>
        <v>0</v>
      </c>
      <c r="T318" s="35"/>
    </row>
    <row r="319" spans="1:20" ht="45" customHeight="1" x14ac:dyDescent="0.25">
      <c r="A319" s="2" t="str">
        <f t="shared" si="1"/>
        <v/>
      </c>
      <c r="B319" s="2"/>
      <c r="C319" s="43"/>
      <c r="D319" s="2"/>
      <c r="E319" s="2"/>
      <c r="F319" s="2"/>
      <c r="G319" s="11"/>
      <c r="H319" s="11"/>
      <c r="I319" s="2"/>
      <c r="J319" s="2"/>
      <c r="K319" s="2"/>
      <c r="L319" s="10"/>
      <c r="M319" s="9"/>
      <c r="N319" s="2"/>
      <c r="O319" s="2"/>
      <c r="P319" s="2"/>
      <c r="Q319" s="50"/>
      <c r="R319" s="50"/>
      <c r="S319" s="2">
        <f>IFERROR(VLOOKUP(A319,IMPORT_DESISTENCIA!$A$2:$Q2273,14,0),"NÃO")</f>
        <v>0</v>
      </c>
      <c r="T319" s="35"/>
    </row>
    <row r="320" spans="1:20" ht="45" customHeight="1" x14ac:dyDescent="0.25">
      <c r="A320" s="2" t="str">
        <f t="shared" si="1"/>
        <v/>
      </c>
      <c r="B320" s="2"/>
      <c r="C320" s="43"/>
      <c r="D320" s="2"/>
      <c r="E320" s="2"/>
      <c r="F320" s="2"/>
      <c r="G320" s="11"/>
      <c r="H320" s="11"/>
      <c r="I320" s="2"/>
      <c r="J320" s="2"/>
      <c r="K320" s="2"/>
      <c r="L320" s="10"/>
      <c r="M320" s="9"/>
      <c r="N320" s="2"/>
      <c r="O320" s="2"/>
      <c r="P320" s="2"/>
      <c r="Q320" s="50"/>
      <c r="R320" s="50"/>
      <c r="S320" s="2">
        <f>IFERROR(VLOOKUP(A320,IMPORT_DESISTENCIA!$A$2:$Q2273,14,0),"NÃO")</f>
        <v>0</v>
      </c>
      <c r="T320" s="35"/>
    </row>
    <row r="321" spans="1:20" ht="45" customHeight="1" x14ac:dyDescent="0.25">
      <c r="A321" s="2" t="str">
        <f t="shared" si="1"/>
        <v/>
      </c>
      <c r="B321" s="2"/>
      <c r="C321" s="43"/>
      <c r="D321" s="2"/>
      <c r="E321" s="2"/>
      <c r="F321" s="2"/>
      <c r="G321" s="11"/>
      <c r="H321" s="11"/>
      <c r="I321" s="2"/>
      <c r="J321" s="2"/>
      <c r="K321" s="2"/>
      <c r="L321" s="10"/>
      <c r="M321" s="9"/>
      <c r="N321" s="2"/>
      <c r="O321" s="2"/>
      <c r="P321" s="2"/>
      <c r="Q321" s="50"/>
      <c r="R321" s="50"/>
      <c r="S321" s="2">
        <f>IFERROR(VLOOKUP(A321,IMPORT_DESISTENCIA!$A$2:$Q2273,14,0),"NÃO")</f>
        <v>0</v>
      </c>
      <c r="T321" s="35"/>
    </row>
    <row r="322" spans="1:20" ht="45" customHeight="1" x14ac:dyDescent="0.25">
      <c r="A322" s="2" t="str">
        <f t="shared" si="1"/>
        <v/>
      </c>
      <c r="B322" s="2"/>
      <c r="C322" s="43"/>
      <c r="D322" s="2"/>
      <c r="E322" s="2"/>
      <c r="F322" s="2"/>
      <c r="G322" s="11"/>
      <c r="H322" s="11"/>
      <c r="I322" s="2"/>
      <c r="J322" s="2"/>
      <c r="K322" s="2"/>
      <c r="L322" s="10"/>
      <c r="M322" s="9"/>
      <c r="N322" s="2"/>
      <c r="O322" s="2"/>
      <c r="P322" s="2"/>
      <c r="Q322" s="50"/>
      <c r="R322" s="50"/>
      <c r="S322" s="2">
        <f>IFERROR(VLOOKUP(A322,IMPORT_DESISTENCIA!$A$2:$Q2273,14,0),"NÃO")</f>
        <v>0</v>
      </c>
      <c r="T322" s="35"/>
    </row>
    <row r="323" spans="1:20" ht="45" customHeight="1" x14ac:dyDescent="0.25">
      <c r="A323" s="2" t="str">
        <f t="shared" si="1"/>
        <v/>
      </c>
      <c r="B323" s="2"/>
      <c r="C323" s="43"/>
      <c r="D323" s="2"/>
      <c r="E323" s="2"/>
      <c r="F323" s="2"/>
      <c r="G323" s="11"/>
      <c r="H323" s="11"/>
      <c r="I323" s="2"/>
      <c r="J323" s="2"/>
      <c r="K323" s="2"/>
      <c r="L323" s="10"/>
      <c r="M323" s="9"/>
      <c r="N323" s="2"/>
      <c r="O323" s="2"/>
      <c r="P323" s="2"/>
      <c r="Q323" s="50"/>
      <c r="R323" s="50"/>
      <c r="S323" s="2">
        <f>IFERROR(VLOOKUP(A323,IMPORT_DESISTENCIA!$A$2:$Q2273,14,0),"NÃO")</f>
        <v>0</v>
      </c>
      <c r="T323" s="35"/>
    </row>
    <row r="324" spans="1:20" ht="45" customHeight="1" x14ac:dyDescent="0.25">
      <c r="A324" s="2" t="str">
        <f t="shared" si="1"/>
        <v/>
      </c>
      <c r="B324" s="2"/>
      <c r="C324" s="43"/>
      <c r="D324" s="2"/>
      <c r="E324" s="2"/>
      <c r="F324" s="2"/>
      <c r="G324" s="11"/>
      <c r="H324" s="11"/>
      <c r="I324" s="2"/>
      <c r="J324" s="2"/>
      <c r="K324" s="2"/>
      <c r="L324" s="10"/>
      <c r="M324" s="9"/>
      <c r="N324" s="2"/>
      <c r="O324" s="2"/>
      <c r="P324" s="2"/>
      <c r="Q324" s="50"/>
      <c r="R324" s="50"/>
      <c r="S324" s="2">
        <f>IFERROR(VLOOKUP(A324,IMPORT_DESISTENCIA!$A$2:$Q2273,14,0),"NÃO")</f>
        <v>0</v>
      </c>
      <c r="T324" s="35"/>
    </row>
    <row r="325" spans="1:20" ht="45" customHeight="1" x14ac:dyDescent="0.25">
      <c r="A325" s="2" t="str">
        <f t="shared" si="1"/>
        <v/>
      </c>
      <c r="B325" s="2"/>
      <c r="C325" s="43"/>
      <c r="D325" s="2"/>
      <c r="E325" s="2"/>
      <c r="F325" s="2"/>
      <c r="G325" s="11"/>
      <c r="H325" s="11"/>
      <c r="I325" s="2"/>
      <c r="J325" s="2"/>
      <c r="K325" s="2"/>
      <c r="L325" s="10"/>
      <c r="M325" s="9"/>
      <c r="N325" s="2"/>
      <c r="O325" s="2"/>
      <c r="P325" s="2"/>
      <c r="Q325" s="50"/>
      <c r="R325" s="50"/>
      <c r="S325" s="2">
        <f>IFERROR(VLOOKUP(A325,IMPORT_DESISTENCIA!$A$2:$Q2273,14,0),"NÃO")</f>
        <v>0</v>
      </c>
      <c r="T325" s="35"/>
    </row>
    <row r="326" spans="1:20" ht="45" customHeight="1" x14ac:dyDescent="0.25">
      <c r="A326" s="2" t="str">
        <f t="shared" si="1"/>
        <v/>
      </c>
      <c r="B326" s="2"/>
      <c r="C326" s="43"/>
      <c r="D326" s="2"/>
      <c r="E326" s="2"/>
      <c r="F326" s="2"/>
      <c r="G326" s="11"/>
      <c r="H326" s="11"/>
      <c r="I326" s="2"/>
      <c r="J326" s="2"/>
      <c r="K326" s="2"/>
      <c r="L326" s="10"/>
      <c r="M326" s="9"/>
      <c r="N326" s="2"/>
      <c r="O326" s="2"/>
      <c r="P326" s="2"/>
      <c r="Q326" s="50"/>
      <c r="R326" s="50"/>
      <c r="S326" s="2">
        <f>IFERROR(VLOOKUP(A326,IMPORT_DESISTENCIA!$A$2:$Q2273,14,0),"NÃO")</f>
        <v>0</v>
      </c>
      <c r="T326" s="35"/>
    </row>
    <row r="327" spans="1:20" ht="45" customHeight="1" x14ac:dyDescent="0.25">
      <c r="A327" s="2" t="str">
        <f t="shared" si="1"/>
        <v/>
      </c>
      <c r="B327" s="2"/>
      <c r="C327" s="43"/>
      <c r="D327" s="2"/>
      <c r="E327" s="2"/>
      <c r="F327" s="2"/>
      <c r="G327" s="11"/>
      <c r="H327" s="11"/>
      <c r="I327" s="2"/>
      <c r="J327" s="2"/>
      <c r="K327" s="2"/>
      <c r="L327" s="10"/>
      <c r="M327" s="9"/>
      <c r="N327" s="2"/>
      <c r="O327" s="2"/>
      <c r="P327" s="2"/>
      <c r="Q327" s="50"/>
      <c r="R327" s="50"/>
      <c r="S327" s="2">
        <f>IFERROR(VLOOKUP(A327,IMPORT_DESISTENCIA!$A$2:$Q2273,14,0),"NÃO")</f>
        <v>0</v>
      </c>
      <c r="T327" s="35"/>
    </row>
    <row r="328" spans="1:20" ht="45" customHeight="1" x14ac:dyDescent="0.25">
      <c r="A328" s="2" t="str">
        <f t="shared" si="1"/>
        <v/>
      </c>
      <c r="B328" s="2"/>
      <c r="C328" s="43"/>
      <c r="D328" s="2"/>
      <c r="E328" s="2"/>
      <c r="F328" s="2"/>
      <c r="G328" s="11"/>
      <c r="H328" s="11"/>
      <c r="I328" s="2"/>
      <c r="J328" s="2"/>
      <c r="K328" s="2"/>
      <c r="L328" s="10"/>
      <c r="M328" s="9"/>
      <c r="N328" s="2"/>
      <c r="O328" s="2"/>
      <c r="P328" s="2"/>
      <c r="Q328" s="50"/>
      <c r="R328" s="50"/>
      <c r="S328" s="2">
        <f>IFERROR(VLOOKUP(A328,IMPORT_DESISTENCIA!$A$2:$Q2273,14,0),"NÃO")</f>
        <v>0</v>
      </c>
      <c r="T328" s="35"/>
    </row>
    <row r="329" spans="1:20" ht="45" customHeight="1" x14ac:dyDescent="0.25">
      <c r="A329" s="2" t="str">
        <f t="shared" si="1"/>
        <v/>
      </c>
      <c r="B329" s="2"/>
      <c r="C329" s="43"/>
      <c r="D329" s="2"/>
      <c r="E329" s="2"/>
      <c r="F329" s="2"/>
      <c r="G329" s="11"/>
      <c r="H329" s="11"/>
      <c r="I329" s="2"/>
      <c r="J329" s="2"/>
      <c r="K329" s="2"/>
      <c r="L329" s="10"/>
      <c r="M329" s="9"/>
      <c r="N329" s="2"/>
      <c r="O329" s="2"/>
      <c r="P329" s="2"/>
      <c r="Q329" s="50"/>
      <c r="R329" s="50"/>
      <c r="S329" s="2">
        <f>IFERROR(VLOOKUP(A329,IMPORT_DESISTENCIA!$A$2:$Q2273,14,0),"NÃO")</f>
        <v>0</v>
      </c>
      <c r="T329" s="35"/>
    </row>
    <row r="330" spans="1:20" ht="45" customHeight="1" x14ac:dyDescent="0.25">
      <c r="A330" s="2" t="str">
        <f t="shared" si="1"/>
        <v/>
      </c>
      <c r="B330" s="2"/>
      <c r="C330" s="43"/>
      <c r="D330" s="2"/>
      <c r="E330" s="2"/>
      <c r="F330" s="2"/>
      <c r="G330" s="11"/>
      <c r="H330" s="11"/>
      <c r="I330" s="2"/>
      <c r="J330" s="2"/>
      <c r="K330" s="2"/>
      <c r="L330" s="10"/>
      <c r="M330" s="9"/>
      <c r="N330" s="2"/>
      <c r="O330" s="2"/>
      <c r="P330" s="2"/>
      <c r="Q330" s="50"/>
      <c r="R330" s="50"/>
      <c r="S330" s="2">
        <f>IFERROR(VLOOKUP(A330,IMPORT_DESISTENCIA!$A$2:$Q2273,14,0),"NÃO")</f>
        <v>0</v>
      </c>
      <c r="T330" s="35"/>
    </row>
    <row r="331" spans="1:20" ht="45" customHeight="1" x14ac:dyDescent="0.25">
      <c r="A331" s="2" t="str">
        <f t="shared" si="1"/>
        <v/>
      </c>
      <c r="B331" s="2"/>
      <c r="C331" s="43"/>
      <c r="D331" s="2"/>
      <c r="E331" s="2"/>
      <c r="F331" s="2"/>
      <c r="G331" s="11"/>
      <c r="H331" s="11"/>
      <c r="I331" s="2"/>
      <c r="J331" s="2"/>
      <c r="K331" s="2"/>
      <c r="L331" s="10"/>
      <c r="M331" s="9"/>
      <c r="N331" s="2"/>
      <c r="O331" s="2"/>
      <c r="P331" s="2"/>
      <c r="Q331" s="50"/>
      <c r="R331" s="50"/>
      <c r="S331" s="2">
        <f>IFERROR(VLOOKUP(A331,IMPORT_DESISTENCIA!$A$2:$Q2273,14,0),"NÃO")</f>
        <v>0</v>
      </c>
      <c r="T331" s="35"/>
    </row>
    <row r="332" spans="1:20" ht="45" customHeight="1" x14ac:dyDescent="0.25">
      <c r="A332" s="2" t="str">
        <f t="shared" si="1"/>
        <v/>
      </c>
      <c r="B332" s="2"/>
      <c r="C332" s="43"/>
      <c r="D332" s="2"/>
      <c r="E332" s="2"/>
      <c r="F332" s="2"/>
      <c r="G332" s="11"/>
      <c r="H332" s="11"/>
      <c r="I332" s="2"/>
      <c r="J332" s="2"/>
      <c r="K332" s="2"/>
      <c r="L332" s="10"/>
      <c r="M332" s="9"/>
      <c r="N332" s="2"/>
      <c r="O332" s="2"/>
      <c r="P332" s="2"/>
      <c r="Q332" s="50"/>
      <c r="R332" s="50"/>
      <c r="S332" s="2">
        <f>IFERROR(VLOOKUP(A332,IMPORT_DESISTENCIA!$A$2:$Q2273,14,0),"NÃO")</f>
        <v>0</v>
      </c>
      <c r="T332" s="35"/>
    </row>
    <row r="333" spans="1:20" ht="45" customHeight="1" x14ac:dyDescent="0.25">
      <c r="A333" s="2" t="str">
        <f t="shared" si="1"/>
        <v/>
      </c>
      <c r="B333" s="2"/>
      <c r="C333" s="43"/>
      <c r="D333" s="2"/>
      <c r="E333" s="2"/>
      <c r="F333" s="2"/>
      <c r="G333" s="11"/>
      <c r="H333" s="11"/>
      <c r="I333" s="2"/>
      <c r="J333" s="2"/>
      <c r="K333" s="2"/>
      <c r="L333" s="10"/>
      <c r="M333" s="9"/>
      <c r="N333" s="2"/>
      <c r="O333" s="2"/>
      <c r="P333" s="2"/>
      <c r="Q333" s="50"/>
      <c r="R333" s="50"/>
      <c r="S333" s="2">
        <f>IFERROR(VLOOKUP(A333,IMPORT_DESISTENCIA!$A$2:$Q2273,14,0),"NÃO")</f>
        <v>0</v>
      </c>
      <c r="T333" s="35"/>
    </row>
    <row r="334" spans="1:20" ht="45" customHeight="1" x14ac:dyDescent="0.25">
      <c r="A334" s="2" t="str">
        <f t="shared" si="1"/>
        <v/>
      </c>
      <c r="B334" s="2"/>
      <c r="C334" s="43"/>
      <c r="D334" s="2"/>
      <c r="E334" s="2"/>
      <c r="F334" s="2"/>
      <c r="G334" s="11"/>
      <c r="H334" s="11"/>
      <c r="I334" s="2"/>
      <c r="J334" s="2"/>
      <c r="K334" s="2"/>
      <c r="L334" s="10"/>
      <c r="M334" s="9"/>
      <c r="N334" s="2"/>
      <c r="O334" s="2"/>
      <c r="P334" s="2"/>
      <c r="Q334" s="50"/>
      <c r="R334" s="50"/>
      <c r="S334" s="2">
        <f>IFERROR(VLOOKUP(A334,IMPORT_DESISTENCIA!$A$2:$Q2273,14,0),"NÃO")</f>
        <v>0</v>
      </c>
      <c r="T334" s="35"/>
    </row>
    <row r="335" spans="1:20" ht="45" customHeight="1" x14ac:dyDescent="0.25">
      <c r="A335" s="2" t="str">
        <f t="shared" si="1"/>
        <v/>
      </c>
      <c r="B335" s="2"/>
      <c r="C335" s="43"/>
      <c r="D335" s="2"/>
      <c r="E335" s="2"/>
      <c r="F335" s="2"/>
      <c r="G335" s="11"/>
      <c r="H335" s="11"/>
      <c r="I335" s="2"/>
      <c r="J335" s="2"/>
      <c r="K335" s="2"/>
      <c r="L335" s="10"/>
      <c r="M335" s="9"/>
      <c r="N335" s="2"/>
      <c r="O335" s="2"/>
      <c r="P335" s="2"/>
      <c r="Q335" s="50"/>
      <c r="R335" s="50"/>
      <c r="S335" s="2">
        <f>IFERROR(VLOOKUP(A335,IMPORT_DESISTENCIA!$A$2:$Q2273,14,0),"NÃO")</f>
        <v>0</v>
      </c>
      <c r="T335" s="35"/>
    </row>
    <row r="336" spans="1:20" ht="45" customHeight="1" x14ac:dyDescent="0.25">
      <c r="A336" s="2" t="str">
        <f t="shared" si="1"/>
        <v/>
      </c>
      <c r="B336" s="2"/>
      <c r="C336" s="43"/>
      <c r="D336" s="2"/>
      <c r="E336" s="2"/>
      <c r="F336" s="2"/>
      <c r="G336" s="11"/>
      <c r="H336" s="11"/>
      <c r="I336" s="2"/>
      <c r="J336" s="2"/>
      <c r="K336" s="2"/>
      <c r="L336" s="10"/>
      <c r="M336" s="9"/>
      <c r="N336" s="2"/>
      <c r="O336" s="2"/>
      <c r="P336" s="2"/>
      <c r="Q336" s="50"/>
      <c r="R336" s="50"/>
      <c r="S336" s="2">
        <f>IFERROR(VLOOKUP(A336,IMPORT_DESISTENCIA!$A$2:$Q2273,14,0),"NÃO")</f>
        <v>0</v>
      </c>
      <c r="T336" s="35"/>
    </row>
    <row r="337" spans="1:20" ht="45" customHeight="1" x14ac:dyDescent="0.25">
      <c r="A337" s="2" t="str">
        <f t="shared" si="1"/>
        <v/>
      </c>
      <c r="B337" s="2"/>
      <c r="C337" s="43"/>
      <c r="D337" s="2"/>
      <c r="E337" s="2"/>
      <c r="F337" s="2"/>
      <c r="G337" s="11"/>
      <c r="H337" s="11"/>
      <c r="I337" s="2"/>
      <c r="J337" s="2"/>
      <c r="K337" s="2"/>
      <c r="L337" s="10"/>
      <c r="M337" s="9"/>
      <c r="N337" s="2"/>
      <c r="O337" s="2"/>
      <c r="P337" s="2"/>
      <c r="Q337" s="50"/>
      <c r="R337" s="50"/>
      <c r="S337" s="2">
        <f>IFERROR(VLOOKUP(A337,IMPORT_DESISTENCIA!$A$2:$Q2273,14,0),"NÃO")</f>
        <v>0</v>
      </c>
      <c r="T337" s="35"/>
    </row>
    <row r="338" spans="1:20" ht="45" customHeight="1" x14ac:dyDescent="0.25">
      <c r="A338" s="2" t="str">
        <f t="shared" si="1"/>
        <v/>
      </c>
      <c r="B338" s="2"/>
      <c r="C338" s="43"/>
      <c r="D338" s="2"/>
      <c r="E338" s="2"/>
      <c r="F338" s="2"/>
      <c r="G338" s="11"/>
      <c r="H338" s="11"/>
      <c r="I338" s="2"/>
      <c r="J338" s="2"/>
      <c r="K338" s="2"/>
      <c r="L338" s="10"/>
      <c r="M338" s="9"/>
      <c r="N338" s="2"/>
      <c r="O338" s="2"/>
      <c r="P338" s="2"/>
      <c r="Q338" s="50"/>
      <c r="R338" s="50"/>
      <c r="S338" s="2">
        <f>IFERROR(VLOOKUP(A338,IMPORT_DESISTENCIA!$A$2:$Q2273,14,0),"NÃO")</f>
        <v>0</v>
      </c>
      <c r="T338" s="35"/>
    </row>
    <row r="339" spans="1:20" ht="45" customHeight="1" x14ac:dyDescent="0.25">
      <c r="A339" s="2" t="str">
        <f t="shared" si="1"/>
        <v/>
      </c>
      <c r="B339" s="2"/>
      <c r="C339" s="43"/>
      <c r="D339" s="2"/>
      <c r="E339" s="2"/>
      <c r="F339" s="2"/>
      <c r="G339" s="11"/>
      <c r="H339" s="11"/>
      <c r="I339" s="2"/>
      <c r="J339" s="2"/>
      <c r="K339" s="2"/>
      <c r="L339" s="10"/>
      <c r="M339" s="9"/>
      <c r="N339" s="2"/>
      <c r="O339" s="2"/>
      <c r="P339" s="2"/>
      <c r="Q339" s="50"/>
      <c r="R339" s="50"/>
      <c r="S339" s="2">
        <f>IFERROR(VLOOKUP(A339,IMPORT_DESISTENCIA!$A$2:$Q2273,14,0),"NÃO")</f>
        <v>0</v>
      </c>
      <c r="T339" s="35"/>
    </row>
    <row r="340" spans="1:20" ht="45" customHeight="1" x14ac:dyDescent="0.25">
      <c r="A340" s="2" t="str">
        <f t="shared" si="1"/>
        <v/>
      </c>
      <c r="B340" s="2"/>
      <c r="C340" s="43"/>
      <c r="D340" s="2"/>
      <c r="E340" s="2"/>
      <c r="F340" s="2"/>
      <c r="G340" s="11"/>
      <c r="H340" s="11"/>
      <c r="I340" s="2"/>
      <c r="J340" s="2"/>
      <c r="K340" s="2"/>
      <c r="L340" s="10"/>
      <c r="M340" s="9"/>
      <c r="N340" s="2"/>
      <c r="O340" s="2"/>
      <c r="P340" s="2"/>
      <c r="Q340" s="50"/>
      <c r="R340" s="50"/>
      <c r="S340" s="2">
        <f>IFERROR(VLOOKUP(A340,IMPORT_DESISTENCIA!$A$2:$Q2273,14,0),"NÃO")</f>
        <v>0</v>
      </c>
      <c r="T340" s="35"/>
    </row>
    <row r="341" spans="1:20" ht="45" customHeight="1" x14ac:dyDescent="0.25">
      <c r="A341" s="2" t="str">
        <f t="shared" si="1"/>
        <v/>
      </c>
      <c r="B341" s="2"/>
      <c r="C341" s="43"/>
      <c r="D341" s="2"/>
      <c r="E341" s="2"/>
      <c r="F341" s="2"/>
      <c r="G341" s="11"/>
      <c r="H341" s="11"/>
      <c r="I341" s="2"/>
      <c r="J341" s="2"/>
      <c r="K341" s="2"/>
      <c r="L341" s="10"/>
      <c r="M341" s="9"/>
      <c r="N341" s="2"/>
      <c r="O341" s="2"/>
      <c r="P341" s="2"/>
      <c r="Q341" s="50"/>
      <c r="R341" s="50"/>
      <c r="S341" s="2">
        <f>IFERROR(VLOOKUP(A341,IMPORT_DESISTENCIA!$A$2:$Q2273,14,0),"NÃO")</f>
        <v>0</v>
      </c>
      <c r="T341" s="35"/>
    </row>
    <row r="342" spans="1:20" ht="45" customHeight="1" x14ac:dyDescent="0.25">
      <c r="A342" s="2" t="str">
        <f t="shared" si="1"/>
        <v/>
      </c>
      <c r="B342" s="2"/>
      <c r="C342" s="43"/>
      <c r="D342" s="2"/>
      <c r="E342" s="2"/>
      <c r="F342" s="2"/>
      <c r="G342" s="11"/>
      <c r="H342" s="11"/>
      <c r="I342" s="2"/>
      <c r="J342" s="2"/>
      <c r="K342" s="2"/>
      <c r="L342" s="10"/>
      <c r="M342" s="9"/>
      <c r="N342" s="2"/>
      <c r="O342" s="2"/>
      <c r="P342" s="2"/>
      <c r="Q342" s="50"/>
      <c r="R342" s="50"/>
      <c r="S342" s="2">
        <f>IFERROR(VLOOKUP(A342,IMPORT_DESISTENCIA!$A$2:$Q2273,14,0),"NÃO")</f>
        <v>0</v>
      </c>
      <c r="T342" s="35"/>
    </row>
    <row r="343" spans="1:20" ht="45" customHeight="1" x14ac:dyDescent="0.25">
      <c r="A343" s="2" t="str">
        <f t="shared" si="1"/>
        <v/>
      </c>
      <c r="B343" s="2"/>
      <c r="C343" s="43"/>
      <c r="D343" s="2"/>
      <c r="E343" s="2"/>
      <c r="F343" s="2"/>
      <c r="G343" s="11"/>
      <c r="H343" s="11"/>
      <c r="I343" s="2"/>
      <c r="J343" s="2"/>
      <c r="K343" s="2"/>
      <c r="L343" s="10"/>
      <c r="M343" s="9"/>
      <c r="N343" s="2"/>
      <c r="O343" s="2"/>
      <c r="P343" s="2"/>
      <c r="Q343" s="50"/>
      <c r="R343" s="50"/>
      <c r="S343" s="2">
        <f>IFERROR(VLOOKUP(A343,IMPORT_DESISTENCIA!$A$2:$Q2273,14,0),"NÃO")</f>
        <v>0</v>
      </c>
      <c r="T343" s="35"/>
    </row>
    <row r="344" spans="1:20" ht="45" customHeight="1" x14ac:dyDescent="0.25">
      <c r="A344" s="2" t="str">
        <f t="shared" si="1"/>
        <v/>
      </c>
      <c r="B344" s="2"/>
      <c r="C344" s="43"/>
      <c r="D344" s="2"/>
      <c r="E344" s="2"/>
      <c r="F344" s="2"/>
      <c r="G344" s="11"/>
      <c r="H344" s="11"/>
      <c r="I344" s="2"/>
      <c r="J344" s="2"/>
      <c r="K344" s="2"/>
      <c r="L344" s="10"/>
      <c r="M344" s="9"/>
      <c r="N344" s="2"/>
      <c r="O344" s="2"/>
      <c r="P344" s="2"/>
      <c r="Q344" s="50"/>
      <c r="R344" s="50"/>
      <c r="S344" s="2">
        <f>IFERROR(VLOOKUP(A344,IMPORT_DESISTENCIA!$A$2:$Q2273,14,0),"NÃO")</f>
        <v>0</v>
      </c>
      <c r="T344" s="35"/>
    </row>
    <row r="345" spans="1:20" ht="45" customHeight="1" x14ac:dyDescent="0.25">
      <c r="A345" s="2" t="str">
        <f t="shared" si="1"/>
        <v/>
      </c>
      <c r="B345" s="2"/>
      <c r="C345" s="43"/>
      <c r="D345" s="2"/>
      <c r="E345" s="2"/>
      <c r="F345" s="2"/>
      <c r="G345" s="11"/>
      <c r="H345" s="11"/>
      <c r="I345" s="2"/>
      <c r="J345" s="2"/>
      <c r="K345" s="2"/>
      <c r="L345" s="10"/>
      <c r="M345" s="9"/>
      <c r="N345" s="2"/>
      <c r="O345" s="2"/>
      <c r="P345" s="2"/>
      <c r="Q345" s="50"/>
      <c r="R345" s="50"/>
      <c r="S345" s="2">
        <f>IFERROR(VLOOKUP(A345,IMPORT_DESISTENCIA!$A$2:$Q2273,14,0),"NÃO")</f>
        <v>0</v>
      </c>
      <c r="T345" s="35"/>
    </row>
    <row r="346" spans="1:20" ht="45" customHeight="1" x14ac:dyDescent="0.25">
      <c r="A346" s="2" t="str">
        <f t="shared" si="1"/>
        <v/>
      </c>
      <c r="B346" s="2"/>
      <c r="C346" s="43"/>
      <c r="D346" s="2"/>
      <c r="E346" s="2"/>
      <c r="F346" s="2"/>
      <c r="G346" s="11"/>
      <c r="H346" s="11"/>
      <c r="I346" s="2"/>
      <c r="J346" s="2"/>
      <c r="K346" s="2"/>
      <c r="L346" s="10"/>
      <c r="M346" s="9"/>
      <c r="N346" s="2"/>
      <c r="O346" s="2"/>
      <c r="P346" s="2"/>
      <c r="Q346" s="50"/>
      <c r="R346" s="50"/>
      <c r="S346" s="2">
        <f>IFERROR(VLOOKUP(A346,IMPORT_DESISTENCIA!$A$2:$Q2273,14,0),"NÃO")</f>
        <v>0</v>
      </c>
      <c r="T346" s="35"/>
    </row>
    <row r="347" spans="1:20" ht="45" customHeight="1" x14ac:dyDescent="0.25">
      <c r="A347" s="2" t="str">
        <f t="shared" si="1"/>
        <v/>
      </c>
      <c r="B347" s="2"/>
      <c r="C347" s="43"/>
      <c r="D347" s="2"/>
      <c r="E347" s="2"/>
      <c r="F347" s="2"/>
      <c r="G347" s="11"/>
      <c r="H347" s="11"/>
      <c r="I347" s="2"/>
      <c r="J347" s="2"/>
      <c r="K347" s="2"/>
      <c r="L347" s="10"/>
      <c r="M347" s="9"/>
      <c r="N347" s="2"/>
      <c r="O347" s="2"/>
      <c r="P347" s="2"/>
      <c r="Q347" s="50"/>
      <c r="R347" s="50"/>
      <c r="S347" s="2">
        <f>IFERROR(VLOOKUP(A347,IMPORT_DESISTENCIA!$A$2:$Q2273,14,0),"NÃO")</f>
        <v>0</v>
      </c>
      <c r="T347" s="35"/>
    </row>
    <row r="348" spans="1:20" ht="45" customHeight="1" x14ac:dyDescent="0.25">
      <c r="A348" s="2" t="str">
        <f t="shared" si="1"/>
        <v/>
      </c>
      <c r="B348" s="2"/>
      <c r="C348" s="43"/>
      <c r="D348" s="2"/>
      <c r="E348" s="2"/>
      <c r="F348" s="2"/>
      <c r="G348" s="11"/>
      <c r="H348" s="11"/>
      <c r="I348" s="2"/>
      <c r="J348" s="2"/>
      <c r="K348" s="2"/>
      <c r="L348" s="10"/>
      <c r="M348" s="9"/>
      <c r="N348" s="2"/>
      <c r="O348" s="2"/>
      <c r="P348" s="2"/>
      <c r="Q348" s="50"/>
      <c r="R348" s="50"/>
      <c r="S348" s="2">
        <f>IFERROR(VLOOKUP(A348,IMPORT_DESISTENCIA!$A$2:$Q2273,14,0),"NÃO")</f>
        <v>0</v>
      </c>
      <c r="T348" s="35"/>
    </row>
    <row r="349" spans="1:20" ht="45" customHeight="1" x14ac:dyDescent="0.25">
      <c r="A349" s="2" t="str">
        <f t="shared" si="1"/>
        <v/>
      </c>
      <c r="B349" s="2"/>
      <c r="C349" s="43"/>
      <c r="D349" s="2"/>
      <c r="E349" s="2"/>
      <c r="F349" s="2"/>
      <c r="G349" s="11"/>
      <c r="H349" s="11"/>
      <c r="I349" s="2"/>
      <c r="J349" s="2"/>
      <c r="K349" s="2"/>
      <c r="L349" s="10"/>
      <c r="M349" s="9"/>
      <c r="N349" s="2"/>
      <c r="O349" s="2"/>
      <c r="P349" s="2"/>
      <c r="Q349" s="50"/>
      <c r="R349" s="50"/>
      <c r="S349" s="2">
        <f>IFERROR(VLOOKUP(A349,IMPORT_DESISTENCIA!$A$2:$Q2273,14,0),"NÃO")</f>
        <v>0</v>
      </c>
      <c r="T349" s="35"/>
    </row>
    <row r="350" spans="1:20" ht="45" customHeight="1" x14ac:dyDescent="0.25">
      <c r="A350" s="2" t="str">
        <f t="shared" si="1"/>
        <v/>
      </c>
      <c r="B350" s="2"/>
      <c r="C350" s="43"/>
      <c r="D350" s="2"/>
      <c r="E350" s="2"/>
      <c r="F350" s="2"/>
      <c r="G350" s="11"/>
      <c r="H350" s="11"/>
      <c r="I350" s="2"/>
      <c r="J350" s="2"/>
      <c r="K350" s="2"/>
      <c r="L350" s="10"/>
      <c r="M350" s="9"/>
      <c r="N350" s="2"/>
      <c r="O350" s="2"/>
      <c r="P350" s="2"/>
      <c r="Q350" s="50"/>
      <c r="R350" s="50"/>
      <c r="S350" s="2">
        <f>IFERROR(VLOOKUP(A350,IMPORT_DESISTENCIA!$A$2:$Q2273,14,0),"NÃO")</f>
        <v>0</v>
      </c>
      <c r="T350" s="35"/>
    </row>
    <row r="351" spans="1:20" ht="45" customHeight="1" x14ac:dyDescent="0.25">
      <c r="A351" s="2" t="str">
        <f t="shared" si="1"/>
        <v/>
      </c>
      <c r="B351" s="2"/>
      <c r="C351" s="43"/>
      <c r="D351" s="2"/>
      <c r="E351" s="2"/>
      <c r="F351" s="2"/>
      <c r="G351" s="11"/>
      <c r="H351" s="11"/>
      <c r="I351" s="2"/>
      <c r="J351" s="2"/>
      <c r="K351" s="2"/>
      <c r="L351" s="10"/>
      <c r="M351" s="9"/>
      <c r="N351" s="2"/>
      <c r="O351" s="2"/>
      <c r="P351" s="2"/>
      <c r="Q351" s="50"/>
      <c r="R351" s="50"/>
      <c r="S351" s="2">
        <f>IFERROR(VLOOKUP(A351,IMPORT_DESISTENCIA!$A$2:$Q2273,14,0),"NÃO")</f>
        <v>0</v>
      </c>
      <c r="T351" s="35"/>
    </row>
    <row r="352" spans="1:20" ht="45" customHeight="1" x14ac:dyDescent="0.25">
      <c r="A352" s="2" t="str">
        <f t="shared" si="1"/>
        <v/>
      </c>
      <c r="B352" s="2"/>
      <c r="C352" s="43"/>
      <c r="D352" s="2"/>
      <c r="E352" s="2"/>
      <c r="F352" s="2"/>
      <c r="G352" s="11"/>
      <c r="H352" s="11"/>
      <c r="I352" s="2"/>
      <c r="J352" s="2"/>
      <c r="K352" s="2"/>
      <c r="L352" s="10"/>
      <c r="M352" s="9"/>
      <c r="N352" s="2"/>
      <c r="O352" s="2"/>
      <c r="P352" s="2"/>
      <c r="Q352" s="50"/>
      <c r="R352" s="50"/>
      <c r="S352" s="2">
        <f>IFERROR(VLOOKUP(A352,IMPORT_DESISTENCIA!$A$2:$Q2273,14,0),"NÃO")</f>
        <v>0</v>
      </c>
      <c r="T352" s="35"/>
    </row>
    <row r="353" spans="1:20" ht="45" customHeight="1" x14ac:dyDescent="0.25">
      <c r="A353" s="2" t="str">
        <f t="shared" si="1"/>
        <v/>
      </c>
      <c r="B353" s="2"/>
      <c r="C353" s="43"/>
      <c r="D353" s="2"/>
      <c r="E353" s="2"/>
      <c r="F353" s="2"/>
      <c r="G353" s="11"/>
      <c r="H353" s="11"/>
      <c r="I353" s="2"/>
      <c r="J353" s="2"/>
      <c r="K353" s="2"/>
      <c r="L353" s="10"/>
      <c r="M353" s="9"/>
      <c r="N353" s="2"/>
      <c r="O353" s="2"/>
      <c r="P353" s="2"/>
      <c r="Q353" s="50"/>
      <c r="R353" s="50"/>
      <c r="S353" s="2">
        <f>IFERROR(VLOOKUP(A353,IMPORT_DESISTENCIA!$A$2:$Q2273,14,0),"NÃO")</f>
        <v>0</v>
      </c>
      <c r="T353" s="35"/>
    </row>
    <row r="354" spans="1:20" ht="45" customHeight="1" x14ac:dyDescent="0.25">
      <c r="A354" s="2" t="str">
        <f t="shared" si="1"/>
        <v/>
      </c>
      <c r="B354" s="2"/>
      <c r="C354" s="43"/>
      <c r="D354" s="2"/>
      <c r="E354" s="2"/>
      <c r="F354" s="2"/>
      <c r="G354" s="11"/>
      <c r="H354" s="11"/>
      <c r="I354" s="2"/>
      <c r="J354" s="2"/>
      <c r="K354" s="2"/>
      <c r="L354" s="10"/>
      <c r="M354" s="9"/>
      <c r="N354" s="2"/>
      <c r="O354" s="2"/>
      <c r="P354" s="2"/>
      <c r="Q354" s="50"/>
      <c r="R354" s="50"/>
      <c r="S354" s="2">
        <f>IFERROR(VLOOKUP(A354,IMPORT_DESISTENCIA!$A$2:$Q2273,14,0),"NÃO")</f>
        <v>0</v>
      </c>
      <c r="T354" s="35"/>
    </row>
    <row r="355" spans="1:20" ht="45" customHeight="1" x14ac:dyDescent="0.25">
      <c r="A355" s="2" t="str">
        <f t="shared" si="1"/>
        <v/>
      </c>
      <c r="B355" s="2"/>
      <c r="C355" s="43"/>
      <c r="D355" s="2"/>
      <c r="E355" s="2"/>
      <c r="F355" s="2"/>
      <c r="G355" s="11"/>
      <c r="H355" s="11"/>
      <c r="I355" s="2"/>
      <c r="J355" s="2"/>
      <c r="K355" s="2"/>
      <c r="L355" s="10"/>
      <c r="M355" s="9"/>
      <c r="N355" s="2"/>
      <c r="O355" s="2"/>
      <c r="P355" s="2"/>
      <c r="Q355" s="50"/>
      <c r="R355" s="50"/>
      <c r="S355" s="2">
        <f>IFERROR(VLOOKUP(A355,IMPORT_DESISTENCIA!$A$2:$Q2273,14,0),"NÃO")</f>
        <v>0</v>
      </c>
      <c r="T355" s="35"/>
    </row>
    <row r="356" spans="1:20" ht="45" customHeight="1" x14ac:dyDescent="0.25">
      <c r="A356" s="2" t="str">
        <f t="shared" si="1"/>
        <v/>
      </c>
      <c r="B356" s="2"/>
      <c r="C356" s="43"/>
      <c r="D356" s="2"/>
      <c r="E356" s="2"/>
      <c r="F356" s="2"/>
      <c r="G356" s="11"/>
      <c r="H356" s="11"/>
      <c r="I356" s="2"/>
      <c r="J356" s="2"/>
      <c r="K356" s="2"/>
      <c r="L356" s="10"/>
      <c r="M356" s="9"/>
      <c r="N356" s="2"/>
      <c r="O356" s="2"/>
      <c r="P356" s="2"/>
      <c r="Q356" s="50"/>
      <c r="R356" s="50"/>
      <c r="S356" s="2">
        <f>IFERROR(VLOOKUP(A356,IMPORT_DESISTENCIA!$A$2:$Q2273,14,0),"NÃO")</f>
        <v>0</v>
      </c>
      <c r="T356" s="35"/>
    </row>
    <row r="357" spans="1:20" ht="45" customHeight="1" x14ac:dyDescent="0.25">
      <c r="A357" s="2" t="str">
        <f t="shared" si="1"/>
        <v/>
      </c>
      <c r="B357" s="2"/>
      <c r="C357" s="43"/>
      <c r="D357" s="2"/>
      <c r="E357" s="2"/>
      <c r="F357" s="2"/>
      <c r="G357" s="11"/>
      <c r="H357" s="11"/>
      <c r="I357" s="2"/>
      <c r="J357" s="2"/>
      <c r="K357" s="2"/>
      <c r="L357" s="10"/>
      <c r="M357" s="9"/>
      <c r="N357" s="2"/>
      <c r="O357" s="2"/>
      <c r="P357" s="2"/>
      <c r="Q357" s="50"/>
      <c r="R357" s="50"/>
      <c r="S357" s="2">
        <f>IFERROR(VLOOKUP(A357,IMPORT_DESISTENCIA!$A$2:$Q2273,14,0),"NÃO")</f>
        <v>0</v>
      </c>
      <c r="T357" s="35"/>
    </row>
    <row r="358" spans="1:20" ht="45" customHeight="1" x14ac:dyDescent="0.25">
      <c r="A358" s="2" t="str">
        <f t="shared" si="1"/>
        <v/>
      </c>
      <c r="B358" s="2"/>
      <c r="C358" s="43"/>
      <c r="D358" s="2"/>
      <c r="E358" s="2"/>
      <c r="F358" s="2"/>
      <c r="G358" s="11"/>
      <c r="H358" s="11"/>
      <c r="I358" s="2"/>
      <c r="J358" s="2"/>
      <c r="K358" s="2"/>
      <c r="L358" s="10"/>
      <c r="M358" s="9"/>
      <c r="N358" s="2"/>
      <c r="O358" s="2"/>
      <c r="P358" s="2"/>
      <c r="Q358" s="50"/>
      <c r="R358" s="50"/>
      <c r="S358" s="2">
        <f>IFERROR(VLOOKUP(A358,IMPORT_DESISTENCIA!$A$2:$Q2273,14,0),"NÃO")</f>
        <v>0</v>
      </c>
      <c r="T358" s="35"/>
    </row>
    <row r="359" spans="1:20" ht="45" customHeight="1" x14ac:dyDescent="0.25">
      <c r="A359" s="2" t="str">
        <f t="shared" si="1"/>
        <v/>
      </c>
      <c r="B359" s="2"/>
      <c r="C359" s="43"/>
      <c r="D359" s="2"/>
      <c r="E359" s="2"/>
      <c r="F359" s="2"/>
      <c r="G359" s="11"/>
      <c r="H359" s="11"/>
      <c r="I359" s="2"/>
      <c r="J359" s="2"/>
      <c r="K359" s="2"/>
      <c r="L359" s="10"/>
      <c r="M359" s="9"/>
      <c r="N359" s="2"/>
      <c r="O359" s="2"/>
      <c r="P359" s="2"/>
      <c r="Q359" s="50"/>
      <c r="R359" s="50"/>
      <c r="S359" s="2">
        <f>IFERROR(VLOOKUP(A359,IMPORT_DESISTENCIA!$A$2:$Q2273,14,0),"NÃO")</f>
        <v>0</v>
      </c>
      <c r="T359" s="35"/>
    </row>
    <row r="360" spans="1:20" ht="45" customHeight="1" x14ac:dyDescent="0.25">
      <c r="A360" s="2" t="str">
        <f t="shared" si="1"/>
        <v/>
      </c>
      <c r="B360" s="2"/>
      <c r="C360" s="43"/>
      <c r="D360" s="2"/>
      <c r="E360" s="2"/>
      <c r="F360" s="2"/>
      <c r="G360" s="11"/>
      <c r="H360" s="11"/>
      <c r="I360" s="2"/>
      <c r="J360" s="2"/>
      <c r="K360" s="2"/>
      <c r="L360" s="10"/>
      <c r="M360" s="9"/>
      <c r="N360" s="2"/>
      <c r="O360" s="2"/>
      <c r="P360" s="2"/>
      <c r="Q360" s="50"/>
      <c r="R360" s="50"/>
      <c r="S360" s="2">
        <f>IFERROR(VLOOKUP(A360,IMPORT_DESISTENCIA!$A$2:$Q2273,14,0),"NÃO")</f>
        <v>0</v>
      </c>
      <c r="T360" s="35"/>
    </row>
    <row r="361" spans="1:20" ht="45" customHeight="1" x14ac:dyDescent="0.25">
      <c r="A361" s="2" t="str">
        <f t="shared" si="1"/>
        <v/>
      </c>
      <c r="B361" s="2"/>
      <c r="C361" s="43"/>
      <c r="D361" s="2"/>
      <c r="E361" s="2"/>
      <c r="F361" s="2"/>
      <c r="G361" s="11"/>
      <c r="H361" s="11"/>
      <c r="I361" s="2"/>
      <c r="J361" s="2"/>
      <c r="K361" s="2"/>
      <c r="L361" s="10"/>
      <c r="M361" s="9"/>
      <c r="N361" s="2"/>
      <c r="O361" s="2"/>
      <c r="P361" s="2"/>
      <c r="Q361" s="50"/>
      <c r="R361" s="50"/>
      <c r="S361" s="2">
        <f>IFERROR(VLOOKUP(A361,IMPORT_DESISTENCIA!$A$2:$Q2273,14,0),"NÃO")</f>
        <v>0</v>
      </c>
      <c r="T361" s="35"/>
    </row>
    <row r="362" spans="1:20" ht="45" customHeight="1" x14ac:dyDescent="0.25">
      <c r="A362" s="2" t="str">
        <f t="shared" si="1"/>
        <v/>
      </c>
      <c r="B362" s="2"/>
      <c r="C362" s="43"/>
      <c r="D362" s="2"/>
      <c r="E362" s="2"/>
      <c r="F362" s="2"/>
      <c r="G362" s="11"/>
      <c r="H362" s="11"/>
      <c r="I362" s="2"/>
      <c r="J362" s="2"/>
      <c r="K362" s="2"/>
      <c r="L362" s="10"/>
      <c r="M362" s="9"/>
      <c r="N362" s="2"/>
      <c r="O362" s="2"/>
      <c r="P362" s="2"/>
      <c r="Q362" s="50"/>
      <c r="R362" s="50"/>
      <c r="S362" s="2">
        <f>IFERROR(VLOOKUP(A362,IMPORT_DESISTENCIA!$A$2:$Q2273,14,0),"NÃO")</f>
        <v>0</v>
      </c>
      <c r="T362" s="35"/>
    </row>
    <row r="363" spans="1:20" ht="45" customHeight="1" x14ac:dyDescent="0.25">
      <c r="A363" s="2" t="str">
        <f t="shared" si="1"/>
        <v/>
      </c>
      <c r="B363" s="2"/>
      <c r="C363" s="43"/>
      <c r="D363" s="2"/>
      <c r="E363" s="2"/>
      <c r="F363" s="2"/>
      <c r="G363" s="11"/>
      <c r="H363" s="11"/>
      <c r="I363" s="2"/>
      <c r="J363" s="2"/>
      <c r="K363" s="2"/>
      <c r="L363" s="10"/>
      <c r="M363" s="9"/>
      <c r="N363" s="2"/>
      <c r="O363" s="2"/>
      <c r="P363" s="2"/>
      <c r="Q363" s="50"/>
      <c r="R363" s="50"/>
      <c r="S363" s="2">
        <f>IFERROR(VLOOKUP(A363,IMPORT_DESISTENCIA!$A$2:$Q2273,14,0),"NÃO")</f>
        <v>0</v>
      </c>
      <c r="T363" s="35"/>
    </row>
    <row r="364" spans="1:20" ht="45" customHeight="1" x14ac:dyDescent="0.25">
      <c r="A364" s="2" t="str">
        <f t="shared" si="1"/>
        <v/>
      </c>
      <c r="B364" s="2"/>
      <c r="C364" s="43"/>
      <c r="D364" s="2"/>
      <c r="E364" s="2"/>
      <c r="F364" s="2"/>
      <c r="G364" s="11"/>
      <c r="H364" s="11"/>
      <c r="I364" s="2"/>
      <c r="J364" s="2"/>
      <c r="K364" s="2"/>
      <c r="L364" s="10"/>
      <c r="M364" s="9"/>
      <c r="N364" s="2"/>
      <c r="O364" s="2"/>
      <c r="P364" s="2"/>
      <c r="Q364" s="50"/>
      <c r="R364" s="50"/>
      <c r="S364" s="2">
        <f>IFERROR(VLOOKUP(A364,IMPORT_DESISTENCIA!$A$2:$Q2273,14,0),"NÃO")</f>
        <v>0</v>
      </c>
      <c r="T364" s="35"/>
    </row>
    <row r="365" spans="1:20" ht="45" customHeight="1" x14ac:dyDescent="0.25">
      <c r="A365" s="2" t="str">
        <f t="shared" si="1"/>
        <v/>
      </c>
      <c r="B365" s="2"/>
      <c r="C365" s="43"/>
      <c r="D365" s="2"/>
      <c r="E365" s="2"/>
      <c r="F365" s="2"/>
      <c r="G365" s="11"/>
      <c r="H365" s="11"/>
      <c r="I365" s="2"/>
      <c r="J365" s="2"/>
      <c r="K365" s="2"/>
      <c r="L365" s="10"/>
      <c r="M365" s="9"/>
      <c r="N365" s="2"/>
      <c r="O365" s="2"/>
      <c r="P365" s="2"/>
      <c r="Q365" s="50"/>
      <c r="R365" s="50"/>
      <c r="S365" s="2">
        <f>IFERROR(VLOOKUP(A365,IMPORT_DESISTENCIA!$A$2:$Q2273,14,0),"NÃO")</f>
        <v>0</v>
      </c>
      <c r="T365" s="35"/>
    </row>
    <row r="366" spans="1:20" ht="45" customHeight="1" x14ac:dyDescent="0.25">
      <c r="A366" s="2" t="str">
        <f t="shared" si="1"/>
        <v/>
      </c>
      <c r="B366" s="2"/>
      <c r="C366" s="43"/>
      <c r="D366" s="2"/>
      <c r="E366" s="2"/>
      <c r="F366" s="2"/>
      <c r="G366" s="11"/>
      <c r="H366" s="11"/>
      <c r="I366" s="2"/>
      <c r="J366" s="2"/>
      <c r="K366" s="2"/>
      <c r="L366" s="10"/>
      <c r="M366" s="9"/>
      <c r="N366" s="2"/>
      <c r="O366" s="2"/>
      <c r="P366" s="2"/>
      <c r="Q366" s="50"/>
      <c r="R366" s="50"/>
      <c r="S366" s="2">
        <f>IFERROR(VLOOKUP(A366,IMPORT_DESISTENCIA!$A$2:$Q2273,14,0),"NÃO")</f>
        <v>0</v>
      </c>
      <c r="T366" s="35"/>
    </row>
    <row r="367" spans="1:20" ht="45" customHeight="1" x14ac:dyDescent="0.25">
      <c r="A367" s="2" t="str">
        <f t="shared" si="1"/>
        <v/>
      </c>
      <c r="B367" s="2"/>
      <c r="C367" s="43"/>
      <c r="D367" s="2"/>
      <c r="E367" s="2"/>
      <c r="F367" s="2"/>
      <c r="G367" s="11"/>
      <c r="H367" s="11"/>
      <c r="I367" s="2"/>
      <c r="J367" s="2"/>
      <c r="K367" s="2"/>
      <c r="L367" s="10"/>
      <c r="M367" s="9"/>
      <c r="N367" s="2"/>
      <c r="O367" s="2"/>
      <c r="P367" s="2"/>
      <c r="Q367" s="50"/>
      <c r="R367" s="50"/>
      <c r="S367" s="2">
        <f>IFERROR(VLOOKUP(A367,IMPORT_DESISTENCIA!$A$2:$Q2273,14,0),"NÃO")</f>
        <v>0</v>
      </c>
      <c r="T367" s="35"/>
    </row>
    <row r="368" spans="1:20" ht="45" customHeight="1" x14ac:dyDescent="0.25">
      <c r="A368" s="2" t="str">
        <f t="shared" si="1"/>
        <v/>
      </c>
      <c r="B368" s="2"/>
      <c r="C368" s="43"/>
      <c r="D368" s="2"/>
      <c r="E368" s="2"/>
      <c r="F368" s="2"/>
      <c r="G368" s="11"/>
      <c r="H368" s="11"/>
      <c r="I368" s="2"/>
      <c r="J368" s="2"/>
      <c r="K368" s="2"/>
      <c r="L368" s="10"/>
      <c r="M368" s="9"/>
      <c r="N368" s="2"/>
      <c r="O368" s="2"/>
      <c r="P368" s="2"/>
      <c r="Q368" s="50"/>
      <c r="R368" s="50"/>
      <c r="S368" s="2">
        <f>IFERROR(VLOOKUP(A368,IMPORT_DESISTENCIA!$A$2:$Q2273,14,0),"NÃO")</f>
        <v>0</v>
      </c>
      <c r="T368" s="35"/>
    </row>
    <row r="369" spans="1:20" ht="45" customHeight="1" x14ac:dyDescent="0.25">
      <c r="A369" s="2" t="str">
        <f t="shared" si="1"/>
        <v/>
      </c>
      <c r="B369" s="2"/>
      <c r="C369" s="43"/>
      <c r="D369" s="2"/>
      <c r="E369" s="2"/>
      <c r="F369" s="2"/>
      <c r="G369" s="11"/>
      <c r="H369" s="11"/>
      <c r="I369" s="2"/>
      <c r="J369" s="2"/>
      <c r="K369" s="2"/>
      <c r="L369" s="10"/>
      <c r="M369" s="9"/>
      <c r="N369" s="2"/>
      <c r="O369" s="2"/>
      <c r="P369" s="2"/>
      <c r="Q369" s="50"/>
      <c r="R369" s="50"/>
      <c r="S369" s="2">
        <f>IFERROR(VLOOKUP(A369,IMPORT_DESISTENCIA!$A$2:$Q2273,14,0),"NÃO")</f>
        <v>0</v>
      </c>
      <c r="T369" s="35"/>
    </row>
    <row r="370" spans="1:20" ht="45" customHeight="1" x14ac:dyDescent="0.25">
      <c r="A370" s="2" t="str">
        <f t="shared" si="1"/>
        <v/>
      </c>
      <c r="B370" s="2"/>
      <c r="C370" s="43"/>
      <c r="D370" s="2"/>
      <c r="E370" s="2"/>
      <c r="F370" s="2"/>
      <c r="G370" s="11"/>
      <c r="H370" s="11"/>
      <c r="I370" s="2"/>
      <c r="J370" s="2"/>
      <c r="K370" s="2"/>
      <c r="L370" s="10"/>
      <c r="M370" s="9"/>
      <c r="N370" s="2"/>
      <c r="O370" s="2"/>
      <c r="P370" s="2"/>
      <c r="Q370" s="50"/>
      <c r="R370" s="50"/>
      <c r="S370" s="2">
        <f>IFERROR(VLOOKUP(A370,IMPORT_DESISTENCIA!$A$2:$Q2273,14,0),"NÃO")</f>
        <v>0</v>
      </c>
      <c r="T370" s="35"/>
    </row>
    <row r="371" spans="1:20" ht="45" customHeight="1" x14ac:dyDescent="0.25">
      <c r="A371" s="2" t="str">
        <f t="shared" si="1"/>
        <v/>
      </c>
      <c r="B371" s="2"/>
      <c r="C371" s="43"/>
      <c r="D371" s="2"/>
      <c r="E371" s="2"/>
      <c r="F371" s="2"/>
      <c r="G371" s="11"/>
      <c r="H371" s="11"/>
      <c r="I371" s="2"/>
      <c r="J371" s="2"/>
      <c r="K371" s="2"/>
      <c r="L371" s="10"/>
      <c r="M371" s="9"/>
      <c r="N371" s="2"/>
      <c r="O371" s="2"/>
      <c r="P371" s="2"/>
      <c r="Q371" s="50"/>
      <c r="R371" s="50"/>
      <c r="S371" s="2">
        <f>IFERROR(VLOOKUP(A371,IMPORT_DESISTENCIA!$A$2:$Q2273,14,0),"NÃO")</f>
        <v>0</v>
      </c>
      <c r="T371" s="35"/>
    </row>
    <row r="372" spans="1:20" ht="45" customHeight="1" x14ac:dyDescent="0.25">
      <c r="A372" s="2" t="str">
        <f t="shared" si="1"/>
        <v/>
      </c>
      <c r="B372" s="2"/>
      <c r="C372" s="43"/>
      <c r="D372" s="2"/>
      <c r="E372" s="2"/>
      <c r="F372" s="2"/>
      <c r="G372" s="11"/>
      <c r="H372" s="11"/>
      <c r="I372" s="2"/>
      <c r="J372" s="2"/>
      <c r="K372" s="2"/>
      <c r="L372" s="10"/>
      <c r="M372" s="9"/>
      <c r="N372" s="2"/>
      <c r="O372" s="2"/>
      <c r="P372" s="2"/>
      <c r="Q372" s="50"/>
      <c r="R372" s="50"/>
      <c r="S372" s="2">
        <f>IFERROR(VLOOKUP(A372,IMPORT_DESISTENCIA!$A$2:$Q2273,14,0),"NÃO")</f>
        <v>0</v>
      </c>
      <c r="T372" s="35"/>
    </row>
    <row r="373" spans="1:20" ht="45" customHeight="1" x14ac:dyDescent="0.25">
      <c r="A373" s="2" t="str">
        <f t="shared" si="1"/>
        <v/>
      </c>
      <c r="B373" s="2"/>
      <c r="C373" s="43"/>
      <c r="D373" s="2"/>
      <c r="E373" s="2"/>
      <c r="F373" s="2"/>
      <c r="G373" s="11"/>
      <c r="H373" s="11"/>
      <c r="I373" s="2"/>
      <c r="J373" s="2"/>
      <c r="K373" s="2"/>
      <c r="L373" s="10"/>
      <c r="M373" s="9"/>
      <c r="N373" s="2"/>
      <c r="O373" s="2"/>
      <c r="P373" s="2"/>
      <c r="Q373" s="50"/>
      <c r="R373" s="50"/>
      <c r="S373" s="2">
        <f>IFERROR(VLOOKUP(A373,IMPORT_DESISTENCIA!$A$2:$Q2273,14,0),"NÃO")</f>
        <v>0</v>
      </c>
      <c r="T373" s="35"/>
    </row>
    <row r="374" spans="1:20" ht="45" customHeight="1" x14ac:dyDescent="0.25">
      <c r="A374" s="2" t="str">
        <f t="shared" si="1"/>
        <v/>
      </c>
      <c r="B374" s="2"/>
      <c r="C374" s="43"/>
      <c r="D374" s="2"/>
      <c r="E374" s="2"/>
      <c r="F374" s="2"/>
      <c r="G374" s="11"/>
      <c r="H374" s="11"/>
      <c r="I374" s="2"/>
      <c r="J374" s="2"/>
      <c r="K374" s="2"/>
      <c r="L374" s="10"/>
      <c r="M374" s="9"/>
      <c r="N374" s="2"/>
      <c r="O374" s="2"/>
      <c r="P374" s="2"/>
      <c r="Q374" s="50"/>
      <c r="R374" s="50"/>
      <c r="S374" s="2">
        <f>IFERROR(VLOOKUP(A374,IMPORT_DESISTENCIA!$A$2:$Q2273,14,0),"NÃO")</f>
        <v>0</v>
      </c>
      <c r="T374" s="35"/>
    </row>
    <row r="375" spans="1:20" ht="45" customHeight="1" x14ac:dyDescent="0.25">
      <c r="A375" s="2" t="str">
        <f t="shared" si="1"/>
        <v/>
      </c>
      <c r="B375" s="2"/>
      <c r="C375" s="43"/>
      <c r="D375" s="2"/>
      <c r="E375" s="2"/>
      <c r="F375" s="2"/>
      <c r="G375" s="11"/>
      <c r="H375" s="11"/>
      <c r="I375" s="2"/>
      <c r="J375" s="2"/>
      <c r="K375" s="2"/>
      <c r="L375" s="10"/>
      <c r="M375" s="9"/>
      <c r="N375" s="2"/>
      <c r="O375" s="2"/>
      <c r="P375" s="2"/>
      <c r="Q375" s="50"/>
      <c r="R375" s="50"/>
      <c r="S375" s="2">
        <f>IFERROR(VLOOKUP(A375,IMPORT_DESISTENCIA!$A$2:$Q2273,14,0),"NÃO")</f>
        <v>0</v>
      </c>
      <c r="T375" s="35"/>
    </row>
    <row r="376" spans="1:20" ht="45" customHeight="1" x14ac:dyDescent="0.25">
      <c r="A376" s="2" t="str">
        <f t="shared" si="1"/>
        <v/>
      </c>
      <c r="B376" s="2"/>
      <c r="C376" s="43"/>
      <c r="D376" s="2"/>
      <c r="E376" s="2"/>
      <c r="F376" s="2"/>
      <c r="G376" s="11"/>
      <c r="H376" s="11"/>
      <c r="I376" s="2"/>
      <c r="J376" s="2"/>
      <c r="K376" s="2"/>
      <c r="L376" s="10"/>
      <c r="M376" s="9"/>
      <c r="N376" s="2"/>
      <c r="O376" s="2"/>
      <c r="P376" s="2"/>
      <c r="Q376" s="50"/>
      <c r="R376" s="50"/>
      <c r="S376" s="2">
        <f>IFERROR(VLOOKUP(A376,IMPORT_DESISTENCIA!$A$2:$Q2273,14,0),"NÃO")</f>
        <v>0</v>
      </c>
      <c r="T376" s="35"/>
    </row>
    <row r="377" spans="1:20" ht="45" customHeight="1" x14ac:dyDescent="0.25">
      <c r="A377" s="2" t="str">
        <f t="shared" si="1"/>
        <v/>
      </c>
      <c r="B377" s="2"/>
      <c r="C377" s="43"/>
      <c r="D377" s="2"/>
      <c r="E377" s="2"/>
      <c r="F377" s="2"/>
      <c r="G377" s="11"/>
      <c r="H377" s="11"/>
      <c r="I377" s="2"/>
      <c r="J377" s="2"/>
      <c r="K377" s="2"/>
      <c r="L377" s="10"/>
      <c r="M377" s="9"/>
      <c r="N377" s="2"/>
      <c r="O377" s="2"/>
      <c r="P377" s="2"/>
      <c r="Q377" s="50"/>
      <c r="R377" s="50"/>
      <c r="S377" s="2">
        <f>IFERROR(VLOOKUP(A377,IMPORT_DESISTENCIA!$A$2:$Q2273,14,0),"NÃO")</f>
        <v>0</v>
      </c>
      <c r="T377" s="35"/>
    </row>
    <row r="378" spans="1:20" ht="45" customHeight="1" x14ac:dyDescent="0.25">
      <c r="A378" s="2" t="str">
        <f t="shared" si="1"/>
        <v/>
      </c>
      <c r="B378" s="2"/>
      <c r="C378" s="43"/>
      <c r="D378" s="2"/>
      <c r="E378" s="2"/>
      <c r="F378" s="2"/>
      <c r="G378" s="11"/>
      <c r="H378" s="11"/>
      <c r="I378" s="2"/>
      <c r="J378" s="2"/>
      <c r="K378" s="2"/>
      <c r="L378" s="10"/>
      <c r="M378" s="9"/>
      <c r="N378" s="2"/>
      <c r="O378" s="2"/>
      <c r="P378" s="2"/>
      <c r="Q378" s="50"/>
      <c r="R378" s="50"/>
      <c r="S378" s="2">
        <f>IFERROR(VLOOKUP(A378,IMPORT_DESISTENCIA!$A$2:$Q2273,14,0),"NÃO")</f>
        <v>0</v>
      </c>
      <c r="T378" s="35"/>
    </row>
    <row r="379" spans="1:20" ht="45" customHeight="1" x14ac:dyDescent="0.25">
      <c r="A379" s="2" t="str">
        <f t="shared" si="1"/>
        <v/>
      </c>
      <c r="B379" s="2"/>
      <c r="C379" s="43"/>
      <c r="D379" s="2"/>
      <c r="E379" s="2"/>
      <c r="F379" s="2"/>
      <c r="G379" s="11"/>
      <c r="H379" s="11"/>
      <c r="I379" s="2"/>
      <c r="J379" s="2"/>
      <c r="K379" s="2"/>
      <c r="L379" s="10"/>
      <c r="M379" s="9"/>
      <c r="N379" s="2"/>
      <c r="O379" s="2"/>
      <c r="P379" s="2"/>
      <c r="Q379" s="50"/>
      <c r="R379" s="50"/>
      <c r="S379" s="2">
        <f>IFERROR(VLOOKUP(A379,IMPORT_DESISTENCIA!$A$2:$Q2273,14,0),"NÃO")</f>
        <v>0</v>
      </c>
      <c r="T379" s="35"/>
    </row>
    <row r="380" spans="1:20" ht="45" customHeight="1" x14ac:dyDescent="0.25">
      <c r="A380" s="2" t="str">
        <f t="shared" si="1"/>
        <v/>
      </c>
      <c r="B380" s="2"/>
      <c r="C380" s="43"/>
      <c r="D380" s="2"/>
      <c r="E380" s="2"/>
      <c r="F380" s="2"/>
      <c r="G380" s="11"/>
      <c r="H380" s="11"/>
      <c r="I380" s="2"/>
      <c r="J380" s="2"/>
      <c r="K380" s="2"/>
      <c r="L380" s="10"/>
      <c r="M380" s="9"/>
      <c r="N380" s="2"/>
      <c r="O380" s="2"/>
      <c r="P380" s="2"/>
      <c r="Q380" s="50"/>
      <c r="R380" s="50"/>
      <c r="S380" s="2">
        <f>IFERROR(VLOOKUP(A380,IMPORT_DESISTENCIA!$A$2:$Q2273,14,0),"NÃO")</f>
        <v>0</v>
      </c>
      <c r="T380" s="35"/>
    </row>
    <row r="381" spans="1:20" ht="45" customHeight="1" x14ac:dyDescent="0.25">
      <c r="A381" s="2" t="str">
        <f t="shared" si="1"/>
        <v/>
      </c>
      <c r="B381" s="2"/>
      <c r="C381" s="43"/>
      <c r="D381" s="2"/>
      <c r="E381" s="2"/>
      <c r="F381" s="2"/>
      <c r="G381" s="11"/>
      <c r="H381" s="11"/>
      <c r="I381" s="2"/>
      <c r="J381" s="2"/>
      <c r="K381" s="2"/>
      <c r="L381" s="10"/>
      <c r="M381" s="9"/>
      <c r="N381" s="2"/>
      <c r="O381" s="2"/>
      <c r="P381" s="2"/>
      <c r="Q381" s="50"/>
      <c r="R381" s="50"/>
      <c r="S381" s="2">
        <f>IFERROR(VLOOKUP(A381,IMPORT_DESISTENCIA!$A$2:$Q2273,14,0),"NÃO")</f>
        <v>0</v>
      </c>
      <c r="T381" s="35"/>
    </row>
    <row r="382" spans="1:20" ht="45" customHeight="1" x14ac:dyDescent="0.25">
      <c r="A382" s="2" t="str">
        <f t="shared" si="1"/>
        <v/>
      </c>
      <c r="B382" s="2"/>
      <c r="C382" s="43"/>
      <c r="D382" s="2"/>
      <c r="E382" s="2"/>
      <c r="F382" s="2"/>
      <c r="G382" s="11"/>
      <c r="H382" s="11"/>
      <c r="I382" s="2"/>
      <c r="J382" s="2"/>
      <c r="K382" s="2"/>
      <c r="L382" s="10"/>
      <c r="M382" s="9"/>
      <c r="N382" s="2"/>
      <c r="O382" s="2"/>
      <c r="P382" s="2"/>
      <c r="Q382" s="50"/>
      <c r="R382" s="50"/>
      <c r="S382" s="2">
        <f>IFERROR(VLOOKUP(A382,IMPORT_DESISTENCIA!$A$2:$Q2273,14,0),"NÃO")</f>
        <v>0</v>
      </c>
      <c r="T382" s="35"/>
    </row>
    <row r="383" spans="1:20" ht="45" customHeight="1" x14ac:dyDescent="0.25">
      <c r="A383" s="2" t="str">
        <f t="shared" si="1"/>
        <v/>
      </c>
      <c r="B383" s="2"/>
      <c r="C383" s="43"/>
      <c r="D383" s="2"/>
      <c r="E383" s="2"/>
      <c r="F383" s="2"/>
      <c r="G383" s="11"/>
      <c r="H383" s="11"/>
      <c r="I383" s="2"/>
      <c r="J383" s="2"/>
      <c r="K383" s="2"/>
      <c r="L383" s="10"/>
      <c r="M383" s="9"/>
      <c r="N383" s="2"/>
      <c r="O383" s="2"/>
      <c r="P383" s="2"/>
      <c r="Q383" s="50"/>
      <c r="R383" s="50"/>
      <c r="S383" s="2">
        <f>IFERROR(VLOOKUP(A383,IMPORT_DESISTENCIA!$A$2:$Q2273,14,0),"NÃO")</f>
        <v>0</v>
      </c>
      <c r="T383" s="35"/>
    </row>
    <row r="384" spans="1:20" ht="45" customHeight="1" x14ac:dyDescent="0.25">
      <c r="A384" s="2" t="str">
        <f t="shared" si="1"/>
        <v/>
      </c>
      <c r="B384" s="2"/>
      <c r="C384" s="43"/>
      <c r="D384" s="2"/>
      <c r="E384" s="2"/>
      <c r="F384" s="2"/>
      <c r="G384" s="11"/>
      <c r="H384" s="11"/>
      <c r="I384" s="2"/>
      <c r="J384" s="2"/>
      <c r="K384" s="2"/>
      <c r="L384" s="10"/>
      <c r="M384" s="9"/>
      <c r="N384" s="2"/>
      <c r="O384" s="2"/>
      <c r="P384" s="2"/>
      <c r="Q384" s="50"/>
      <c r="R384" s="50"/>
      <c r="S384" s="2">
        <f>IFERROR(VLOOKUP(A384,IMPORT_DESISTENCIA!$A$2:$Q2273,14,0),"NÃO")</f>
        <v>0</v>
      </c>
      <c r="T384" s="35"/>
    </row>
    <row r="385" spans="1:20" ht="45" customHeight="1" x14ac:dyDescent="0.25">
      <c r="A385" s="2" t="str">
        <f t="shared" si="1"/>
        <v/>
      </c>
      <c r="B385" s="2"/>
      <c r="C385" s="43"/>
      <c r="D385" s="2"/>
      <c r="E385" s="2"/>
      <c r="F385" s="2"/>
      <c r="G385" s="11"/>
      <c r="H385" s="11"/>
      <c r="I385" s="2"/>
      <c r="J385" s="2"/>
      <c r="K385" s="2"/>
      <c r="L385" s="10"/>
      <c r="M385" s="9"/>
      <c r="N385" s="2"/>
      <c r="O385" s="2"/>
      <c r="P385" s="2"/>
      <c r="Q385" s="50"/>
      <c r="R385" s="50"/>
      <c r="S385" s="2">
        <f>IFERROR(VLOOKUP(A385,IMPORT_DESISTENCIA!$A$2:$Q2273,14,0),"NÃO")</f>
        <v>0</v>
      </c>
      <c r="T385" s="35"/>
    </row>
    <row r="386" spans="1:20" ht="45" customHeight="1" x14ac:dyDescent="0.25">
      <c r="A386" s="2" t="str">
        <f t="shared" si="1"/>
        <v/>
      </c>
      <c r="B386" s="2"/>
      <c r="C386" s="43"/>
      <c r="D386" s="2"/>
      <c r="E386" s="2"/>
      <c r="F386" s="2"/>
      <c r="G386" s="11"/>
      <c r="H386" s="11"/>
      <c r="I386" s="2"/>
      <c r="J386" s="2"/>
      <c r="K386" s="2"/>
      <c r="L386" s="10"/>
      <c r="M386" s="9"/>
      <c r="N386" s="2"/>
      <c r="O386" s="2"/>
      <c r="P386" s="2"/>
      <c r="Q386" s="50"/>
      <c r="R386" s="50"/>
      <c r="S386" s="2">
        <f>IFERROR(VLOOKUP(A386,IMPORT_DESISTENCIA!$A$2:$Q2273,14,0),"NÃO")</f>
        <v>0</v>
      </c>
      <c r="T386" s="35"/>
    </row>
    <row r="387" spans="1:20" ht="45" customHeight="1" x14ac:dyDescent="0.25">
      <c r="A387" s="2" t="str">
        <f t="shared" si="1"/>
        <v/>
      </c>
      <c r="B387" s="2"/>
      <c r="C387" s="43"/>
      <c r="D387" s="2"/>
      <c r="E387" s="2"/>
      <c r="F387" s="2"/>
      <c r="G387" s="11"/>
      <c r="H387" s="11"/>
      <c r="I387" s="2"/>
      <c r="J387" s="2"/>
      <c r="K387" s="2"/>
      <c r="L387" s="10"/>
      <c r="M387" s="9"/>
      <c r="N387" s="2"/>
      <c r="O387" s="2"/>
      <c r="P387" s="2"/>
      <c r="Q387" s="50"/>
      <c r="R387" s="50"/>
      <c r="S387" s="2">
        <f>IFERROR(VLOOKUP(A387,IMPORT_DESISTENCIA!$A$2:$Q2273,14,0),"NÃO")</f>
        <v>0</v>
      </c>
      <c r="T387" s="35"/>
    </row>
    <row r="388" spans="1:20" ht="45" customHeight="1" x14ac:dyDescent="0.25">
      <c r="A388" s="2" t="str">
        <f t="shared" si="1"/>
        <v/>
      </c>
      <c r="B388" s="2"/>
      <c r="C388" s="43"/>
      <c r="D388" s="2"/>
      <c r="E388" s="2"/>
      <c r="F388" s="2"/>
      <c r="G388" s="11"/>
      <c r="H388" s="11"/>
      <c r="I388" s="2"/>
      <c r="J388" s="2"/>
      <c r="K388" s="2"/>
      <c r="L388" s="10"/>
      <c r="M388" s="9"/>
      <c r="N388" s="2"/>
      <c r="O388" s="2"/>
      <c r="P388" s="2"/>
      <c r="Q388" s="50"/>
      <c r="R388" s="50"/>
      <c r="S388" s="2">
        <f>IFERROR(VLOOKUP(A388,IMPORT_DESISTENCIA!$A$2:$Q2273,14,0),"NÃO")</f>
        <v>0</v>
      </c>
      <c r="T388" s="35"/>
    </row>
    <row r="389" spans="1:20" ht="45" customHeight="1" x14ac:dyDescent="0.25">
      <c r="A389" s="2" t="str">
        <f t="shared" si="1"/>
        <v/>
      </c>
      <c r="B389" s="2"/>
      <c r="C389" s="43"/>
      <c r="D389" s="2"/>
      <c r="E389" s="2"/>
      <c r="F389" s="2"/>
      <c r="G389" s="11"/>
      <c r="H389" s="11"/>
      <c r="I389" s="2"/>
      <c r="J389" s="2"/>
      <c r="K389" s="2"/>
      <c r="L389" s="10"/>
      <c r="M389" s="9"/>
      <c r="N389" s="2"/>
      <c r="O389" s="2"/>
      <c r="P389" s="2"/>
      <c r="Q389" s="50"/>
      <c r="R389" s="50"/>
      <c r="S389" s="2">
        <f>IFERROR(VLOOKUP(A389,IMPORT_DESISTENCIA!$A$2:$Q2273,14,0),"NÃO")</f>
        <v>0</v>
      </c>
      <c r="T389" s="35"/>
    </row>
    <row r="390" spans="1:20" ht="45" customHeight="1" x14ac:dyDescent="0.25">
      <c r="A390" s="2" t="str">
        <f t="shared" si="1"/>
        <v/>
      </c>
      <c r="B390" s="2"/>
      <c r="C390" s="43"/>
      <c r="D390" s="2"/>
      <c r="E390" s="2"/>
      <c r="F390" s="2"/>
      <c r="G390" s="11"/>
      <c r="H390" s="11"/>
      <c r="I390" s="2"/>
      <c r="J390" s="2"/>
      <c r="K390" s="2"/>
      <c r="L390" s="10"/>
      <c r="M390" s="9"/>
      <c r="N390" s="2"/>
      <c r="O390" s="2"/>
      <c r="P390" s="2"/>
      <c r="Q390" s="50"/>
      <c r="R390" s="50"/>
      <c r="S390" s="2">
        <f>IFERROR(VLOOKUP(A390,IMPORT_DESISTENCIA!$A$2:$Q2273,14,0),"NÃO")</f>
        <v>0</v>
      </c>
      <c r="T390" s="35"/>
    </row>
    <row r="391" spans="1:20" ht="45" customHeight="1" x14ac:dyDescent="0.25">
      <c r="A391" s="2" t="str">
        <f t="shared" si="1"/>
        <v/>
      </c>
      <c r="B391" s="2"/>
      <c r="C391" s="43"/>
      <c r="D391" s="2"/>
      <c r="E391" s="2"/>
      <c r="F391" s="2"/>
      <c r="G391" s="11"/>
      <c r="H391" s="11"/>
      <c r="I391" s="2"/>
      <c r="J391" s="2"/>
      <c r="K391" s="2"/>
      <c r="L391" s="10"/>
      <c r="M391" s="9"/>
      <c r="N391" s="2"/>
      <c r="O391" s="2"/>
      <c r="P391" s="2"/>
      <c r="Q391" s="50"/>
      <c r="R391" s="50"/>
      <c r="S391" s="2">
        <f>IFERROR(VLOOKUP(A391,IMPORT_DESISTENCIA!$A$2:$Q2273,14,0),"NÃO")</f>
        <v>0</v>
      </c>
      <c r="T391" s="35"/>
    </row>
    <row r="392" spans="1:20" ht="45" customHeight="1" x14ac:dyDescent="0.25">
      <c r="A392" s="2" t="str">
        <f t="shared" si="1"/>
        <v/>
      </c>
      <c r="B392" s="2"/>
      <c r="C392" s="43"/>
      <c r="D392" s="2"/>
      <c r="E392" s="2"/>
      <c r="F392" s="2"/>
      <c r="G392" s="11"/>
      <c r="H392" s="11"/>
      <c r="I392" s="2"/>
      <c r="J392" s="2"/>
      <c r="K392" s="2"/>
      <c r="L392" s="10"/>
      <c r="M392" s="9"/>
      <c r="N392" s="2"/>
      <c r="O392" s="2"/>
      <c r="P392" s="2"/>
      <c r="Q392" s="50"/>
      <c r="R392" s="50"/>
      <c r="S392" s="2">
        <f>IFERROR(VLOOKUP(A392,IMPORT_DESISTENCIA!$A$2:$Q2273,14,0),"NÃO")</f>
        <v>0</v>
      </c>
      <c r="T392" s="35"/>
    </row>
    <row r="393" spans="1:20" ht="45" customHeight="1" x14ac:dyDescent="0.25">
      <c r="A393" s="2" t="str">
        <f t="shared" si="1"/>
        <v/>
      </c>
      <c r="B393" s="2"/>
      <c r="C393" s="43"/>
      <c r="D393" s="2"/>
      <c r="E393" s="2"/>
      <c r="F393" s="2"/>
      <c r="G393" s="11"/>
      <c r="H393" s="11"/>
      <c r="I393" s="2"/>
      <c r="J393" s="2"/>
      <c r="K393" s="2"/>
      <c r="L393" s="10"/>
      <c r="M393" s="9"/>
      <c r="N393" s="2"/>
      <c r="O393" s="2"/>
      <c r="P393" s="2"/>
      <c r="Q393" s="50"/>
      <c r="R393" s="50"/>
      <c r="S393" s="2">
        <f>IFERROR(VLOOKUP(A393,IMPORT_DESISTENCIA!$A$2:$Q2273,14,0),"NÃO")</f>
        <v>0</v>
      </c>
      <c r="T393" s="35"/>
    </row>
    <row r="394" spans="1:20" ht="45" customHeight="1" x14ac:dyDescent="0.25">
      <c r="A394" s="2" t="str">
        <f t="shared" si="1"/>
        <v/>
      </c>
      <c r="B394" s="2"/>
      <c r="C394" s="43"/>
      <c r="D394" s="2"/>
      <c r="E394" s="2"/>
      <c r="F394" s="2"/>
      <c r="G394" s="11"/>
      <c r="H394" s="11"/>
      <c r="I394" s="2"/>
      <c r="J394" s="2"/>
      <c r="K394" s="2"/>
      <c r="L394" s="10"/>
      <c r="M394" s="9"/>
      <c r="N394" s="2"/>
      <c r="O394" s="2"/>
      <c r="P394" s="2"/>
      <c r="Q394" s="50"/>
      <c r="R394" s="50"/>
      <c r="S394" s="2">
        <f>IFERROR(VLOOKUP(A394,IMPORT_DESISTENCIA!$A$2:$Q2273,14,0),"NÃO")</f>
        <v>0</v>
      </c>
      <c r="T394" s="35"/>
    </row>
    <row r="395" spans="1:20" ht="45" customHeight="1" x14ac:dyDescent="0.25">
      <c r="A395" s="2" t="str">
        <f t="shared" si="1"/>
        <v/>
      </c>
      <c r="B395" s="2"/>
      <c r="C395" s="43"/>
      <c r="D395" s="2"/>
      <c r="E395" s="2"/>
      <c r="F395" s="2"/>
      <c r="G395" s="11"/>
      <c r="H395" s="11"/>
      <c r="I395" s="2"/>
      <c r="J395" s="2"/>
      <c r="K395" s="2"/>
      <c r="L395" s="10"/>
      <c r="M395" s="9"/>
      <c r="N395" s="2"/>
      <c r="O395" s="2"/>
      <c r="P395" s="2"/>
      <c r="Q395" s="50"/>
      <c r="R395" s="50"/>
      <c r="S395" s="2">
        <f>IFERROR(VLOOKUP(A395,IMPORT_DESISTENCIA!$A$2:$Q2273,14,0),"NÃO")</f>
        <v>0</v>
      </c>
      <c r="T395" s="35"/>
    </row>
    <row r="396" spans="1:20" ht="45" customHeight="1" x14ac:dyDescent="0.25">
      <c r="A396" s="2" t="str">
        <f t="shared" si="1"/>
        <v/>
      </c>
      <c r="B396" s="2"/>
      <c r="C396" s="43"/>
      <c r="D396" s="2"/>
      <c r="E396" s="2"/>
      <c r="F396" s="2"/>
      <c r="G396" s="11"/>
      <c r="H396" s="11"/>
      <c r="I396" s="2"/>
      <c r="J396" s="2"/>
      <c r="K396" s="2"/>
      <c r="L396" s="10"/>
      <c r="M396" s="9"/>
      <c r="N396" s="2"/>
      <c r="O396" s="2"/>
      <c r="P396" s="2"/>
      <c r="Q396" s="50"/>
      <c r="R396" s="50"/>
      <c r="S396" s="2">
        <f>IFERROR(VLOOKUP(A396,IMPORT_DESISTENCIA!$A$2:$Q2273,14,0),"NÃO")</f>
        <v>0</v>
      </c>
      <c r="T396" s="35"/>
    </row>
    <row r="397" spans="1:20" ht="45" customHeight="1" x14ac:dyDescent="0.25">
      <c r="A397" s="2" t="str">
        <f t="shared" si="1"/>
        <v/>
      </c>
      <c r="B397" s="2"/>
      <c r="C397" s="43"/>
      <c r="D397" s="2"/>
      <c r="E397" s="2"/>
      <c r="F397" s="2"/>
      <c r="G397" s="11"/>
      <c r="H397" s="11"/>
      <c r="I397" s="2"/>
      <c r="J397" s="2"/>
      <c r="K397" s="2"/>
      <c r="L397" s="10"/>
      <c r="M397" s="9"/>
      <c r="N397" s="2"/>
      <c r="O397" s="2"/>
      <c r="P397" s="2"/>
      <c r="Q397" s="50"/>
      <c r="R397" s="50"/>
      <c r="S397" s="2">
        <f>IFERROR(VLOOKUP(A397,IMPORT_DESISTENCIA!$A$2:$Q2273,14,0),"NÃO")</f>
        <v>0</v>
      </c>
      <c r="T397" s="35"/>
    </row>
    <row r="398" spans="1:20" ht="45" customHeight="1" x14ac:dyDescent="0.25">
      <c r="A398" s="2" t="str">
        <f t="shared" si="1"/>
        <v/>
      </c>
      <c r="B398" s="2"/>
      <c r="C398" s="43"/>
      <c r="D398" s="2"/>
      <c r="E398" s="2"/>
      <c r="F398" s="2"/>
      <c r="G398" s="11"/>
      <c r="H398" s="11"/>
      <c r="I398" s="2"/>
      <c r="J398" s="2"/>
      <c r="K398" s="2"/>
      <c r="L398" s="10"/>
      <c r="M398" s="9"/>
      <c r="N398" s="2"/>
      <c r="O398" s="2"/>
      <c r="P398" s="2"/>
      <c r="Q398" s="50"/>
      <c r="R398" s="50"/>
      <c r="S398" s="2">
        <f>IFERROR(VLOOKUP(A398,IMPORT_DESISTENCIA!$A$2:$Q2273,14,0),"NÃO")</f>
        <v>0</v>
      </c>
      <c r="T398" s="35"/>
    </row>
    <row r="399" spans="1:20" ht="45" customHeight="1" x14ac:dyDescent="0.25">
      <c r="A399" s="2" t="str">
        <f t="shared" si="1"/>
        <v/>
      </c>
      <c r="B399" s="2"/>
      <c r="C399" s="43"/>
      <c r="D399" s="2"/>
      <c r="E399" s="2"/>
      <c r="F399" s="2"/>
      <c r="G399" s="11"/>
      <c r="H399" s="11"/>
      <c r="I399" s="2"/>
      <c r="J399" s="2"/>
      <c r="K399" s="2"/>
      <c r="L399" s="10"/>
      <c r="M399" s="9"/>
      <c r="N399" s="2"/>
      <c r="O399" s="2"/>
      <c r="P399" s="2"/>
      <c r="Q399" s="50"/>
      <c r="R399" s="50"/>
      <c r="S399" s="2">
        <f>IFERROR(VLOOKUP(A399,IMPORT_DESISTENCIA!$A$2:$Q2273,14,0),"NÃO")</f>
        <v>0</v>
      </c>
      <c r="T399" s="35"/>
    </row>
    <row r="400" spans="1:20" ht="45" customHeight="1" x14ac:dyDescent="0.25">
      <c r="A400" s="2" t="str">
        <f t="shared" si="1"/>
        <v/>
      </c>
      <c r="B400" s="2"/>
      <c r="C400" s="43"/>
      <c r="D400" s="2"/>
      <c r="E400" s="2"/>
      <c r="F400" s="2"/>
      <c r="G400" s="11"/>
      <c r="H400" s="11"/>
      <c r="I400" s="2"/>
      <c r="J400" s="2"/>
      <c r="K400" s="2"/>
      <c r="L400" s="10"/>
      <c r="M400" s="9"/>
      <c r="N400" s="2"/>
      <c r="O400" s="2"/>
      <c r="P400" s="2"/>
      <c r="Q400" s="50"/>
      <c r="R400" s="50"/>
      <c r="S400" s="2">
        <f>IFERROR(VLOOKUP(A400,IMPORT_DESISTENCIA!$A$2:$Q2273,14,0),"NÃO")</f>
        <v>0</v>
      </c>
      <c r="T400" s="35"/>
    </row>
    <row r="401" spans="1:20" ht="45" customHeight="1" x14ac:dyDescent="0.25">
      <c r="A401" s="2" t="str">
        <f t="shared" si="1"/>
        <v/>
      </c>
      <c r="B401" s="2"/>
      <c r="C401" s="43"/>
      <c r="D401" s="2"/>
      <c r="E401" s="2"/>
      <c r="F401" s="2"/>
      <c r="G401" s="11"/>
      <c r="H401" s="11"/>
      <c r="I401" s="2"/>
      <c r="J401" s="2"/>
      <c r="K401" s="2"/>
      <c r="L401" s="10"/>
      <c r="M401" s="9"/>
      <c r="N401" s="2"/>
      <c r="O401" s="2"/>
      <c r="P401" s="2"/>
      <c r="Q401" s="50"/>
      <c r="R401" s="50"/>
      <c r="S401" s="2">
        <f>IFERROR(VLOOKUP(A401,IMPORT_DESISTENCIA!$A$2:$Q2273,14,0),"NÃO")</f>
        <v>0</v>
      </c>
      <c r="T401" s="35"/>
    </row>
    <row r="402" spans="1:20" ht="45" customHeight="1" x14ac:dyDescent="0.25">
      <c r="A402" s="2" t="str">
        <f t="shared" si="1"/>
        <v/>
      </c>
      <c r="B402" s="2"/>
      <c r="C402" s="43"/>
      <c r="D402" s="2"/>
      <c r="E402" s="2"/>
      <c r="F402" s="2"/>
      <c r="G402" s="11"/>
      <c r="H402" s="11"/>
      <c r="I402" s="2"/>
      <c r="J402" s="2"/>
      <c r="K402" s="2"/>
      <c r="L402" s="10"/>
      <c r="M402" s="9"/>
      <c r="N402" s="2"/>
      <c r="O402" s="2"/>
      <c r="P402" s="2"/>
      <c r="Q402" s="50"/>
      <c r="R402" s="50"/>
      <c r="S402" s="2">
        <f>IFERROR(VLOOKUP(A402,IMPORT_DESISTENCIA!$A$2:$Q2273,14,0),"NÃO")</f>
        <v>0</v>
      </c>
      <c r="T402" s="35"/>
    </row>
    <row r="403" spans="1:20" ht="45" customHeight="1" x14ac:dyDescent="0.25">
      <c r="A403" s="2" t="str">
        <f t="shared" si="1"/>
        <v/>
      </c>
      <c r="B403" s="2"/>
      <c r="C403" s="43"/>
      <c r="D403" s="2"/>
      <c r="E403" s="2"/>
      <c r="F403" s="2"/>
      <c r="G403" s="11"/>
      <c r="H403" s="11"/>
      <c r="I403" s="2"/>
      <c r="J403" s="2"/>
      <c r="K403" s="2"/>
      <c r="L403" s="10"/>
      <c r="M403" s="9"/>
      <c r="N403" s="2"/>
      <c r="O403" s="2"/>
      <c r="P403" s="2"/>
      <c r="Q403" s="50"/>
      <c r="R403" s="50"/>
      <c r="S403" s="2">
        <f>IFERROR(VLOOKUP(A403,IMPORT_DESISTENCIA!$A$2:$Q2273,14,0),"NÃO")</f>
        <v>0</v>
      </c>
      <c r="T403" s="35"/>
    </row>
    <row r="404" spans="1:20" ht="45" customHeight="1" x14ac:dyDescent="0.25">
      <c r="A404" s="2" t="str">
        <f t="shared" si="1"/>
        <v/>
      </c>
      <c r="B404" s="2"/>
      <c r="C404" s="43"/>
      <c r="D404" s="2"/>
      <c r="E404" s="2"/>
      <c r="F404" s="2"/>
      <c r="G404" s="11"/>
      <c r="H404" s="11"/>
      <c r="I404" s="2"/>
      <c r="J404" s="2"/>
      <c r="K404" s="2"/>
      <c r="L404" s="10"/>
      <c r="M404" s="9"/>
      <c r="N404" s="2"/>
      <c r="O404" s="2"/>
      <c r="P404" s="2"/>
      <c r="Q404" s="50"/>
      <c r="R404" s="50"/>
      <c r="S404" s="2">
        <f>IFERROR(VLOOKUP(A404,IMPORT_DESISTENCIA!$A$2:$Q2273,14,0),"NÃO")</f>
        <v>0</v>
      </c>
      <c r="T404" s="35"/>
    </row>
    <row r="405" spans="1:20" ht="45" customHeight="1" x14ac:dyDescent="0.25">
      <c r="A405" s="2" t="str">
        <f t="shared" si="1"/>
        <v/>
      </c>
      <c r="B405" s="2"/>
      <c r="C405" s="43"/>
      <c r="D405" s="2"/>
      <c r="E405" s="2"/>
      <c r="F405" s="2"/>
      <c r="G405" s="11"/>
      <c r="H405" s="11"/>
      <c r="I405" s="2"/>
      <c r="J405" s="2"/>
      <c r="K405" s="2"/>
      <c r="L405" s="10"/>
      <c r="M405" s="9"/>
      <c r="N405" s="2"/>
      <c r="O405" s="2"/>
      <c r="P405" s="2"/>
      <c r="Q405" s="50"/>
      <c r="R405" s="50"/>
      <c r="S405" s="2">
        <f>IFERROR(VLOOKUP(A405,IMPORT_DESISTENCIA!$A$2:$Q2273,14,0),"NÃO")</f>
        <v>0</v>
      </c>
      <c r="T405" s="35"/>
    </row>
    <row r="406" spans="1:20" ht="45" customHeight="1" x14ac:dyDescent="0.25">
      <c r="A406" s="2" t="str">
        <f t="shared" si="1"/>
        <v/>
      </c>
      <c r="B406" s="2"/>
      <c r="C406" s="43"/>
      <c r="D406" s="2"/>
      <c r="E406" s="2"/>
      <c r="F406" s="2"/>
      <c r="G406" s="11"/>
      <c r="H406" s="11"/>
      <c r="I406" s="2"/>
      <c r="J406" s="2"/>
      <c r="K406" s="2"/>
      <c r="L406" s="10"/>
      <c r="M406" s="9"/>
      <c r="N406" s="2"/>
      <c r="O406" s="2"/>
      <c r="P406" s="2"/>
      <c r="Q406" s="50"/>
      <c r="R406" s="50"/>
      <c r="S406" s="2">
        <f>IFERROR(VLOOKUP(A406,IMPORT_DESISTENCIA!$A$2:$Q2273,14,0),"NÃO")</f>
        <v>0</v>
      </c>
      <c r="T406" s="35"/>
    </row>
    <row r="407" spans="1:20" ht="45" customHeight="1" x14ac:dyDescent="0.25">
      <c r="A407" s="2" t="str">
        <f t="shared" si="1"/>
        <v/>
      </c>
      <c r="B407" s="2"/>
      <c r="C407" s="43"/>
      <c r="D407" s="2"/>
      <c r="E407" s="2"/>
      <c r="F407" s="2"/>
      <c r="G407" s="11"/>
      <c r="H407" s="11"/>
      <c r="I407" s="2"/>
      <c r="J407" s="2"/>
      <c r="K407" s="2"/>
      <c r="L407" s="10"/>
      <c r="M407" s="9"/>
      <c r="N407" s="2"/>
      <c r="O407" s="2"/>
      <c r="P407" s="2"/>
      <c r="Q407" s="50"/>
      <c r="R407" s="50"/>
      <c r="S407" s="2">
        <f>IFERROR(VLOOKUP(A407,IMPORT_DESISTENCIA!$A$2:$Q2273,14,0),"NÃO")</f>
        <v>0</v>
      </c>
      <c r="T407" s="35"/>
    </row>
    <row r="408" spans="1:20" ht="45" customHeight="1" x14ac:dyDescent="0.25">
      <c r="A408" s="2" t="str">
        <f t="shared" si="1"/>
        <v/>
      </c>
      <c r="B408" s="2"/>
      <c r="C408" s="43"/>
      <c r="D408" s="2"/>
      <c r="E408" s="2"/>
      <c r="F408" s="2"/>
      <c r="G408" s="11"/>
      <c r="H408" s="11"/>
      <c r="I408" s="2"/>
      <c r="J408" s="2"/>
      <c r="K408" s="2"/>
      <c r="L408" s="10"/>
      <c r="M408" s="9"/>
      <c r="N408" s="2"/>
      <c r="O408" s="2"/>
      <c r="P408" s="2"/>
      <c r="Q408" s="50"/>
      <c r="R408" s="50"/>
      <c r="S408" s="2">
        <f>IFERROR(VLOOKUP(A408,IMPORT_DESISTENCIA!$A$2:$Q2273,14,0),"NÃO")</f>
        <v>0</v>
      </c>
      <c r="T408" s="35"/>
    </row>
    <row r="409" spans="1:20" ht="45" customHeight="1" x14ac:dyDescent="0.25">
      <c r="A409" s="2" t="str">
        <f t="shared" si="1"/>
        <v/>
      </c>
      <c r="B409" s="2"/>
      <c r="C409" s="43"/>
      <c r="D409" s="2"/>
      <c r="E409" s="2"/>
      <c r="F409" s="2"/>
      <c r="G409" s="11"/>
      <c r="H409" s="11"/>
      <c r="I409" s="2"/>
      <c r="J409" s="2"/>
      <c r="K409" s="2"/>
      <c r="L409" s="10"/>
      <c r="M409" s="9"/>
      <c r="N409" s="2"/>
      <c r="O409" s="2"/>
      <c r="P409" s="2"/>
      <c r="Q409" s="50"/>
      <c r="R409" s="50"/>
      <c r="S409" s="2">
        <f>IFERROR(VLOOKUP(A409,IMPORT_DESISTENCIA!$A$2:$Q2273,14,0),"NÃO")</f>
        <v>0</v>
      </c>
      <c r="T409" s="35"/>
    </row>
    <row r="410" spans="1:20" ht="45" customHeight="1" x14ac:dyDescent="0.25">
      <c r="A410" s="2" t="str">
        <f t="shared" si="1"/>
        <v/>
      </c>
      <c r="B410" s="2"/>
      <c r="C410" s="43"/>
      <c r="D410" s="2"/>
      <c r="E410" s="2"/>
      <c r="F410" s="2"/>
      <c r="G410" s="11"/>
      <c r="H410" s="11"/>
      <c r="I410" s="2"/>
      <c r="J410" s="2"/>
      <c r="K410" s="2"/>
      <c r="L410" s="10"/>
      <c r="M410" s="9"/>
      <c r="N410" s="2"/>
      <c r="O410" s="2"/>
      <c r="P410" s="2"/>
      <c r="Q410" s="50"/>
      <c r="R410" s="50"/>
      <c r="S410" s="2">
        <f>IFERROR(VLOOKUP(A410,IMPORT_DESISTENCIA!$A$2:$Q2273,14,0),"NÃO")</f>
        <v>0</v>
      </c>
      <c r="T410" s="35"/>
    </row>
    <row r="411" spans="1:20" ht="45" customHeight="1" x14ac:dyDescent="0.25">
      <c r="A411" s="2" t="str">
        <f t="shared" si="1"/>
        <v/>
      </c>
      <c r="B411" s="2"/>
      <c r="C411" s="43"/>
      <c r="D411" s="2"/>
      <c r="E411" s="2"/>
      <c r="F411" s="2"/>
      <c r="G411" s="11"/>
      <c r="H411" s="11"/>
      <c r="I411" s="2"/>
      <c r="J411" s="2"/>
      <c r="K411" s="2"/>
      <c r="L411" s="10"/>
      <c r="M411" s="9"/>
      <c r="N411" s="2"/>
      <c r="O411" s="2"/>
      <c r="P411" s="2"/>
      <c r="Q411" s="50"/>
      <c r="R411" s="50"/>
      <c r="S411" s="2">
        <f>IFERROR(VLOOKUP(A411,IMPORT_DESISTENCIA!$A$2:$Q2273,14,0),"NÃO")</f>
        <v>0</v>
      </c>
      <c r="T411" s="35"/>
    </row>
    <row r="412" spans="1:20" ht="45" customHeight="1" x14ac:dyDescent="0.25">
      <c r="A412" s="2" t="str">
        <f t="shared" si="1"/>
        <v/>
      </c>
      <c r="B412" s="2"/>
      <c r="C412" s="43"/>
      <c r="D412" s="2"/>
      <c r="E412" s="2"/>
      <c r="F412" s="2"/>
      <c r="G412" s="11"/>
      <c r="H412" s="11"/>
      <c r="I412" s="2"/>
      <c r="J412" s="2"/>
      <c r="K412" s="2"/>
      <c r="L412" s="10"/>
      <c r="M412" s="9"/>
      <c r="N412" s="2"/>
      <c r="O412" s="2"/>
      <c r="P412" s="2"/>
      <c r="Q412" s="50"/>
      <c r="R412" s="50"/>
      <c r="S412" s="2">
        <f>IFERROR(VLOOKUP(A412,IMPORT_DESISTENCIA!$A$2:$Q2273,14,0),"NÃO")</f>
        <v>0</v>
      </c>
      <c r="T412" s="35"/>
    </row>
    <row r="413" spans="1:20" ht="45" customHeight="1" x14ac:dyDescent="0.25">
      <c r="A413" s="2" t="str">
        <f t="shared" si="1"/>
        <v/>
      </c>
      <c r="B413" s="2"/>
      <c r="C413" s="43"/>
      <c r="D413" s="2"/>
      <c r="E413" s="2"/>
      <c r="F413" s="2"/>
      <c r="G413" s="11"/>
      <c r="H413" s="11"/>
      <c r="I413" s="2"/>
      <c r="J413" s="2"/>
      <c r="K413" s="2"/>
      <c r="L413" s="10"/>
      <c r="M413" s="9"/>
      <c r="N413" s="2"/>
      <c r="O413" s="2"/>
      <c r="P413" s="2"/>
      <c r="Q413" s="50"/>
      <c r="R413" s="50"/>
      <c r="S413" s="2">
        <f>IFERROR(VLOOKUP(A413,IMPORT_DESISTENCIA!$A$2:$Q2273,14,0),"NÃO")</f>
        <v>0</v>
      </c>
      <c r="T413" s="35"/>
    </row>
    <row r="414" spans="1:20" ht="45" customHeight="1" x14ac:dyDescent="0.25">
      <c r="A414" s="2" t="str">
        <f t="shared" si="1"/>
        <v/>
      </c>
      <c r="B414" s="2"/>
      <c r="C414" s="43"/>
      <c r="D414" s="2"/>
      <c r="E414" s="2"/>
      <c r="F414" s="2"/>
      <c r="G414" s="11"/>
      <c r="H414" s="11"/>
      <c r="I414" s="2"/>
      <c r="J414" s="2"/>
      <c r="K414" s="2"/>
      <c r="L414" s="10"/>
      <c r="M414" s="9"/>
      <c r="N414" s="2"/>
      <c r="O414" s="2"/>
      <c r="P414" s="2"/>
      <c r="Q414" s="50"/>
      <c r="R414" s="50"/>
      <c r="S414" s="2">
        <f>IFERROR(VLOOKUP(A414,IMPORT_DESISTENCIA!$A$2:$Q2273,14,0),"NÃO")</f>
        <v>0</v>
      </c>
      <c r="T414" s="35"/>
    </row>
    <row r="415" spans="1:20" ht="45" customHeight="1" x14ac:dyDescent="0.25">
      <c r="A415" s="2" t="str">
        <f t="shared" si="1"/>
        <v/>
      </c>
      <c r="B415" s="2"/>
      <c r="C415" s="43"/>
      <c r="D415" s="2"/>
      <c r="E415" s="2"/>
      <c r="F415" s="2"/>
      <c r="G415" s="11"/>
      <c r="H415" s="11"/>
      <c r="I415" s="2"/>
      <c r="J415" s="2"/>
      <c r="K415" s="2"/>
      <c r="L415" s="10"/>
      <c r="M415" s="9"/>
      <c r="N415" s="2"/>
      <c r="O415" s="2"/>
      <c r="P415" s="2"/>
      <c r="Q415" s="50"/>
      <c r="R415" s="50"/>
      <c r="S415" s="2">
        <f>IFERROR(VLOOKUP(A415,IMPORT_DESISTENCIA!$A$2:$Q2273,14,0),"NÃO")</f>
        <v>0</v>
      </c>
      <c r="T415" s="35"/>
    </row>
    <row r="416" spans="1:20" ht="45" customHeight="1" x14ac:dyDescent="0.25">
      <c r="A416" s="2" t="str">
        <f t="shared" si="1"/>
        <v/>
      </c>
      <c r="B416" s="2"/>
      <c r="C416" s="43"/>
      <c r="D416" s="2"/>
      <c r="E416" s="2"/>
      <c r="F416" s="2"/>
      <c r="G416" s="11"/>
      <c r="H416" s="11"/>
      <c r="I416" s="2"/>
      <c r="J416" s="2"/>
      <c r="K416" s="2"/>
      <c r="L416" s="10"/>
      <c r="M416" s="9"/>
      <c r="N416" s="2"/>
      <c r="O416" s="2"/>
      <c r="P416" s="2"/>
      <c r="Q416" s="50"/>
      <c r="R416" s="50"/>
      <c r="S416" s="2">
        <f>IFERROR(VLOOKUP(A416,IMPORT_DESISTENCIA!$A$2:$Q2273,14,0),"NÃO")</f>
        <v>0</v>
      </c>
      <c r="T416" s="35"/>
    </row>
    <row r="417" spans="1:20" ht="45" customHeight="1" x14ac:dyDescent="0.25">
      <c r="A417" s="2" t="str">
        <f t="shared" si="1"/>
        <v/>
      </c>
      <c r="B417" s="2"/>
      <c r="C417" s="43"/>
      <c r="D417" s="2"/>
      <c r="E417" s="2"/>
      <c r="F417" s="2"/>
      <c r="G417" s="11"/>
      <c r="H417" s="11"/>
      <c r="I417" s="2"/>
      <c r="J417" s="2"/>
      <c r="K417" s="2"/>
      <c r="L417" s="10"/>
      <c r="M417" s="9"/>
      <c r="N417" s="2"/>
      <c r="O417" s="2"/>
      <c r="P417" s="2"/>
      <c r="Q417" s="50"/>
      <c r="R417" s="50"/>
      <c r="S417" s="2">
        <f>IFERROR(VLOOKUP(A417,IMPORT_DESISTENCIA!$A$2:$Q2273,14,0),"NÃO")</f>
        <v>0</v>
      </c>
      <c r="T417" s="35"/>
    </row>
    <row r="418" spans="1:20" ht="45" customHeight="1" x14ac:dyDescent="0.25">
      <c r="A418" s="2" t="str">
        <f t="shared" si="1"/>
        <v/>
      </c>
      <c r="B418" s="2"/>
      <c r="C418" s="43"/>
      <c r="D418" s="2"/>
      <c r="E418" s="2"/>
      <c r="F418" s="2"/>
      <c r="G418" s="11"/>
      <c r="H418" s="11"/>
      <c r="I418" s="2"/>
      <c r="J418" s="2"/>
      <c r="K418" s="2"/>
      <c r="L418" s="10"/>
      <c r="M418" s="9"/>
      <c r="N418" s="2"/>
      <c r="O418" s="2"/>
      <c r="P418" s="2"/>
      <c r="Q418" s="50"/>
      <c r="R418" s="50"/>
      <c r="S418" s="2">
        <f>IFERROR(VLOOKUP(A418,IMPORT_DESISTENCIA!$A$2:$Q2273,14,0),"NÃO")</f>
        <v>0</v>
      </c>
      <c r="T418" s="35"/>
    </row>
    <row r="419" spans="1:20" ht="45" customHeight="1" x14ac:dyDescent="0.25">
      <c r="A419" s="2" t="str">
        <f t="shared" si="1"/>
        <v/>
      </c>
      <c r="B419" s="2"/>
      <c r="C419" s="43"/>
      <c r="D419" s="2"/>
      <c r="E419" s="2"/>
      <c r="F419" s="2"/>
      <c r="G419" s="11"/>
      <c r="H419" s="11"/>
      <c r="I419" s="2"/>
      <c r="J419" s="2"/>
      <c r="K419" s="2"/>
      <c r="L419" s="10"/>
      <c r="M419" s="9"/>
      <c r="N419" s="2"/>
      <c r="O419" s="2"/>
      <c r="P419" s="2"/>
      <c r="Q419" s="50"/>
      <c r="R419" s="50"/>
      <c r="S419" s="2">
        <f>IFERROR(VLOOKUP(A419,IMPORT_DESISTENCIA!$A$2:$Q2273,14,0),"NÃO")</f>
        <v>0</v>
      </c>
      <c r="T419" s="35"/>
    </row>
    <row r="420" spans="1:20" ht="45" customHeight="1" x14ac:dyDescent="0.25">
      <c r="A420" s="2" t="str">
        <f t="shared" si="1"/>
        <v/>
      </c>
      <c r="B420" s="2"/>
      <c r="C420" s="43"/>
      <c r="D420" s="2"/>
      <c r="E420" s="2"/>
      <c r="F420" s="2"/>
      <c r="G420" s="11"/>
      <c r="H420" s="11"/>
      <c r="I420" s="2"/>
      <c r="J420" s="2"/>
      <c r="K420" s="2"/>
      <c r="L420" s="10"/>
      <c r="M420" s="9"/>
      <c r="N420" s="2"/>
      <c r="O420" s="2"/>
      <c r="P420" s="2"/>
      <c r="Q420" s="50"/>
      <c r="R420" s="50"/>
      <c r="S420" s="2">
        <f>IFERROR(VLOOKUP(A420,IMPORT_DESISTENCIA!$A$2:$Q2273,14,0),"NÃO")</f>
        <v>0</v>
      </c>
      <c r="T420" s="35"/>
    </row>
    <row r="421" spans="1:20" ht="45" customHeight="1" x14ac:dyDescent="0.25">
      <c r="A421" s="2" t="str">
        <f t="shared" si="1"/>
        <v/>
      </c>
      <c r="B421" s="2"/>
      <c r="C421" s="43"/>
      <c r="D421" s="2"/>
      <c r="E421" s="2"/>
      <c r="F421" s="2"/>
      <c r="G421" s="11"/>
      <c r="H421" s="11"/>
      <c r="I421" s="2"/>
      <c r="J421" s="2"/>
      <c r="K421" s="2"/>
      <c r="L421" s="10"/>
      <c r="M421" s="9"/>
      <c r="N421" s="2"/>
      <c r="O421" s="2"/>
      <c r="P421" s="2"/>
      <c r="Q421" s="50"/>
      <c r="R421" s="50"/>
      <c r="S421" s="2">
        <f>IFERROR(VLOOKUP(A421,IMPORT_DESISTENCIA!$A$2:$Q2273,14,0),"NÃO")</f>
        <v>0</v>
      </c>
      <c r="T421" s="35"/>
    </row>
    <row r="422" spans="1:20" ht="45" customHeight="1" x14ac:dyDescent="0.25">
      <c r="A422" s="2" t="str">
        <f t="shared" si="1"/>
        <v/>
      </c>
      <c r="B422" s="2"/>
      <c r="C422" s="43"/>
      <c r="D422" s="2"/>
      <c r="E422" s="2"/>
      <c r="F422" s="2"/>
      <c r="G422" s="11"/>
      <c r="H422" s="11"/>
      <c r="I422" s="2"/>
      <c r="J422" s="2"/>
      <c r="K422" s="2"/>
      <c r="L422" s="10"/>
      <c r="M422" s="9"/>
      <c r="N422" s="2"/>
      <c r="O422" s="2"/>
      <c r="P422" s="2"/>
      <c r="Q422" s="50"/>
      <c r="R422" s="50"/>
      <c r="S422" s="2">
        <f>IFERROR(VLOOKUP(A422,IMPORT_DESISTENCIA!$A$2:$Q2273,14,0),"NÃO")</f>
        <v>0</v>
      </c>
      <c r="T422" s="35"/>
    </row>
    <row r="423" spans="1:20" ht="45" customHeight="1" x14ac:dyDescent="0.25">
      <c r="A423" s="2" t="str">
        <f t="shared" si="1"/>
        <v/>
      </c>
      <c r="B423" s="2"/>
      <c r="C423" s="43"/>
      <c r="D423" s="2"/>
      <c r="E423" s="2"/>
      <c r="F423" s="2"/>
      <c r="G423" s="11"/>
      <c r="H423" s="11"/>
      <c r="I423" s="2"/>
      <c r="J423" s="2"/>
      <c r="K423" s="2"/>
      <c r="L423" s="10"/>
      <c r="M423" s="9"/>
      <c r="N423" s="2"/>
      <c r="O423" s="2"/>
      <c r="P423" s="2"/>
      <c r="Q423" s="50"/>
      <c r="R423" s="50"/>
      <c r="S423" s="2">
        <f>IFERROR(VLOOKUP(A423,IMPORT_DESISTENCIA!$A$2:$Q2273,14,0),"NÃO")</f>
        <v>0</v>
      </c>
      <c r="T423" s="35"/>
    </row>
    <row r="424" spans="1:20" ht="45" customHeight="1" x14ac:dyDescent="0.25">
      <c r="A424" s="2" t="str">
        <f t="shared" si="1"/>
        <v/>
      </c>
      <c r="B424" s="2"/>
      <c r="C424" s="43"/>
      <c r="D424" s="2"/>
      <c r="E424" s="2"/>
      <c r="F424" s="2"/>
      <c r="G424" s="11"/>
      <c r="H424" s="11"/>
      <c r="I424" s="2"/>
      <c r="J424" s="2"/>
      <c r="K424" s="2"/>
      <c r="L424" s="10"/>
      <c r="M424" s="9"/>
      <c r="N424" s="2"/>
      <c r="O424" s="2"/>
      <c r="P424" s="2"/>
      <c r="Q424" s="50"/>
      <c r="R424" s="50"/>
      <c r="S424" s="2">
        <f>IFERROR(VLOOKUP(A424,IMPORT_DESISTENCIA!$A$2:$Q2273,14,0),"NÃO")</f>
        <v>0</v>
      </c>
      <c r="T424" s="35"/>
    </row>
    <row r="425" spans="1:20" ht="45" customHeight="1" x14ac:dyDescent="0.25">
      <c r="A425" s="2" t="str">
        <f t="shared" si="1"/>
        <v/>
      </c>
      <c r="B425" s="2"/>
      <c r="C425" s="43"/>
      <c r="D425" s="2"/>
      <c r="E425" s="2"/>
      <c r="F425" s="2"/>
      <c r="G425" s="11"/>
      <c r="H425" s="11"/>
      <c r="I425" s="2"/>
      <c r="J425" s="2"/>
      <c r="K425" s="2"/>
      <c r="L425" s="10"/>
      <c r="M425" s="9"/>
      <c r="N425" s="2"/>
      <c r="O425" s="2"/>
      <c r="P425" s="2"/>
      <c r="Q425" s="50"/>
      <c r="R425" s="50"/>
      <c r="S425" s="2">
        <f>IFERROR(VLOOKUP(A425,IMPORT_DESISTENCIA!$A$2:$Q2273,14,0),"NÃO")</f>
        <v>0</v>
      </c>
      <c r="T425" s="35"/>
    </row>
    <row r="426" spans="1:20" ht="45" customHeight="1" x14ac:dyDescent="0.25">
      <c r="A426" s="2" t="str">
        <f t="shared" si="1"/>
        <v/>
      </c>
      <c r="B426" s="2"/>
      <c r="C426" s="43"/>
      <c r="D426" s="2"/>
      <c r="E426" s="2"/>
      <c r="F426" s="2"/>
      <c r="G426" s="11"/>
      <c r="H426" s="11"/>
      <c r="I426" s="2"/>
      <c r="J426" s="2"/>
      <c r="K426" s="2"/>
      <c r="L426" s="10"/>
      <c r="M426" s="9"/>
      <c r="N426" s="2"/>
      <c r="O426" s="2"/>
      <c r="P426" s="2"/>
      <c r="Q426" s="50"/>
      <c r="R426" s="50"/>
      <c r="S426" s="2">
        <f>IFERROR(VLOOKUP(A426,IMPORT_DESISTENCIA!$A$2:$Q2273,14,0),"NÃO")</f>
        <v>0</v>
      </c>
      <c r="T426" s="35"/>
    </row>
    <row r="427" spans="1:20" ht="45" customHeight="1" x14ac:dyDescent="0.25">
      <c r="A427" s="2" t="str">
        <f t="shared" si="1"/>
        <v/>
      </c>
      <c r="B427" s="2"/>
      <c r="C427" s="43"/>
      <c r="D427" s="2"/>
      <c r="E427" s="2"/>
      <c r="F427" s="2"/>
      <c r="G427" s="11"/>
      <c r="H427" s="11"/>
      <c r="I427" s="2"/>
      <c r="J427" s="2"/>
      <c r="K427" s="2"/>
      <c r="L427" s="10"/>
      <c r="M427" s="9"/>
      <c r="N427" s="2"/>
      <c r="O427" s="2"/>
      <c r="P427" s="2"/>
      <c r="Q427" s="50"/>
      <c r="R427" s="50"/>
      <c r="S427" s="2">
        <f>IFERROR(VLOOKUP(A427,IMPORT_DESISTENCIA!$A$2:$Q2273,14,0),"NÃO")</f>
        <v>0</v>
      </c>
      <c r="T427" s="35"/>
    </row>
    <row r="428" spans="1:20" ht="45" customHeight="1" x14ac:dyDescent="0.25">
      <c r="A428" s="2" t="str">
        <f t="shared" si="1"/>
        <v/>
      </c>
      <c r="B428" s="2"/>
      <c r="C428" s="43"/>
      <c r="D428" s="2"/>
      <c r="E428" s="2"/>
      <c r="F428" s="2"/>
      <c r="G428" s="11"/>
      <c r="H428" s="11"/>
      <c r="I428" s="2"/>
      <c r="J428" s="2"/>
      <c r="K428" s="2"/>
      <c r="L428" s="10"/>
      <c r="M428" s="9"/>
      <c r="N428" s="2"/>
      <c r="O428" s="2"/>
      <c r="P428" s="2"/>
      <c r="Q428" s="50"/>
      <c r="R428" s="50"/>
      <c r="S428" s="2">
        <f>IFERROR(VLOOKUP(A428,IMPORT_DESISTENCIA!$A$2:$Q2273,14,0),"NÃO")</f>
        <v>0</v>
      </c>
      <c r="T428" s="35"/>
    </row>
    <row r="429" spans="1:20" ht="45" customHeight="1" x14ac:dyDescent="0.25">
      <c r="A429" s="2" t="str">
        <f t="shared" si="1"/>
        <v/>
      </c>
      <c r="B429" s="2"/>
      <c r="C429" s="43"/>
      <c r="D429" s="2"/>
      <c r="E429" s="2"/>
      <c r="F429" s="2"/>
      <c r="G429" s="11"/>
      <c r="H429" s="11"/>
      <c r="I429" s="2"/>
      <c r="J429" s="2"/>
      <c r="K429" s="2"/>
      <c r="L429" s="10"/>
      <c r="M429" s="9"/>
      <c r="N429" s="2"/>
      <c r="O429" s="2"/>
      <c r="P429" s="2"/>
      <c r="Q429" s="50"/>
      <c r="R429" s="50"/>
      <c r="S429" s="2">
        <f>IFERROR(VLOOKUP(A429,IMPORT_DESISTENCIA!$A$2:$Q2273,14,0),"NÃO")</f>
        <v>0</v>
      </c>
      <c r="T429" s="35"/>
    </row>
    <row r="430" spans="1:20" ht="45" customHeight="1" x14ac:dyDescent="0.25">
      <c r="A430" s="2" t="str">
        <f t="shared" si="1"/>
        <v/>
      </c>
      <c r="B430" s="2"/>
      <c r="C430" s="43"/>
      <c r="D430" s="2"/>
      <c r="E430" s="2"/>
      <c r="F430" s="2"/>
      <c r="G430" s="11"/>
      <c r="H430" s="11"/>
      <c r="I430" s="2"/>
      <c r="J430" s="2"/>
      <c r="K430" s="2"/>
      <c r="L430" s="10"/>
      <c r="M430" s="9"/>
      <c r="N430" s="2"/>
      <c r="O430" s="2"/>
      <c r="P430" s="2"/>
      <c r="Q430" s="50"/>
      <c r="R430" s="50"/>
      <c r="S430" s="2">
        <f>IFERROR(VLOOKUP(A430,IMPORT_DESISTENCIA!$A$2:$Q2273,14,0),"NÃO")</f>
        <v>0</v>
      </c>
      <c r="T430" s="35"/>
    </row>
    <row r="431" spans="1:20" ht="45" customHeight="1" x14ac:dyDescent="0.25">
      <c r="A431" s="2" t="str">
        <f t="shared" si="1"/>
        <v/>
      </c>
      <c r="B431" s="2"/>
      <c r="C431" s="43"/>
      <c r="D431" s="2"/>
      <c r="E431" s="2"/>
      <c r="F431" s="2"/>
      <c r="G431" s="11"/>
      <c r="H431" s="11"/>
      <c r="I431" s="2"/>
      <c r="J431" s="2"/>
      <c r="K431" s="2"/>
      <c r="L431" s="10"/>
      <c r="M431" s="9"/>
      <c r="N431" s="2"/>
      <c r="O431" s="2"/>
      <c r="P431" s="2"/>
      <c r="Q431" s="50"/>
      <c r="R431" s="50"/>
      <c r="S431" s="2">
        <f>IFERROR(VLOOKUP(A431,IMPORT_DESISTENCIA!$A$2:$Q2273,14,0),"NÃO")</f>
        <v>0</v>
      </c>
      <c r="T431" s="35"/>
    </row>
    <row r="432" spans="1:20" ht="45" customHeight="1" x14ac:dyDescent="0.25">
      <c r="A432" s="2" t="str">
        <f t="shared" si="1"/>
        <v/>
      </c>
      <c r="B432" s="2"/>
      <c r="C432" s="43"/>
      <c r="D432" s="2"/>
      <c r="E432" s="2"/>
      <c r="F432" s="2"/>
      <c r="G432" s="11"/>
      <c r="H432" s="11"/>
      <c r="I432" s="2"/>
      <c r="J432" s="2"/>
      <c r="K432" s="2"/>
      <c r="L432" s="10"/>
      <c r="M432" s="9"/>
      <c r="N432" s="2"/>
      <c r="O432" s="2"/>
      <c r="P432" s="2"/>
      <c r="Q432" s="50"/>
      <c r="R432" s="50"/>
      <c r="S432" s="2">
        <f>IFERROR(VLOOKUP(A432,IMPORT_DESISTENCIA!$A$2:$Q2273,14,0),"NÃO")</f>
        <v>0</v>
      </c>
      <c r="T432" s="35"/>
    </row>
    <row r="433" spans="1:20" ht="45" customHeight="1" x14ac:dyDescent="0.25">
      <c r="A433" s="2" t="str">
        <f t="shared" si="1"/>
        <v/>
      </c>
      <c r="B433" s="2"/>
      <c r="C433" s="43"/>
      <c r="D433" s="2"/>
      <c r="E433" s="2"/>
      <c r="F433" s="2"/>
      <c r="G433" s="11"/>
      <c r="H433" s="11"/>
      <c r="I433" s="2"/>
      <c r="J433" s="2"/>
      <c r="K433" s="2"/>
      <c r="L433" s="10"/>
      <c r="M433" s="9"/>
      <c r="N433" s="2"/>
      <c r="O433" s="2"/>
      <c r="P433" s="2"/>
      <c r="Q433" s="50"/>
      <c r="R433" s="50"/>
      <c r="S433" s="2">
        <f>IFERROR(VLOOKUP(A433,IMPORT_DESISTENCIA!$A$2:$Q2273,14,0),"NÃO")</f>
        <v>0</v>
      </c>
      <c r="T433" s="35"/>
    </row>
    <row r="434" spans="1:20" ht="45" customHeight="1" x14ac:dyDescent="0.25">
      <c r="A434" s="2" t="str">
        <f t="shared" si="1"/>
        <v/>
      </c>
      <c r="B434" s="2"/>
      <c r="C434" s="43"/>
      <c r="D434" s="2"/>
      <c r="E434" s="2"/>
      <c r="F434" s="2"/>
      <c r="G434" s="11"/>
      <c r="H434" s="11"/>
      <c r="I434" s="2"/>
      <c r="J434" s="2"/>
      <c r="K434" s="2"/>
      <c r="L434" s="10"/>
      <c r="M434" s="9"/>
      <c r="N434" s="2"/>
      <c r="O434" s="2"/>
      <c r="P434" s="2"/>
      <c r="Q434" s="50"/>
      <c r="R434" s="50"/>
      <c r="S434" s="2">
        <f>IFERROR(VLOOKUP(A434,IMPORT_DESISTENCIA!$A$2:$Q2273,14,0),"NÃO")</f>
        <v>0</v>
      </c>
      <c r="T434" s="35"/>
    </row>
    <row r="435" spans="1:20" ht="45" customHeight="1" x14ac:dyDescent="0.25">
      <c r="A435" s="2" t="str">
        <f t="shared" si="1"/>
        <v/>
      </c>
      <c r="B435" s="2"/>
      <c r="C435" s="43"/>
      <c r="D435" s="2"/>
      <c r="E435" s="2"/>
      <c r="F435" s="2"/>
      <c r="G435" s="11"/>
      <c r="H435" s="11"/>
      <c r="I435" s="2"/>
      <c r="J435" s="2"/>
      <c r="K435" s="2"/>
      <c r="L435" s="10"/>
      <c r="M435" s="9"/>
      <c r="N435" s="2"/>
      <c r="O435" s="2"/>
      <c r="P435" s="2"/>
      <c r="Q435" s="50"/>
      <c r="R435" s="50"/>
      <c r="S435" s="2">
        <f>IFERROR(VLOOKUP(A435,IMPORT_DESISTENCIA!$A$2:$Q2273,14,0),"NÃO")</f>
        <v>0</v>
      </c>
      <c r="T435" s="35"/>
    </row>
    <row r="436" spans="1:20" ht="45" customHeight="1" x14ac:dyDescent="0.25">
      <c r="A436" s="2" t="str">
        <f t="shared" si="1"/>
        <v/>
      </c>
      <c r="B436" s="2"/>
      <c r="C436" s="43"/>
      <c r="D436" s="2"/>
      <c r="E436" s="2"/>
      <c r="F436" s="2"/>
      <c r="G436" s="11"/>
      <c r="H436" s="11"/>
      <c r="I436" s="2"/>
      <c r="J436" s="2"/>
      <c r="K436" s="2"/>
      <c r="L436" s="10"/>
      <c r="M436" s="9"/>
      <c r="N436" s="2"/>
      <c r="O436" s="2"/>
      <c r="P436" s="2"/>
      <c r="Q436" s="50"/>
      <c r="R436" s="50"/>
      <c r="S436" s="2">
        <f>IFERROR(VLOOKUP(A436,IMPORT_DESISTENCIA!$A$2:$Q2273,14,0),"NÃO")</f>
        <v>0</v>
      </c>
      <c r="T436" s="35"/>
    </row>
    <row r="437" spans="1:20" ht="45" customHeight="1" x14ac:dyDescent="0.25">
      <c r="A437" s="2" t="str">
        <f t="shared" si="1"/>
        <v/>
      </c>
      <c r="B437" s="2"/>
      <c r="C437" s="43"/>
      <c r="D437" s="2"/>
      <c r="E437" s="2"/>
      <c r="F437" s="2"/>
      <c r="G437" s="11"/>
      <c r="H437" s="11"/>
      <c r="I437" s="2"/>
      <c r="J437" s="2"/>
      <c r="K437" s="2"/>
      <c r="L437" s="10"/>
      <c r="M437" s="9"/>
      <c r="N437" s="2"/>
      <c r="O437" s="2"/>
      <c r="P437" s="2"/>
      <c r="Q437" s="50"/>
      <c r="R437" s="50"/>
      <c r="S437" s="2">
        <f>IFERROR(VLOOKUP(A437,IMPORT_DESISTENCIA!$A$2:$Q2273,14,0),"NÃO")</f>
        <v>0</v>
      </c>
      <c r="T437" s="35"/>
    </row>
    <row r="438" spans="1:20" ht="45" customHeight="1" x14ac:dyDescent="0.25">
      <c r="A438" s="2" t="str">
        <f t="shared" si="1"/>
        <v/>
      </c>
      <c r="B438" s="2"/>
      <c r="C438" s="43"/>
      <c r="D438" s="2"/>
      <c r="E438" s="2"/>
      <c r="F438" s="2"/>
      <c r="G438" s="11"/>
      <c r="H438" s="11"/>
      <c r="I438" s="2"/>
      <c r="J438" s="2"/>
      <c r="K438" s="2"/>
      <c r="L438" s="10"/>
      <c r="M438" s="9"/>
      <c r="N438" s="2"/>
      <c r="O438" s="2"/>
      <c r="P438" s="2"/>
      <c r="Q438" s="50"/>
      <c r="R438" s="50"/>
      <c r="S438" s="2">
        <f>IFERROR(VLOOKUP(A438,IMPORT_DESISTENCIA!$A$2:$Q2273,14,0),"NÃO")</f>
        <v>0</v>
      </c>
      <c r="T438" s="35"/>
    </row>
    <row r="439" spans="1:20" ht="45" customHeight="1" x14ac:dyDescent="0.25">
      <c r="A439" s="2" t="str">
        <f t="shared" si="1"/>
        <v/>
      </c>
      <c r="B439" s="2"/>
      <c r="C439" s="43"/>
      <c r="D439" s="2"/>
      <c r="E439" s="2"/>
      <c r="F439" s="2"/>
      <c r="G439" s="11"/>
      <c r="H439" s="11"/>
      <c r="I439" s="2"/>
      <c r="J439" s="2"/>
      <c r="K439" s="2"/>
      <c r="L439" s="10"/>
      <c r="M439" s="9"/>
      <c r="N439" s="2"/>
      <c r="O439" s="2"/>
      <c r="P439" s="2"/>
      <c r="Q439" s="50"/>
      <c r="R439" s="50"/>
      <c r="S439" s="2">
        <f>IFERROR(VLOOKUP(A439,IMPORT_DESISTENCIA!$A$2:$Q2273,14,0),"NÃO")</f>
        <v>0</v>
      </c>
      <c r="T439" s="35"/>
    </row>
    <row r="440" spans="1:20" ht="45" customHeight="1" x14ac:dyDescent="0.25">
      <c r="A440" s="2" t="str">
        <f t="shared" si="1"/>
        <v/>
      </c>
      <c r="B440" s="2"/>
      <c r="C440" s="43"/>
      <c r="D440" s="2"/>
      <c r="E440" s="2"/>
      <c r="F440" s="2"/>
      <c r="G440" s="11"/>
      <c r="H440" s="11"/>
      <c r="I440" s="2"/>
      <c r="J440" s="2"/>
      <c r="K440" s="2"/>
      <c r="L440" s="10"/>
      <c r="M440" s="9"/>
      <c r="N440" s="2"/>
      <c r="O440" s="2"/>
      <c r="P440" s="2"/>
      <c r="Q440" s="50"/>
      <c r="R440" s="50"/>
      <c r="S440" s="2">
        <f>IFERROR(VLOOKUP(A440,IMPORT_DESISTENCIA!$A$2:$Q2273,14,0),"NÃO")</f>
        <v>0</v>
      </c>
      <c r="T440" s="35"/>
    </row>
    <row r="441" spans="1:20" ht="45" customHeight="1" x14ac:dyDescent="0.25">
      <c r="A441" s="2" t="str">
        <f t="shared" si="1"/>
        <v/>
      </c>
      <c r="B441" s="2"/>
      <c r="C441" s="43"/>
      <c r="D441" s="2"/>
      <c r="E441" s="2"/>
      <c r="F441" s="2"/>
      <c r="G441" s="11"/>
      <c r="H441" s="11"/>
      <c r="I441" s="2"/>
      <c r="J441" s="2"/>
      <c r="K441" s="2"/>
      <c r="L441" s="10"/>
      <c r="M441" s="9"/>
      <c r="N441" s="2"/>
      <c r="O441" s="2"/>
      <c r="P441" s="2"/>
      <c r="Q441" s="50"/>
      <c r="R441" s="50"/>
      <c r="S441" s="2">
        <f>IFERROR(VLOOKUP(A441,IMPORT_DESISTENCIA!$A$2:$Q2273,14,0),"NÃO")</f>
        <v>0</v>
      </c>
      <c r="T441" s="35"/>
    </row>
    <row r="442" spans="1:20" ht="45" customHeight="1" x14ac:dyDescent="0.25">
      <c r="A442" s="2" t="str">
        <f t="shared" si="1"/>
        <v/>
      </c>
      <c r="B442" s="2"/>
      <c r="C442" s="43"/>
      <c r="D442" s="2"/>
      <c r="E442" s="2"/>
      <c r="F442" s="2"/>
      <c r="G442" s="11"/>
      <c r="H442" s="11"/>
      <c r="I442" s="2"/>
      <c r="J442" s="2"/>
      <c r="K442" s="2"/>
      <c r="L442" s="10"/>
      <c r="M442" s="9"/>
      <c r="N442" s="2"/>
      <c r="O442" s="2"/>
      <c r="P442" s="2"/>
      <c r="Q442" s="50"/>
      <c r="R442" s="50"/>
      <c r="S442" s="2">
        <f>IFERROR(VLOOKUP(A442,IMPORT_DESISTENCIA!$A$2:$Q2273,14,0),"NÃO")</f>
        <v>0</v>
      </c>
      <c r="T442" s="35"/>
    </row>
    <row r="443" spans="1:20" ht="45" customHeight="1" x14ac:dyDescent="0.25">
      <c r="A443" s="2" t="str">
        <f t="shared" si="1"/>
        <v/>
      </c>
      <c r="B443" s="2"/>
      <c r="C443" s="43"/>
      <c r="D443" s="2"/>
      <c r="E443" s="2"/>
      <c r="F443" s="2"/>
      <c r="G443" s="11"/>
      <c r="H443" s="11"/>
      <c r="I443" s="2"/>
      <c r="J443" s="2"/>
      <c r="K443" s="2"/>
      <c r="L443" s="10"/>
      <c r="M443" s="9"/>
      <c r="N443" s="2"/>
      <c r="O443" s="2"/>
      <c r="P443" s="2"/>
      <c r="Q443" s="50"/>
      <c r="R443" s="50"/>
      <c r="S443" s="2">
        <f>IFERROR(VLOOKUP(A443,IMPORT_DESISTENCIA!$A$2:$Q2273,14,0),"NÃO")</f>
        <v>0</v>
      </c>
      <c r="T443" s="35"/>
    </row>
    <row r="444" spans="1:20" ht="45" customHeight="1" x14ac:dyDescent="0.25">
      <c r="A444" s="2" t="str">
        <f t="shared" si="1"/>
        <v/>
      </c>
      <c r="B444" s="2"/>
      <c r="C444" s="43"/>
      <c r="D444" s="2"/>
      <c r="E444" s="2"/>
      <c r="F444" s="2"/>
      <c r="G444" s="11"/>
      <c r="H444" s="11"/>
      <c r="I444" s="2"/>
      <c r="J444" s="2"/>
      <c r="K444" s="2"/>
      <c r="L444" s="10"/>
      <c r="M444" s="9"/>
      <c r="N444" s="2"/>
      <c r="O444" s="2"/>
      <c r="P444" s="2"/>
      <c r="Q444" s="50"/>
      <c r="R444" s="50"/>
      <c r="S444" s="2">
        <f>IFERROR(VLOOKUP(A444,IMPORT_DESISTENCIA!$A$2:$Q2273,14,0),"NÃO")</f>
        <v>0</v>
      </c>
      <c r="T444" s="35"/>
    </row>
    <row r="445" spans="1:20" ht="45" customHeight="1" x14ac:dyDescent="0.25">
      <c r="A445" s="2" t="str">
        <f t="shared" si="1"/>
        <v/>
      </c>
      <c r="B445" s="2"/>
      <c r="C445" s="43"/>
      <c r="D445" s="2"/>
      <c r="E445" s="2"/>
      <c r="F445" s="2"/>
      <c r="G445" s="11"/>
      <c r="H445" s="11"/>
      <c r="I445" s="2"/>
      <c r="J445" s="2"/>
      <c r="K445" s="2"/>
      <c r="L445" s="10"/>
      <c r="M445" s="9"/>
      <c r="N445" s="2"/>
      <c r="O445" s="2"/>
      <c r="P445" s="2"/>
      <c r="Q445" s="50"/>
      <c r="R445" s="50"/>
      <c r="S445" s="2">
        <f>IFERROR(VLOOKUP(A445,IMPORT_DESISTENCIA!$A$2:$Q2273,14,0),"NÃO")</f>
        <v>0</v>
      </c>
      <c r="T445" s="35"/>
    </row>
    <row r="446" spans="1:20" ht="45" customHeight="1" x14ac:dyDescent="0.25">
      <c r="A446" s="2" t="str">
        <f t="shared" si="1"/>
        <v/>
      </c>
      <c r="B446" s="2"/>
      <c r="C446" s="43"/>
      <c r="D446" s="2"/>
      <c r="E446" s="2"/>
      <c r="F446" s="2"/>
      <c r="G446" s="11"/>
      <c r="H446" s="11"/>
      <c r="I446" s="2"/>
      <c r="J446" s="2"/>
      <c r="K446" s="2"/>
      <c r="L446" s="10"/>
      <c r="M446" s="9"/>
      <c r="N446" s="2"/>
      <c r="O446" s="2"/>
      <c r="P446" s="2"/>
      <c r="Q446" s="50"/>
      <c r="R446" s="50"/>
      <c r="S446" s="2">
        <f>IFERROR(VLOOKUP(A446,IMPORT_DESISTENCIA!$A$2:$Q2273,14,0),"NÃO")</f>
        <v>0</v>
      </c>
      <c r="T446" s="35"/>
    </row>
    <row r="447" spans="1:20" ht="45" customHeight="1" x14ac:dyDescent="0.25">
      <c r="A447" s="2" t="str">
        <f t="shared" si="1"/>
        <v/>
      </c>
      <c r="B447" s="2"/>
      <c r="C447" s="43"/>
      <c r="D447" s="2"/>
      <c r="E447" s="2"/>
      <c r="F447" s="2"/>
      <c r="G447" s="11"/>
      <c r="H447" s="11"/>
      <c r="I447" s="2"/>
      <c r="J447" s="2"/>
      <c r="K447" s="2"/>
      <c r="L447" s="10"/>
      <c r="M447" s="9"/>
      <c r="N447" s="2"/>
      <c r="O447" s="2"/>
      <c r="P447" s="2"/>
      <c r="Q447" s="50"/>
      <c r="R447" s="50"/>
      <c r="S447" s="2">
        <f>IFERROR(VLOOKUP(A447,IMPORT_DESISTENCIA!$A$2:$Q2273,14,0),"NÃO")</f>
        <v>0</v>
      </c>
      <c r="T447" s="35"/>
    </row>
    <row r="448" spans="1:20" ht="45" customHeight="1" x14ac:dyDescent="0.25">
      <c r="A448" s="2" t="str">
        <f t="shared" si="1"/>
        <v/>
      </c>
      <c r="B448" s="2"/>
      <c r="C448" s="43"/>
      <c r="D448" s="2"/>
      <c r="E448" s="2"/>
      <c r="F448" s="2"/>
      <c r="G448" s="11"/>
      <c r="H448" s="11"/>
      <c r="I448" s="2"/>
      <c r="J448" s="2"/>
      <c r="K448" s="2"/>
      <c r="L448" s="10"/>
      <c r="M448" s="9"/>
      <c r="N448" s="2"/>
      <c r="O448" s="2"/>
      <c r="P448" s="2"/>
      <c r="Q448" s="50"/>
      <c r="R448" s="50"/>
      <c r="S448" s="2">
        <f>IFERROR(VLOOKUP(A448,IMPORT_DESISTENCIA!$A$2:$Q2273,14,0),"NÃO")</f>
        <v>0</v>
      </c>
      <c r="T448" s="35"/>
    </row>
    <row r="449" spans="1:20" ht="45" customHeight="1" x14ac:dyDescent="0.25">
      <c r="A449" s="2" t="str">
        <f t="shared" si="1"/>
        <v/>
      </c>
      <c r="B449" s="2"/>
      <c r="C449" s="43"/>
      <c r="D449" s="2"/>
      <c r="E449" s="2"/>
      <c r="F449" s="2"/>
      <c r="G449" s="11"/>
      <c r="H449" s="11"/>
      <c r="I449" s="2"/>
      <c r="J449" s="2"/>
      <c r="K449" s="2"/>
      <c r="L449" s="10"/>
      <c r="M449" s="9"/>
      <c r="N449" s="2"/>
      <c r="O449" s="2"/>
      <c r="P449" s="2"/>
      <c r="Q449" s="50"/>
      <c r="R449" s="50"/>
      <c r="S449" s="2">
        <f>IFERROR(VLOOKUP(A449,IMPORT_DESISTENCIA!$A$2:$Q2273,14,0),"NÃO")</f>
        <v>0</v>
      </c>
      <c r="T449" s="35"/>
    </row>
    <row r="450" spans="1:20" ht="45" customHeight="1" x14ac:dyDescent="0.25">
      <c r="A450" s="2" t="str">
        <f t="shared" si="1"/>
        <v/>
      </c>
      <c r="B450" s="2"/>
      <c r="C450" s="43"/>
      <c r="D450" s="2"/>
      <c r="E450" s="2"/>
      <c r="F450" s="2"/>
      <c r="G450" s="11"/>
      <c r="H450" s="11"/>
      <c r="I450" s="2"/>
      <c r="J450" s="2"/>
      <c r="K450" s="2"/>
      <c r="L450" s="10"/>
      <c r="M450" s="9"/>
      <c r="N450" s="2"/>
      <c r="O450" s="2"/>
      <c r="P450" s="2"/>
      <c r="Q450" s="50"/>
      <c r="R450" s="50"/>
      <c r="S450" s="2">
        <f>IFERROR(VLOOKUP(A450,IMPORT_DESISTENCIA!$A$2:$Q2273,14,0),"NÃO")</f>
        <v>0</v>
      </c>
      <c r="T450" s="35"/>
    </row>
    <row r="451" spans="1:20" ht="45" customHeight="1" x14ac:dyDescent="0.25">
      <c r="A451" s="2" t="str">
        <f t="shared" si="1"/>
        <v/>
      </c>
      <c r="B451" s="2"/>
      <c r="C451" s="43"/>
      <c r="D451" s="2"/>
      <c r="E451" s="2"/>
      <c r="F451" s="2"/>
      <c r="G451" s="11"/>
      <c r="H451" s="11"/>
      <c r="I451" s="2"/>
      <c r="J451" s="2"/>
      <c r="K451" s="2"/>
      <c r="L451" s="10"/>
      <c r="M451" s="9"/>
      <c r="N451" s="2"/>
      <c r="O451" s="2"/>
      <c r="P451" s="2"/>
      <c r="Q451" s="50"/>
      <c r="R451" s="50"/>
      <c r="S451" s="2">
        <f>IFERROR(VLOOKUP(A451,IMPORT_DESISTENCIA!$A$2:$Q2273,14,0),"NÃO")</f>
        <v>0</v>
      </c>
      <c r="T451" s="35"/>
    </row>
    <row r="452" spans="1:20" ht="45" customHeight="1" x14ac:dyDescent="0.25">
      <c r="A452" s="2" t="str">
        <f t="shared" si="1"/>
        <v/>
      </c>
      <c r="B452" s="2"/>
      <c r="C452" s="43"/>
      <c r="D452" s="2"/>
      <c r="E452" s="2"/>
      <c r="F452" s="2"/>
      <c r="G452" s="11"/>
      <c r="H452" s="11"/>
      <c r="I452" s="2"/>
      <c r="J452" s="2"/>
      <c r="K452" s="2"/>
      <c r="L452" s="10"/>
      <c r="M452" s="9"/>
      <c r="N452" s="2"/>
      <c r="O452" s="2"/>
      <c r="P452" s="2"/>
      <c r="Q452" s="50"/>
      <c r="R452" s="50"/>
      <c r="S452" s="2">
        <f>IFERROR(VLOOKUP(A452,IMPORT_DESISTENCIA!$A$2:$Q2273,14,0),"NÃO")</f>
        <v>0</v>
      </c>
      <c r="T452" s="35"/>
    </row>
    <row r="453" spans="1:20" ht="45" customHeight="1" x14ac:dyDescent="0.25">
      <c r="A453" s="2" t="str">
        <f t="shared" si="1"/>
        <v/>
      </c>
      <c r="B453" s="2"/>
      <c r="C453" s="43"/>
      <c r="D453" s="2"/>
      <c r="E453" s="2"/>
      <c r="F453" s="2"/>
      <c r="G453" s="11"/>
      <c r="H453" s="11"/>
      <c r="I453" s="2"/>
      <c r="J453" s="2"/>
      <c r="K453" s="2"/>
      <c r="L453" s="10"/>
      <c r="M453" s="9"/>
      <c r="N453" s="2"/>
      <c r="O453" s="2"/>
      <c r="P453" s="2"/>
      <c r="Q453" s="50"/>
      <c r="R453" s="50"/>
      <c r="S453" s="2">
        <f>IFERROR(VLOOKUP(A453,IMPORT_DESISTENCIA!$A$2:$Q2273,14,0),"NÃO")</f>
        <v>0</v>
      </c>
      <c r="T453" s="35"/>
    </row>
    <row r="454" spans="1:20" ht="45" customHeight="1" x14ac:dyDescent="0.25">
      <c r="A454" s="2" t="str">
        <f t="shared" si="1"/>
        <v/>
      </c>
      <c r="B454" s="2"/>
      <c r="C454" s="43"/>
      <c r="D454" s="2"/>
      <c r="E454" s="2"/>
      <c r="F454" s="2"/>
      <c r="G454" s="11"/>
      <c r="H454" s="11"/>
      <c r="I454" s="2"/>
      <c r="J454" s="2"/>
      <c r="K454" s="2"/>
      <c r="L454" s="10"/>
      <c r="M454" s="9"/>
      <c r="N454" s="2"/>
      <c r="O454" s="2"/>
      <c r="P454" s="2"/>
      <c r="Q454" s="50"/>
      <c r="R454" s="50"/>
      <c r="S454" s="2">
        <f>IFERROR(VLOOKUP(A454,IMPORT_DESISTENCIA!$A$2:$Q2273,14,0),"NÃO")</f>
        <v>0</v>
      </c>
      <c r="T454" s="35"/>
    </row>
    <row r="455" spans="1:20" ht="45" customHeight="1" x14ac:dyDescent="0.25">
      <c r="A455" s="2" t="str">
        <f t="shared" si="1"/>
        <v/>
      </c>
      <c r="B455" s="2"/>
      <c r="C455" s="43"/>
      <c r="D455" s="2"/>
      <c r="E455" s="2"/>
      <c r="F455" s="2"/>
      <c r="G455" s="11"/>
      <c r="H455" s="11"/>
      <c r="I455" s="2"/>
      <c r="J455" s="2"/>
      <c r="K455" s="2"/>
      <c r="L455" s="10"/>
      <c r="M455" s="9"/>
      <c r="N455" s="2"/>
      <c r="O455" s="2"/>
      <c r="P455" s="2"/>
      <c r="Q455" s="50"/>
      <c r="R455" s="50"/>
      <c r="S455" s="2">
        <f>IFERROR(VLOOKUP(A455,IMPORT_DESISTENCIA!$A$2:$Q2273,14,0),"NÃO")</f>
        <v>0</v>
      </c>
      <c r="T455" s="35"/>
    </row>
    <row r="456" spans="1:20" ht="45" customHeight="1" x14ac:dyDescent="0.25">
      <c r="A456" s="2" t="str">
        <f t="shared" si="1"/>
        <v/>
      </c>
      <c r="B456" s="2"/>
      <c r="C456" s="43"/>
      <c r="D456" s="2"/>
      <c r="E456" s="2"/>
      <c r="F456" s="2"/>
      <c r="G456" s="11"/>
      <c r="H456" s="11"/>
      <c r="I456" s="2"/>
      <c r="J456" s="2"/>
      <c r="K456" s="2"/>
      <c r="L456" s="10"/>
      <c r="M456" s="9"/>
      <c r="N456" s="2"/>
      <c r="O456" s="2"/>
      <c r="P456" s="2"/>
      <c r="Q456" s="50"/>
      <c r="R456" s="50"/>
      <c r="S456" s="2">
        <f>IFERROR(VLOOKUP(A456,IMPORT_DESISTENCIA!$A$2:$Q2273,14,0),"NÃO")</f>
        <v>0</v>
      </c>
      <c r="T456" s="35"/>
    </row>
    <row r="457" spans="1:20" ht="45" customHeight="1" x14ac:dyDescent="0.25">
      <c r="A457" s="2" t="str">
        <f t="shared" si="1"/>
        <v/>
      </c>
      <c r="B457" s="2"/>
      <c r="C457" s="43"/>
      <c r="D457" s="2"/>
      <c r="E457" s="2"/>
      <c r="F457" s="2"/>
      <c r="G457" s="11"/>
      <c r="H457" s="11"/>
      <c r="I457" s="2"/>
      <c r="J457" s="2"/>
      <c r="K457" s="2"/>
      <c r="L457" s="10"/>
      <c r="M457" s="9"/>
      <c r="N457" s="2"/>
      <c r="O457" s="2"/>
      <c r="P457" s="2"/>
      <c r="Q457" s="50"/>
      <c r="R457" s="50"/>
      <c r="S457" s="2">
        <f>IFERROR(VLOOKUP(A457,IMPORT_DESISTENCIA!$A$2:$Q2273,14,0),"NÃO")</f>
        <v>0</v>
      </c>
      <c r="T457" s="35"/>
    </row>
    <row r="458" spans="1:20" ht="45" customHeight="1" x14ac:dyDescent="0.25">
      <c r="A458" s="2" t="str">
        <f t="shared" si="1"/>
        <v/>
      </c>
      <c r="B458" s="2"/>
      <c r="C458" s="43"/>
      <c r="D458" s="2"/>
      <c r="E458" s="2"/>
      <c r="F458" s="2"/>
      <c r="G458" s="11"/>
      <c r="H458" s="11"/>
      <c r="I458" s="2"/>
      <c r="J458" s="2"/>
      <c r="K458" s="2"/>
      <c r="L458" s="10"/>
      <c r="M458" s="9"/>
      <c r="N458" s="2"/>
      <c r="O458" s="2"/>
      <c r="P458" s="2"/>
      <c r="Q458" s="50"/>
      <c r="R458" s="50"/>
      <c r="S458" s="2">
        <f>IFERROR(VLOOKUP(A458,IMPORT_DESISTENCIA!$A$2:$Q2273,14,0),"NÃO")</f>
        <v>0</v>
      </c>
      <c r="T458" s="35"/>
    </row>
    <row r="459" spans="1:20" ht="45" customHeight="1" x14ac:dyDescent="0.25">
      <c r="A459" s="2" t="str">
        <f t="shared" si="1"/>
        <v/>
      </c>
      <c r="B459" s="2"/>
      <c r="C459" s="43"/>
      <c r="D459" s="2"/>
      <c r="E459" s="2"/>
      <c r="F459" s="2"/>
      <c r="G459" s="11"/>
      <c r="H459" s="11"/>
      <c r="I459" s="2"/>
      <c r="J459" s="2"/>
      <c r="K459" s="2"/>
      <c r="L459" s="10"/>
      <c r="M459" s="9"/>
      <c r="N459" s="2"/>
      <c r="O459" s="2"/>
      <c r="P459" s="2"/>
      <c r="Q459" s="50"/>
      <c r="R459" s="50"/>
      <c r="S459" s="2">
        <f>IFERROR(VLOOKUP(A459,IMPORT_DESISTENCIA!$A$2:$Q2273,14,0),"NÃO")</f>
        <v>0</v>
      </c>
      <c r="T459" s="35"/>
    </row>
    <row r="460" spans="1:20" ht="45" customHeight="1" x14ac:dyDescent="0.25">
      <c r="A460" s="2" t="str">
        <f t="shared" si="1"/>
        <v/>
      </c>
      <c r="B460" s="2"/>
      <c r="C460" s="43"/>
      <c r="D460" s="2"/>
      <c r="E460" s="2"/>
      <c r="F460" s="2"/>
      <c r="G460" s="11"/>
      <c r="H460" s="11"/>
      <c r="I460" s="2"/>
      <c r="J460" s="2"/>
      <c r="K460" s="2"/>
      <c r="L460" s="10"/>
      <c r="M460" s="9"/>
      <c r="N460" s="2"/>
      <c r="O460" s="2"/>
      <c r="P460" s="2"/>
      <c r="Q460" s="50"/>
      <c r="R460" s="50"/>
      <c r="S460" s="2">
        <f>IFERROR(VLOOKUP(A460,IMPORT_DESISTENCIA!$A$2:$Q2273,14,0),"NÃO")</f>
        <v>0</v>
      </c>
      <c r="T460" s="35"/>
    </row>
    <row r="461" spans="1:20" ht="45" customHeight="1" x14ac:dyDescent="0.25">
      <c r="A461" s="2" t="str">
        <f t="shared" si="1"/>
        <v/>
      </c>
      <c r="B461" s="2"/>
      <c r="C461" s="43"/>
      <c r="D461" s="2"/>
      <c r="E461" s="2"/>
      <c r="F461" s="2"/>
      <c r="G461" s="11"/>
      <c r="H461" s="11"/>
      <c r="I461" s="2"/>
      <c r="J461" s="2"/>
      <c r="K461" s="2"/>
      <c r="L461" s="10"/>
      <c r="M461" s="9"/>
      <c r="N461" s="2"/>
      <c r="O461" s="2"/>
      <c r="P461" s="2"/>
      <c r="Q461" s="50"/>
      <c r="R461" s="50"/>
      <c r="S461" s="2">
        <f>IFERROR(VLOOKUP(A461,IMPORT_DESISTENCIA!$A$2:$Q2273,14,0),"NÃO")</f>
        <v>0</v>
      </c>
      <c r="T461" s="35"/>
    </row>
    <row r="462" spans="1:20" ht="45" customHeight="1" x14ac:dyDescent="0.25">
      <c r="A462" s="2" t="str">
        <f t="shared" si="1"/>
        <v/>
      </c>
      <c r="B462" s="2"/>
      <c r="C462" s="43"/>
      <c r="D462" s="2"/>
      <c r="E462" s="2"/>
      <c r="F462" s="2"/>
      <c r="G462" s="11"/>
      <c r="H462" s="11"/>
      <c r="I462" s="2"/>
      <c r="J462" s="2"/>
      <c r="K462" s="2"/>
      <c r="L462" s="10"/>
      <c r="M462" s="9"/>
      <c r="N462" s="2"/>
      <c r="O462" s="2"/>
      <c r="P462" s="2"/>
      <c r="Q462" s="50"/>
      <c r="R462" s="50"/>
      <c r="S462" s="2">
        <f>IFERROR(VLOOKUP(A462,IMPORT_DESISTENCIA!$A$2:$Q2273,14,0),"NÃO")</f>
        <v>0</v>
      </c>
      <c r="T462" s="35"/>
    </row>
    <row r="463" spans="1:20" ht="45" customHeight="1" x14ac:dyDescent="0.25">
      <c r="A463" s="2" t="str">
        <f t="shared" si="1"/>
        <v/>
      </c>
      <c r="B463" s="2"/>
      <c r="C463" s="43"/>
      <c r="D463" s="2"/>
      <c r="E463" s="2"/>
      <c r="F463" s="2"/>
      <c r="G463" s="11"/>
      <c r="H463" s="11"/>
      <c r="I463" s="2"/>
      <c r="J463" s="2"/>
      <c r="K463" s="2"/>
      <c r="L463" s="10"/>
      <c r="M463" s="9"/>
      <c r="N463" s="2"/>
      <c r="O463" s="2"/>
      <c r="P463" s="2"/>
      <c r="Q463" s="50"/>
      <c r="R463" s="50"/>
      <c r="S463" s="2">
        <f>IFERROR(VLOOKUP(A463,IMPORT_DESISTENCIA!$A$2:$Q2273,14,0),"NÃO")</f>
        <v>0</v>
      </c>
      <c r="T463" s="35"/>
    </row>
    <row r="464" spans="1:20" ht="45" customHeight="1" x14ac:dyDescent="0.25">
      <c r="A464" s="2" t="str">
        <f t="shared" si="1"/>
        <v/>
      </c>
      <c r="B464" s="2"/>
      <c r="C464" s="43"/>
      <c r="D464" s="2"/>
      <c r="E464" s="2"/>
      <c r="F464" s="2"/>
      <c r="G464" s="11"/>
      <c r="H464" s="11"/>
      <c r="I464" s="2"/>
      <c r="J464" s="2"/>
      <c r="K464" s="2"/>
      <c r="L464" s="10"/>
      <c r="M464" s="9"/>
      <c r="N464" s="2"/>
      <c r="O464" s="2"/>
      <c r="P464" s="2"/>
      <c r="Q464" s="50"/>
      <c r="R464" s="50"/>
      <c r="S464" s="2">
        <f>IFERROR(VLOOKUP(A464,IMPORT_DESISTENCIA!$A$2:$Q2273,14,0),"NÃO")</f>
        <v>0</v>
      </c>
      <c r="T464" s="35"/>
    </row>
    <row r="465" spans="1:20" ht="45" customHeight="1" x14ac:dyDescent="0.25">
      <c r="A465" s="2" t="str">
        <f t="shared" si="1"/>
        <v/>
      </c>
      <c r="B465" s="2"/>
      <c r="C465" s="43"/>
      <c r="D465" s="2"/>
      <c r="E465" s="2"/>
      <c r="F465" s="2"/>
      <c r="G465" s="11"/>
      <c r="H465" s="11"/>
      <c r="I465" s="2"/>
      <c r="J465" s="2"/>
      <c r="K465" s="2"/>
      <c r="L465" s="10"/>
      <c r="M465" s="9"/>
      <c r="N465" s="2"/>
      <c r="O465" s="2"/>
      <c r="P465" s="2"/>
      <c r="Q465" s="50"/>
      <c r="R465" s="50"/>
      <c r="S465" s="2">
        <f>IFERROR(VLOOKUP(A465,IMPORT_DESISTENCIA!$A$2:$Q2273,14,0),"NÃO")</f>
        <v>0</v>
      </c>
      <c r="T465" s="35"/>
    </row>
    <row r="466" spans="1:20" ht="45" customHeight="1" x14ac:dyDescent="0.25">
      <c r="A466" s="2" t="str">
        <f t="shared" si="1"/>
        <v/>
      </c>
      <c r="B466" s="2"/>
      <c r="C466" s="43"/>
      <c r="D466" s="2"/>
      <c r="E466" s="2"/>
      <c r="F466" s="2"/>
      <c r="G466" s="11"/>
      <c r="H466" s="11"/>
      <c r="I466" s="2"/>
      <c r="J466" s="2"/>
      <c r="K466" s="2"/>
      <c r="L466" s="10"/>
      <c r="M466" s="9"/>
      <c r="N466" s="2"/>
      <c r="O466" s="2"/>
      <c r="P466" s="2"/>
      <c r="Q466" s="50"/>
      <c r="R466" s="50"/>
      <c r="S466" s="2">
        <f>IFERROR(VLOOKUP(A466,IMPORT_DESISTENCIA!$A$2:$Q2273,14,0),"NÃO")</f>
        <v>0</v>
      </c>
      <c r="T466" s="35"/>
    </row>
    <row r="467" spans="1:20" ht="45" customHeight="1" x14ac:dyDescent="0.25">
      <c r="A467" s="2" t="str">
        <f t="shared" si="1"/>
        <v/>
      </c>
      <c r="B467" s="2"/>
      <c r="C467" s="43"/>
      <c r="D467" s="2"/>
      <c r="E467" s="2"/>
      <c r="F467" s="2"/>
      <c r="G467" s="11"/>
      <c r="H467" s="11"/>
      <c r="I467" s="2"/>
      <c r="J467" s="2"/>
      <c r="K467" s="2"/>
      <c r="L467" s="10"/>
      <c r="M467" s="9"/>
      <c r="N467" s="2"/>
      <c r="O467" s="2"/>
      <c r="P467" s="2"/>
      <c r="Q467" s="50"/>
      <c r="R467" s="50"/>
      <c r="S467" s="2">
        <f>IFERROR(VLOOKUP(A467,IMPORT_DESISTENCIA!$A$2:$Q2273,14,0),"NÃO")</f>
        <v>0</v>
      </c>
      <c r="T467" s="35"/>
    </row>
    <row r="468" spans="1:20" ht="45" customHeight="1" x14ac:dyDescent="0.25">
      <c r="A468" s="2" t="str">
        <f t="shared" si="1"/>
        <v/>
      </c>
      <c r="B468" s="2"/>
      <c r="C468" s="43"/>
      <c r="D468" s="2"/>
      <c r="E468" s="2"/>
      <c r="F468" s="2"/>
      <c r="G468" s="11"/>
      <c r="H468" s="11"/>
      <c r="I468" s="2"/>
      <c r="J468" s="2"/>
      <c r="K468" s="2"/>
      <c r="L468" s="10"/>
      <c r="M468" s="9"/>
      <c r="N468" s="2"/>
      <c r="O468" s="2"/>
      <c r="P468" s="2"/>
      <c r="Q468" s="50"/>
      <c r="R468" s="50"/>
      <c r="S468" s="2">
        <f>IFERROR(VLOOKUP(A468,IMPORT_DESISTENCIA!$A$2:$Q2273,14,0),"NÃO")</f>
        <v>0</v>
      </c>
      <c r="T468" s="35"/>
    </row>
    <row r="469" spans="1:20" ht="45" customHeight="1" x14ac:dyDescent="0.25">
      <c r="A469" s="2" t="str">
        <f t="shared" si="1"/>
        <v/>
      </c>
      <c r="B469" s="2"/>
      <c r="C469" s="43"/>
      <c r="D469" s="2"/>
      <c r="E469" s="2"/>
      <c r="F469" s="2"/>
      <c r="G469" s="11"/>
      <c r="H469" s="11"/>
      <c r="I469" s="2"/>
      <c r="J469" s="2"/>
      <c r="K469" s="2"/>
      <c r="L469" s="10"/>
      <c r="M469" s="9"/>
      <c r="N469" s="2"/>
      <c r="O469" s="2"/>
      <c r="P469" s="2"/>
      <c r="Q469" s="50"/>
      <c r="R469" s="50"/>
      <c r="S469" s="2">
        <f>IFERROR(VLOOKUP(A469,IMPORT_DESISTENCIA!$A$2:$Q2273,14,0),"NÃO")</f>
        <v>0</v>
      </c>
      <c r="T469" s="35"/>
    </row>
    <row r="470" spans="1:20" ht="45" customHeight="1" x14ac:dyDescent="0.25">
      <c r="A470" s="2" t="str">
        <f t="shared" si="1"/>
        <v/>
      </c>
      <c r="B470" s="2"/>
      <c r="C470" s="43"/>
      <c r="D470" s="2"/>
      <c r="E470" s="2"/>
      <c r="F470" s="2"/>
      <c r="G470" s="11"/>
      <c r="H470" s="11"/>
      <c r="I470" s="2"/>
      <c r="J470" s="2"/>
      <c r="K470" s="2"/>
      <c r="L470" s="10"/>
      <c r="M470" s="9"/>
      <c r="N470" s="2"/>
      <c r="O470" s="2"/>
      <c r="P470" s="2"/>
      <c r="Q470" s="50"/>
      <c r="R470" s="50"/>
      <c r="S470" s="2">
        <f>IFERROR(VLOOKUP(A470,IMPORT_DESISTENCIA!$A$2:$Q2273,14,0),"NÃO")</f>
        <v>0</v>
      </c>
      <c r="T470" s="35"/>
    </row>
    <row r="471" spans="1:20" ht="45" customHeight="1" x14ac:dyDescent="0.25">
      <c r="A471" s="2" t="str">
        <f t="shared" si="1"/>
        <v/>
      </c>
      <c r="B471" s="2"/>
      <c r="C471" s="43"/>
      <c r="D471" s="2"/>
      <c r="E471" s="2"/>
      <c r="F471" s="2"/>
      <c r="G471" s="11"/>
      <c r="H471" s="11"/>
      <c r="I471" s="2"/>
      <c r="J471" s="2"/>
      <c r="K471" s="2"/>
      <c r="L471" s="10"/>
      <c r="M471" s="9"/>
      <c r="N471" s="2"/>
      <c r="O471" s="2"/>
      <c r="P471" s="2"/>
      <c r="Q471" s="50"/>
      <c r="R471" s="50"/>
      <c r="S471" s="2">
        <f>IFERROR(VLOOKUP(A471,IMPORT_DESISTENCIA!$A$2:$Q2273,14,0),"NÃO")</f>
        <v>0</v>
      </c>
      <c r="T471" s="35"/>
    </row>
    <row r="472" spans="1:20" ht="45" customHeight="1" x14ac:dyDescent="0.25">
      <c r="A472" s="2" t="str">
        <f t="shared" si="1"/>
        <v/>
      </c>
      <c r="B472" s="2"/>
      <c r="C472" s="43"/>
      <c r="D472" s="2"/>
      <c r="E472" s="2"/>
      <c r="F472" s="2"/>
      <c r="G472" s="11"/>
      <c r="H472" s="11"/>
      <c r="I472" s="2"/>
      <c r="J472" s="2"/>
      <c r="K472" s="2"/>
      <c r="L472" s="10"/>
      <c r="M472" s="9"/>
      <c r="N472" s="2"/>
      <c r="O472" s="2"/>
      <c r="P472" s="2"/>
      <c r="Q472" s="50"/>
      <c r="R472" s="50"/>
      <c r="S472" s="2">
        <f>IFERROR(VLOOKUP(A472,IMPORT_DESISTENCIA!$A$2:$Q2273,14,0),"NÃO")</f>
        <v>0</v>
      </c>
      <c r="T472" s="35"/>
    </row>
    <row r="473" spans="1:20" ht="45" customHeight="1" x14ac:dyDescent="0.25">
      <c r="A473" s="2" t="str">
        <f t="shared" si="1"/>
        <v/>
      </c>
      <c r="B473" s="2"/>
      <c r="C473" s="43"/>
      <c r="D473" s="2"/>
      <c r="E473" s="2"/>
      <c r="F473" s="2"/>
      <c r="G473" s="11"/>
      <c r="H473" s="11"/>
      <c r="I473" s="2"/>
      <c r="J473" s="2"/>
      <c r="K473" s="2"/>
      <c r="L473" s="10"/>
      <c r="M473" s="9"/>
      <c r="N473" s="2"/>
      <c r="O473" s="2"/>
      <c r="P473" s="2"/>
      <c r="Q473" s="50"/>
      <c r="R473" s="50"/>
      <c r="S473" s="2">
        <f>IFERROR(VLOOKUP(A473,IMPORT_DESISTENCIA!$A$2:$Q2273,14,0),"NÃO")</f>
        <v>0</v>
      </c>
      <c r="T473" s="35"/>
    </row>
    <row r="474" spans="1:20" ht="45" customHeight="1" x14ac:dyDescent="0.25">
      <c r="A474" s="2" t="str">
        <f t="shared" si="1"/>
        <v/>
      </c>
      <c r="B474" s="2"/>
      <c r="C474" s="43"/>
      <c r="D474" s="2"/>
      <c r="E474" s="2"/>
      <c r="F474" s="2"/>
      <c r="G474" s="11"/>
      <c r="H474" s="11"/>
      <c r="I474" s="2"/>
      <c r="J474" s="2"/>
      <c r="K474" s="2"/>
      <c r="L474" s="10"/>
      <c r="M474" s="9"/>
      <c r="N474" s="2"/>
      <c r="O474" s="2"/>
      <c r="P474" s="2"/>
      <c r="Q474" s="50"/>
      <c r="R474" s="50"/>
      <c r="S474" s="2">
        <f>IFERROR(VLOOKUP(A474,IMPORT_DESISTENCIA!$A$2:$Q2273,14,0),"NÃO")</f>
        <v>0</v>
      </c>
      <c r="T474" s="35"/>
    </row>
    <row r="475" spans="1:20" ht="45" customHeight="1" x14ac:dyDescent="0.25">
      <c r="A475" s="2" t="str">
        <f t="shared" si="1"/>
        <v/>
      </c>
      <c r="B475" s="2"/>
      <c r="C475" s="43"/>
      <c r="D475" s="2"/>
      <c r="E475" s="2"/>
      <c r="F475" s="2"/>
      <c r="G475" s="11"/>
      <c r="H475" s="11"/>
      <c r="I475" s="2"/>
      <c r="J475" s="2"/>
      <c r="K475" s="2"/>
      <c r="L475" s="10"/>
      <c r="M475" s="9"/>
      <c r="N475" s="2"/>
      <c r="O475" s="2"/>
      <c r="P475" s="2"/>
      <c r="Q475" s="50"/>
      <c r="R475" s="50"/>
      <c r="S475" s="2">
        <f>IFERROR(VLOOKUP(A475,IMPORT_DESISTENCIA!$A$2:$Q2273,14,0),"NÃO")</f>
        <v>0</v>
      </c>
      <c r="T475" s="35"/>
    </row>
    <row r="476" spans="1:20" ht="45" customHeight="1" x14ac:dyDescent="0.25">
      <c r="A476" s="2" t="str">
        <f t="shared" si="1"/>
        <v/>
      </c>
      <c r="B476" s="2"/>
      <c r="C476" s="43"/>
      <c r="D476" s="2"/>
      <c r="E476" s="2"/>
      <c r="F476" s="2"/>
      <c r="G476" s="11"/>
      <c r="H476" s="11"/>
      <c r="I476" s="2"/>
      <c r="J476" s="2"/>
      <c r="K476" s="2"/>
      <c r="L476" s="10"/>
      <c r="M476" s="9"/>
      <c r="N476" s="2"/>
      <c r="O476" s="2"/>
      <c r="P476" s="2"/>
      <c r="Q476" s="50"/>
      <c r="R476" s="50"/>
      <c r="S476" s="2">
        <f>IFERROR(VLOOKUP(A476,IMPORT_DESISTENCIA!$A$2:$Q2273,14,0),"NÃO")</f>
        <v>0</v>
      </c>
      <c r="T476" s="35"/>
    </row>
    <row r="477" spans="1:20" ht="45" customHeight="1" x14ac:dyDescent="0.25">
      <c r="A477" s="2" t="str">
        <f t="shared" si="1"/>
        <v/>
      </c>
      <c r="B477" s="2"/>
      <c r="C477" s="43"/>
      <c r="D477" s="2"/>
      <c r="E477" s="2"/>
      <c r="F477" s="2"/>
      <c r="G477" s="11"/>
      <c r="H477" s="11"/>
      <c r="I477" s="2"/>
      <c r="J477" s="2"/>
      <c r="K477" s="2"/>
      <c r="L477" s="10"/>
      <c r="M477" s="9"/>
      <c r="N477" s="2"/>
      <c r="O477" s="2"/>
      <c r="P477" s="2"/>
      <c r="Q477" s="50"/>
      <c r="R477" s="50"/>
      <c r="S477" s="2">
        <f>IFERROR(VLOOKUP(A477,IMPORT_DESISTENCIA!$A$2:$Q2273,14,0),"NÃO")</f>
        <v>0</v>
      </c>
      <c r="T477" s="35"/>
    </row>
    <row r="478" spans="1:20" ht="45" customHeight="1" x14ac:dyDescent="0.25">
      <c r="A478" s="2" t="str">
        <f t="shared" si="1"/>
        <v/>
      </c>
      <c r="B478" s="2"/>
      <c r="C478" s="43"/>
      <c r="D478" s="2"/>
      <c r="E478" s="2"/>
      <c r="F478" s="2"/>
      <c r="G478" s="11"/>
      <c r="H478" s="11"/>
      <c r="I478" s="2"/>
      <c r="J478" s="2"/>
      <c r="K478" s="2"/>
      <c r="L478" s="10"/>
      <c r="M478" s="9"/>
      <c r="N478" s="2"/>
      <c r="O478" s="2"/>
      <c r="P478" s="2"/>
      <c r="Q478" s="50"/>
      <c r="R478" s="50"/>
      <c r="S478" s="2">
        <f>IFERROR(VLOOKUP(A478,IMPORT_DESISTENCIA!$A$2:$Q2273,14,0),"NÃO")</f>
        <v>0</v>
      </c>
      <c r="T478" s="35"/>
    </row>
    <row r="479" spans="1:20" ht="45" customHeight="1" x14ac:dyDescent="0.25">
      <c r="A479" s="2" t="str">
        <f t="shared" si="1"/>
        <v/>
      </c>
      <c r="B479" s="2"/>
      <c r="C479" s="43"/>
      <c r="D479" s="2"/>
      <c r="E479" s="2"/>
      <c r="F479" s="2"/>
      <c r="G479" s="11"/>
      <c r="H479" s="11"/>
      <c r="I479" s="2"/>
      <c r="J479" s="2"/>
      <c r="K479" s="2"/>
      <c r="L479" s="10"/>
      <c r="M479" s="9"/>
      <c r="N479" s="2"/>
      <c r="O479" s="2"/>
      <c r="P479" s="2"/>
      <c r="Q479" s="50"/>
      <c r="R479" s="50"/>
      <c r="S479" s="2">
        <f>IFERROR(VLOOKUP(A479,IMPORT_DESISTENCIA!$A$2:$Q2273,14,0),"NÃO")</f>
        <v>0</v>
      </c>
      <c r="T479" s="35"/>
    </row>
    <row r="480" spans="1:20" ht="45" customHeight="1" x14ac:dyDescent="0.25">
      <c r="A480" s="2" t="str">
        <f t="shared" si="1"/>
        <v/>
      </c>
      <c r="B480" s="2"/>
      <c r="C480" s="43"/>
      <c r="D480" s="2"/>
      <c r="E480" s="2"/>
      <c r="F480" s="2"/>
      <c r="G480" s="11"/>
      <c r="H480" s="11"/>
      <c r="I480" s="2"/>
      <c r="J480" s="2"/>
      <c r="K480" s="2"/>
      <c r="L480" s="10"/>
      <c r="M480" s="9"/>
      <c r="N480" s="2"/>
      <c r="O480" s="2"/>
      <c r="P480" s="2"/>
      <c r="Q480" s="50"/>
      <c r="R480" s="50"/>
      <c r="S480" s="2">
        <f>IFERROR(VLOOKUP(A480,IMPORT_DESISTENCIA!$A$2:$Q2273,14,0),"NÃO")</f>
        <v>0</v>
      </c>
      <c r="T480" s="35"/>
    </row>
    <row r="481" spans="1:20" ht="45" customHeight="1" x14ac:dyDescent="0.25">
      <c r="A481" s="2" t="str">
        <f t="shared" si="1"/>
        <v/>
      </c>
      <c r="B481" s="2"/>
      <c r="C481" s="43"/>
      <c r="D481" s="2"/>
      <c r="E481" s="2"/>
      <c r="F481" s="2"/>
      <c r="G481" s="11"/>
      <c r="H481" s="11"/>
      <c r="I481" s="2"/>
      <c r="J481" s="2"/>
      <c r="K481" s="2"/>
      <c r="L481" s="10"/>
      <c r="M481" s="9"/>
      <c r="N481" s="2"/>
      <c r="O481" s="2"/>
      <c r="P481" s="2"/>
      <c r="Q481" s="50"/>
      <c r="R481" s="50"/>
      <c r="S481" s="2">
        <f>IFERROR(VLOOKUP(A481,IMPORT_DESISTENCIA!$A$2:$Q2273,14,0),"NÃO")</f>
        <v>0</v>
      </c>
      <c r="T481" s="35"/>
    </row>
    <row r="482" spans="1:20" ht="45" customHeight="1" x14ac:dyDescent="0.25">
      <c r="A482" s="2" t="str">
        <f t="shared" si="1"/>
        <v/>
      </c>
      <c r="B482" s="2"/>
      <c r="C482" s="43"/>
      <c r="D482" s="2"/>
      <c r="E482" s="2"/>
      <c r="F482" s="2"/>
      <c r="G482" s="11"/>
      <c r="H482" s="11"/>
      <c r="I482" s="2"/>
      <c r="J482" s="2"/>
      <c r="K482" s="2"/>
      <c r="L482" s="10"/>
      <c r="M482" s="9"/>
      <c r="N482" s="2"/>
      <c r="O482" s="2"/>
      <c r="P482" s="2"/>
      <c r="Q482" s="50"/>
      <c r="R482" s="50"/>
      <c r="S482" s="2">
        <f>IFERROR(VLOOKUP(A482,IMPORT_DESISTENCIA!$A$2:$Q2273,14,0),"NÃO")</f>
        <v>0</v>
      </c>
      <c r="T482" s="35"/>
    </row>
    <row r="483" spans="1:20" ht="45" customHeight="1" x14ac:dyDescent="0.25">
      <c r="A483" s="2" t="str">
        <f t="shared" si="1"/>
        <v/>
      </c>
      <c r="B483" s="2"/>
      <c r="C483" s="43"/>
      <c r="D483" s="2"/>
      <c r="E483" s="2"/>
      <c r="F483" s="2"/>
      <c r="G483" s="11"/>
      <c r="H483" s="11"/>
      <c r="I483" s="2"/>
      <c r="J483" s="2"/>
      <c r="K483" s="2"/>
      <c r="L483" s="10"/>
      <c r="M483" s="9"/>
      <c r="N483" s="2"/>
      <c r="O483" s="2"/>
      <c r="P483" s="2"/>
      <c r="Q483" s="50"/>
      <c r="R483" s="50"/>
      <c r="S483" s="2">
        <f>IFERROR(VLOOKUP(A483,IMPORT_DESISTENCIA!$A$2:$Q2273,14,0),"NÃO")</f>
        <v>0</v>
      </c>
      <c r="T483" s="35"/>
    </row>
    <row r="484" spans="1:20" ht="45" customHeight="1" x14ac:dyDescent="0.25">
      <c r="A484" s="2" t="str">
        <f t="shared" si="1"/>
        <v/>
      </c>
      <c r="B484" s="2"/>
      <c r="C484" s="43"/>
      <c r="D484" s="2"/>
      <c r="E484" s="2"/>
      <c r="F484" s="2"/>
      <c r="G484" s="11"/>
      <c r="H484" s="11"/>
      <c r="I484" s="2"/>
      <c r="J484" s="2"/>
      <c r="K484" s="2"/>
      <c r="L484" s="10"/>
      <c r="M484" s="9"/>
      <c r="N484" s="2"/>
      <c r="O484" s="2"/>
      <c r="P484" s="2"/>
      <c r="Q484" s="50"/>
      <c r="R484" s="50"/>
      <c r="S484" s="2">
        <f>IFERROR(VLOOKUP(A484,IMPORT_DESISTENCIA!$A$2:$Q2273,14,0),"NÃO")</f>
        <v>0</v>
      </c>
      <c r="T484" s="35"/>
    </row>
    <row r="485" spans="1:20" ht="45" customHeight="1" x14ac:dyDescent="0.25">
      <c r="A485" s="2" t="str">
        <f t="shared" si="1"/>
        <v/>
      </c>
      <c r="B485" s="2"/>
      <c r="C485" s="43"/>
      <c r="D485" s="2"/>
      <c r="E485" s="2"/>
      <c r="F485" s="2"/>
      <c r="G485" s="11"/>
      <c r="H485" s="11"/>
      <c r="I485" s="2"/>
      <c r="J485" s="2"/>
      <c r="K485" s="2"/>
      <c r="L485" s="10"/>
      <c r="M485" s="9"/>
      <c r="N485" s="2"/>
      <c r="O485" s="2"/>
      <c r="P485" s="2"/>
      <c r="Q485" s="50"/>
      <c r="R485" s="50"/>
      <c r="S485" s="2">
        <f>IFERROR(VLOOKUP(A485,IMPORT_DESISTENCIA!$A$2:$Q2273,14,0),"NÃO")</f>
        <v>0</v>
      </c>
      <c r="T485" s="35"/>
    </row>
    <row r="486" spans="1:20" ht="45" customHeight="1" x14ac:dyDescent="0.25">
      <c r="A486" s="2" t="str">
        <f t="shared" si="1"/>
        <v/>
      </c>
      <c r="B486" s="2"/>
      <c r="C486" s="43"/>
      <c r="D486" s="2"/>
      <c r="E486" s="2"/>
      <c r="F486" s="2"/>
      <c r="G486" s="11"/>
      <c r="H486" s="11"/>
      <c r="I486" s="2"/>
      <c r="J486" s="2"/>
      <c r="K486" s="2"/>
      <c r="L486" s="10"/>
      <c r="M486" s="9"/>
      <c r="N486" s="2"/>
      <c r="O486" s="2"/>
      <c r="P486" s="2"/>
      <c r="Q486" s="50"/>
      <c r="R486" s="50"/>
      <c r="S486" s="2">
        <f>IFERROR(VLOOKUP(A486,IMPORT_DESISTENCIA!$A$2:$Q2273,14,0),"NÃO")</f>
        <v>0</v>
      </c>
      <c r="T486" s="35"/>
    </row>
    <row r="487" spans="1:20" ht="45" customHeight="1" x14ac:dyDescent="0.25">
      <c r="A487" s="2" t="str">
        <f t="shared" si="1"/>
        <v/>
      </c>
      <c r="B487" s="2"/>
      <c r="C487" s="43"/>
      <c r="D487" s="2"/>
      <c r="E487" s="2"/>
      <c r="F487" s="2"/>
      <c r="G487" s="11"/>
      <c r="H487" s="11"/>
      <c r="I487" s="2"/>
      <c r="J487" s="2"/>
      <c r="K487" s="2"/>
      <c r="L487" s="10"/>
      <c r="M487" s="9"/>
      <c r="N487" s="2"/>
      <c r="O487" s="2"/>
      <c r="P487" s="2"/>
      <c r="Q487" s="50"/>
      <c r="R487" s="50"/>
      <c r="S487" s="2">
        <f>IFERROR(VLOOKUP(A487,IMPORT_DESISTENCIA!$A$2:$Q2273,14,0),"NÃO")</f>
        <v>0</v>
      </c>
      <c r="T487" s="35"/>
    </row>
    <row r="488" spans="1:20" ht="45" customHeight="1" x14ac:dyDescent="0.25">
      <c r="A488" s="2" t="str">
        <f t="shared" si="1"/>
        <v/>
      </c>
      <c r="B488" s="2"/>
      <c r="C488" s="43"/>
      <c r="D488" s="2"/>
      <c r="E488" s="2"/>
      <c r="F488" s="2"/>
      <c r="G488" s="11"/>
      <c r="H488" s="11"/>
      <c r="I488" s="2"/>
      <c r="J488" s="2"/>
      <c r="K488" s="2"/>
      <c r="L488" s="10"/>
      <c r="M488" s="9"/>
      <c r="N488" s="2"/>
      <c r="O488" s="2"/>
      <c r="P488" s="2"/>
      <c r="Q488" s="50"/>
      <c r="R488" s="50"/>
      <c r="S488" s="2">
        <f>IFERROR(VLOOKUP(A488,IMPORT_DESISTENCIA!$A$2:$Q2273,14,0),"NÃO")</f>
        <v>0</v>
      </c>
      <c r="T488" s="35"/>
    </row>
    <row r="489" spans="1:20" ht="45" customHeight="1" x14ac:dyDescent="0.25">
      <c r="A489" s="2" t="str">
        <f t="shared" si="1"/>
        <v/>
      </c>
      <c r="B489" s="2"/>
      <c r="C489" s="43"/>
      <c r="D489" s="2"/>
      <c r="E489" s="2"/>
      <c r="F489" s="2"/>
      <c r="G489" s="11"/>
      <c r="H489" s="11"/>
      <c r="I489" s="2"/>
      <c r="J489" s="2"/>
      <c r="K489" s="2"/>
      <c r="L489" s="10"/>
      <c r="M489" s="9"/>
      <c r="N489" s="2"/>
      <c r="O489" s="2"/>
      <c r="P489" s="2"/>
      <c r="Q489" s="50"/>
      <c r="R489" s="50"/>
      <c r="S489" s="2">
        <f>IFERROR(VLOOKUP(A489,IMPORT_DESISTENCIA!$A$2:$Q2273,14,0),"NÃO")</f>
        <v>0</v>
      </c>
      <c r="T489" s="35"/>
    </row>
    <row r="490" spans="1:20" ht="45" customHeight="1" x14ac:dyDescent="0.25">
      <c r="A490" s="2" t="str">
        <f t="shared" si="1"/>
        <v/>
      </c>
      <c r="B490" s="2"/>
      <c r="C490" s="43"/>
      <c r="D490" s="2"/>
      <c r="E490" s="2"/>
      <c r="F490" s="2"/>
      <c r="G490" s="11"/>
      <c r="H490" s="11"/>
      <c r="I490" s="2"/>
      <c r="J490" s="2"/>
      <c r="K490" s="2"/>
      <c r="L490" s="10"/>
      <c r="M490" s="9"/>
      <c r="N490" s="2"/>
      <c r="O490" s="2"/>
      <c r="P490" s="2"/>
      <c r="Q490" s="50"/>
      <c r="R490" s="50"/>
      <c r="S490" s="2">
        <f>IFERROR(VLOOKUP(A490,IMPORT_DESISTENCIA!$A$2:$Q2273,14,0),"NÃO")</f>
        <v>0</v>
      </c>
      <c r="T490" s="35"/>
    </row>
    <row r="491" spans="1:20" ht="45" customHeight="1" x14ac:dyDescent="0.25">
      <c r="A491" s="2" t="str">
        <f t="shared" si="1"/>
        <v/>
      </c>
      <c r="B491" s="2"/>
      <c r="C491" s="43"/>
      <c r="D491" s="2"/>
      <c r="E491" s="2"/>
      <c r="F491" s="2"/>
      <c r="G491" s="11"/>
      <c r="H491" s="11"/>
      <c r="I491" s="2"/>
      <c r="J491" s="2"/>
      <c r="K491" s="2"/>
      <c r="L491" s="10"/>
      <c r="M491" s="9"/>
      <c r="N491" s="2"/>
      <c r="O491" s="2"/>
      <c r="P491" s="2"/>
      <c r="Q491" s="50"/>
      <c r="R491" s="50"/>
      <c r="S491" s="2">
        <f>IFERROR(VLOOKUP(A491,IMPORT_DESISTENCIA!$A$2:$Q2273,14,0),"NÃO")</f>
        <v>0</v>
      </c>
      <c r="T491" s="35"/>
    </row>
    <row r="492" spans="1:20" ht="45" customHeight="1" x14ac:dyDescent="0.25">
      <c r="A492" s="2" t="str">
        <f t="shared" si="1"/>
        <v/>
      </c>
      <c r="B492" s="2"/>
      <c r="C492" s="43"/>
      <c r="D492" s="2"/>
      <c r="E492" s="2"/>
      <c r="F492" s="2"/>
      <c r="G492" s="11"/>
      <c r="H492" s="11"/>
      <c r="I492" s="2"/>
      <c r="J492" s="2"/>
      <c r="K492" s="2"/>
      <c r="L492" s="10"/>
      <c r="M492" s="9"/>
      <c r="N492" s="2"/>
      <c r="O492" s="2"/>
      <c r="P492" s="2"/>
      <c r="Q492" s="50"/>
      <c r="R492" s="50"/>
      <c r="S492" s="2">
        <f>IFERROR(VLOOKUP(A492,IMPORT_DESISTENCIA!$A$2:$Q2273,14,0),"NÃO")</f>
        <v>0</v>
      </c>
      <c r="T492" s="35"/>
    </row>
    <row r="493" spans="1:20" ht="45" customHeight="1" x14ac:dyDescent="0.25">
      <c r="A493" s="2" t="str">
        <f t="shared" si="1"/>
        <v/>
      </c>
      <c r="B493" s="2"/>
      <c r="C493" s="43"/>
      <c r="D493" s="2"/>
      <c r="E493" s="2"/>
      <c r="F493" s="2"/>
      <c r="G493" s="11"/>
      <c r="H493" s="11"/>
      <c r="I493" s="2"/>
      <c r="J493" s="2"/>
      <c r="K493" s="2"/>
      <c r="L493" s="10"/>
      <c r="M493" s="9"/>
      <c r="N493" s="2"/>
      <c r="O493" s="2"/>
      <c r="P493" s="2"/>
      <c r="Q493" s="50"/>
      <c r="R493" s="50"/>
      <c r="S493" s="2">
        <f>IFERROR(VLOOKUP(A493,IMPORT_DESISTENCIA!$A$2:$Q2273,14,0),"NÃO")</f>
        <v>0</v>
      </c>
      <c r="T493" s="35"/>
    </row>
    <row r="494" spans="1:20" ht="45" customHeight="1" x14ac:dyDescent="0.25">
      <c r="A494" s="2" t="str">
        <f t="shared" si="1"/>
        <v/>
      </c>
      <c r="B494" s="2"/>
      <c r="C494" s="43"/>
      <c r="D494" s="2"/>
      <c r="E494" s="2"/>
      <c r="F494" s="2"/>
      <c r="G494" s="11"/>
      <c r="H494" s="11"/>
      <c r="I494" s="2"/>
      <c r="J494" s="2"/>
      <c r="K494" s="2"/>
      <c r="L494" s="10"/>
      <c r="M494" s="9"/>
      <c r="N494" s="2"/>
      <c r="O494" s="2"/>
      <c r="P494" s="2"/>
      <c r="Q494" s="50"/>
      <c r="R494" s="50"/>
      <c r="S494" s="2">
        <f>IFERROR(VLOOKUP(A494,IMPORT_DESISTENCIA!$A$2:$Q2273,14,0),"NÃO")</f>
        <v>0</v>
      </c>
      <c r="T494" s="35"/>
    </row>
    <row r="495" spans="1:20" ht="45" customHeight="1" x14ac:dyDescent="0.25">
      <c r="A495" s="2" t="str">
        <f t="shared" si="1"/>
        <v/>
      </c>
      <c r="B495" s="2"/>
      <c r="C495" s="43"/>
      <c r="D495" s="2"/>
      <c r="E495" s="2"/>
      <c r="F495" s="2"/>
      <c r="G495" s="11"/>
      <c r="H495" s="11"/>
      <c r="I495" s="2"/>
      <c r="J495" s="2"/>
      <c r="K495" s="2"/>
      <c r="L495" s="10"/>
      <c r="M495" s="9"/>
      <c r="N495" s="2"/>
      <c r="O495" s="2"/>
      <c r="P495" s="2"/>
      <c r="Q495" s="50"/>
      <c r="R495" s="50"/>
      <c r="S495" s="2">
        <f>IFERROR(VLOOKUP(A495,IMPORT_DESISTENCIA!$A$2:$Q2273,14,0),"NÃO")</f>
        <v>0</v>
      </c>
      <c r="T495" s="35"/>
    </row>
    <row r="496" spans="1:20" ht="45" customHeight="1" x14ac:dyDescent="0.25">
      <c r="A496" s="2" t="str">
        <f t="shared" si="1"/>
        <v/>
      </c>
      <c r="B496" s="2"/>
      <c r="C496" s="43"/>
      <c r="D496" s="2"/>
      <c r="E496" s="2"/>
      <c r="F496" s="2"/>
      <c r="G496" s="11"/>
      <c r="H496" s="11"/>
      <c r="I496" s="2"/>
      <c r="J496" s="2"/>
      <c r="K496" s="2"/>
      <c r="L496" s="10"/>
      <c r="M496" s="9"/>
      <c r="N496" s="2"/>
      <c r="O496" s="2"/>
      <c r="P496" s="2"/>
      <c r="Q496" s="50"/>
      <c r="R496" s="50"/>
      <c r="S496" s="2">
        <f>IFERROR(VLOOKUP(A496,IMPORT_DESISTENCIA!$A$2:$Q2273,14,0),"NÃO")</f>
        <v>0</v>
      </c>
      <c r="T496" s="35"/>
    </row>
    <row r="497" spans="1:20" ht="45" customHeight="1" x14ac:dyDescent="0.25">
      <c r="A497" s="2" t="str">
        <f t="shared" si="1"/>
        <v/>
      </c>
      <c r="B497" s="2"/>
      <c r="C497" s="43"/>
      <c r="D497" s="2"/>
      <c r="E497" s="2"/>
      <c r="F497" s="2"/>
      <c r="G497" s="11"/>
      <c r="H497" s="11"/>
      <c r="I497" s="2"/>
      <c r="J497" s="2"/>
      <c r="K497" s="2"/>
      <c r="L497" s="10"/>
      <c r="M497" s="9"/>
      <c r="N497" s="2"/>
      <c r="O497" s="2"/>
      <c r="P497" s="2"/>
      <c r="Q497" s="50"/>
      <c r="R497" s="50"/>
      <c r="S497" s="2">
        <f>IFERROR(VLOOKUP(A497,IMPORT_DESISTENCIA!$A$2:$Q2273,14,0),"NÃO")</f>
        <v>0</v>
      </c>
      <c r="T497" s="35"/>
    </row>
    <row r="498" spans="1:20" ht="45" customHeight="1" x14ac:dyDescent="0.25">
      <c r="A498" s="2" t="str">
        <f t="shared" si="1"/>
        <v/>
      </c>
      <c r="B498" s="2"/>
      <c r="C498" s="43"/>
      <c r="D498" s="2"/>
      <c r="E498" s="2"/>
      <c r="F498" s="2"/>
      <c r="G498" s="11"/>
      <c r="H498" s="11"/>
      <c r="I498" s="2"/>
      <c r="J498" s="2"/>
      <c r="K498" s="2"/>
      <c r="L498" s="10"/>
      <c r="M498" s="9"/>
      <c r="N498" s="2"/>
      <c r="O498" s="2"/>
      <c r="P498" s="2"/>
      <c r="Q498" s="50"/>
      <c r="R498" s="50"/>
      <c r="S498" s="2">
        <f>IFERROR(VLOOKUP(A498,IMPORT_DESISTENCIA!$A$2:$Q2273,14,0),"NÃO")</f>
        <v>0</v>
      </c>
      <c r="T498" s="35"/>
    </row>
    <row r="499" spans="1:20" ht="45" customHeight="1" x14ac:dyDescent="0.25">
      <c r="A499" s="2" t="str">
        <f t="shared" si="1"/>
        <v/>
      </c>
      <c r="B499" s="2"/>
      <c r="C499" s="43"/>
      <c r="D499" s="2"/>
      <c r="E499" s="2"/>
      <c r="F499" s="2"/>
      <c r="G499" s="11"/>
      <c r="H499" s="11"/>
      <c r="I499" s="2"/>
      <c r="J499" s="2"/>
      <c r="K499" s="2"/>
      <c r="L499" s="10"/>
      <c r="M499" s="9"/>
      <c r="N499" s="2"/>
      <c r="O499" s="2"/>
      <c r="P499" s="2"/>
      <c r="Q499" s="50"/>
      <c r="R499" s="50"/>
      <c r="S499" s="2">
        <f>IFERROR(VLOOKUP(A499,IMPORT_DESISTENCIA!$A$2:$Q2273,14,0),"NÃO")</f>
        <v>0</v>
      </c>
      <c r="T499" s="35"/>
    </row>
    <row r="500" spans="1:20" ht="45" customHeight="1" x14ac:dyDescent="0.25">
      <c r="A500" s="2" t="str">
        <f t="shared" si="1"/>
        <v/>
      </c>
      <c r="B500" s="2"/>
      <c r="C500" s="43"/>
      <c r="D500" s="2"/>
      <c r="E500" s="2"/>
      <c r="F500" s="2"/>
      <c r="G500" s="11"/>
      <c r="H500" s="11"/>
      <c r="I500" s="2"/>
      <c r="J500" s="2"/>
      <c r="K500" s="2"/>
      <c r="L500" s="10"/>
      <c r="M500" s="9"/>
      <c r="N500" s="2"/>
      <c r="O500" s="2"/>
      <c r="P500" s="2"/>
      <c r="Q500" s="50"/>
      <c r="R500" s="50"/>
      <c r="S500" s="2">
        <f>IFERROR(VLOOKUP(A500,IMPORT_DESISTENCIA!$A$2:$Q2273,14,0),"NÃO")</f>
        <v>0</v>
      </c>
      <c r="T500" s="35"/>
    </row>
    <row r="501" spans="1:20" ht="45" customHeight="1" x14ac:dyDescent="0.25">
      <c r="A501" s="2" t="str">
        <f t="shared" si="1"/>
        <v/>
      </c>
      <c r="B501" s="2"/>
      <c r="C501" s="43"/>
      <c r="D501" s="2"/>
      <c r="E501" s="2"/>
      <c r="F501" s="2"/>
      <c r="G501" s="11"/>
      <c r="H501" s="11"/>
      <c r="I501" s="2"/>
      <c r="J501" s="2"/>
      <c r="K501" s="2"/>
      <c r="L501" s="10"/>
      <c r="M501" s="9"/>
      <c r="N501" s="2"/>
      <c r="O501" s="2"/>
      <c r="P501" s="2"/>
      <c r="Q501" s="50"/>
      <c r="R501" s="50"/>
      <c r="S501" s="2">
        <f>IFERROR(VLOOKUP(A501,IMPORT_DESISTENCIA!$A$2:$Q2273,14,0),"NÃO")</f>
        <v>0</v>
      </c>
      <c r="T501" s="35"/>
    </row>
    <row r="502" spans="1:20" ht="45" customHeight="1" x14ac:dyDescent="0.25">
      <c r="A502" s="2" t="str">
        <f t="shared" si="1"/>
        <v/>
      </c>
      <c r="B502" s="2"/>
      <c r="C502" s="43"/>
      <c r="D502" s="2"/>
      <c r="E502" s="2"/>
      <c r="F502" s="2"/>
      <c r="G502" s="11"/>
      <c r="H502" s="11"/>
      <c r="I502" s="2"/>
      <c r="J502" s="2"/>
      <c r="K502" s="2"/>
      <c r="L502" s="10"/>
      <c r="M502" s="9"/>
      <c r="N502" s="2"/>
      <c r="O502" s="2"/>
      <c r="P502" s="2"/>
      <c r="Q502" s="50"/>
      <c r="R502" s="50"/>
      <c r="S502" s="2">
        <f>IFERROR(VLOOKUP(A502,IMPORT_DESISTENCIA!$A$2:$Q2273,14,0),"NÃO")</f>
        <v>0</v>
      </c>
      <c r="T502" s="35"/>
    </row>
    <row r="503" spans="1:20" ht="45" customHeight="1" x14ac:dyDescent="0.25">
      <c r="A503" s="2" t="str">
        <f t="shared" si="1"/>
        <v/>
      </c>
      <c r="B503" s="2"/>
      <c r="C503" s="43"/>
      <c r="D503" s="2"/>
      <c r="E503" s="2"/>
      <c r="F503" s="2"/>
      <c r="G503" s="11"/>
      <c r="H503" s="11"/>
      <c r="I503" s="2"/>
      <c r="J503" s="2"/>
      <c r="K503" s="2"/>
      <c r="L503" s="10"/>
      <c r="M503" s="9"/>
      <c r="N503" s="2"/>
      <c r="O503" s="2"/>
      <c r="P503" s="2"/>
      <c r="Q503" s="50"/>
      <c r="R503" s="50"/>
      <c r="S503" s="2">
        <f>IFERROR(VLOOKUP(A503,IMPORT_DESISTENCIA!$A$2:$Q2273,14,0),"NÃO")</f>
        <v>0</v>
      </c>
      <c r="T503" s="35"/>
    </row>
    <row r="504" spans="1:20" ht="45" customHeight="1" x14ac:dyDescent="0.25">
      <c r="A504" s="2" t="str">
        <f t="shared" si="1"/>
        <v/>
      </c>
      <c r="B504" s="2"/>
      <c r="C504" s="43"/>
      <c r="D504" s="2"/>
      <c r="E504" s="2"/>
      <c r="F504" s="2"/>
      <c r="G504" s="11"/>
      <c r="H504" s="11"/>
      <c r="I504" s="2"/>
      <c r="J504" s="2"/>
      <c r="K504" s="2"/>
      <c r="L504" s="10"/>
      <c r="M504" s="9"/>
      <c r="N504" s="2"/>
      <c r="O504" s="2"/>
      <c r="P504" s="2"/>
      <c r="Q504" s="50"/>
      <c r="R504" s="50"/>
      <c r="S504" s="2">
        <f>IFERROR(VLOOKUP(A504,IMPORT_DESISTENCIA!$A$2:$Q2273,14,0),"NÃO")</f>
        <v>0</v>
      </c>
      <c r="T504" s="35"/>
    </row>
    <row r="505" spans="1:20" ht="45" customHeight="1" x14ac:dyDescent="0.25">
      <c r="A505" s="2" t="str">
        <f t="shared" si="1"/>
        <v/>
      </c>
      <c r="B505" s="2"/>
      <c r="C505" s="43"/>
      <c r="D505" s="2"/>
      <c r="E505" s="2"/>
      <c r="F505" s="2"/>
      <c r="G505" s="11"/>
      <c r="H505" s="11"/>
      <c r="I505" s="2"/>
      <c r="J505" s="2"/>
      <c r="K505" s="2"/>
      <c r="L505" s="10"/>
      <c r="M505" s="9"/>
      <c r="N505" s="2"/>
      <c r="O505" s="2"/>
      <c r="P505" s="2"/>
      <c r="Q505" s="50"/>
      <c r="R505" s="50"/>
      <c r="S505" s="2">
        <f>IFERROR(VLOOKUP(A505,IMPORT_DESISTENCIA!$A$2:$Q2273,14,0),"NÃO")</f>
        <v>0</v>
      </c>
      <c r="T505" s="35"/>
    </row>
    <row r="506" spans="1:20" ht="45" customHeight="1" x14ac:dyDescent="0.25">
      <c r="A506" s="2" t="str">
        <f t="shared" si="1"/>
        <v/>
      </c>
      <c r="B506" s="2"/>
      <c r="C506" s="43"/>
      <c r="D506" s="2"/>
      <c r="E506" s="2"/>
      <c r="F506" s="2"/>
      <c r="G506" s="11"/>
      <c r="H506" s="11"/>
      <c r="I506" s="2"/>
      <c r="J506" s="2"/>
      <c r="K506" s="2"/>
      <c r="L506" s="10"/>
      <c r="M506" s="9"/>
      <c r="N506" s="2"/>
      <c r="O506" s="2"/>
      <c r="P506" s="2"/>
      <c r="Q506" s="50"/>
      <c r="R506" s="50"/>
      <c r="S506" s="2">
        <f>IFERROR(VLOOKUP(A506,IMPORT_DESISTENCIA!$A$2:$Q2273,14,0),"NÃO")</f>
        <v>0</v>
      </c>
      <c r="T506" s="35"/>
    </row>
    <row r="507" spans="1:20" ht="45" customHeight="1" x14ac:dyDescent="0.25">
      <c r="A507" s="2" t="str">
        <f t="shared" si="1"/>
        <v/>
      </c>
      <c r="B507" s="2"/>
      <c r="C507" s="43"/>
      <c r="D507" s="2"/>
      <c r="E507" s="2"/>
      <c r="F507" s="2"/>
      <c r="G507" s="11"/>
      <c r="H507" s="11"/>
      <c r="I507" s="2"/>
      <c r="J507" s="2"/>
      <c r="K507" s="2"/>
      <c r="L507" s="10"/>
      <c r="M507" s="9"/>
      <c r="N507" s="2"/>
      <c r="O507" s="2"/>
      <c r="P507" s="2"/>
      <c r="Q507" s="50"/>
      <c r="R507" s="50"/>
      <c r="S507" s="2">
        <f>IFERROR(VLOOKUP(A507,IMPORT_DESISTENCIA!$A$2:$Q2273,14,0),"NÃO")</f>
        <v>0</v>
      </c>
      <c r="T507" s="35"/>
    </row>
    <row r="508" spans="1:20" ht="45" customHeight="1" x14ac:dyDescent="0.25">
      <c r="A508" s="2" t="str">
        <f t="shared" si="1"/>
        <v/>
      </c>
      <c r="B508" s="2"/>
      <c r="C508" s="43"/>
      <c r="D508" s="2"/>
      <c r="E508" s="2"/>
      <c r="F508" s="2"/>
      <c r="G508" s="11"/>
      <c r="H508" s="11"/>
      <c r="I508" s="2"/>
      <c r="J508" s="2"/>
      <c r="K508" s="2"/>
      <c r="L508" s="10"/>
      <c r="M508" s="9"/>
      <c r="N508" s="2"/>
      <c r="O508" s="2"/>
      <c r="P508" s="2"/>
      <c r="Q508" s="50"/>
      <c r="R508" s="50"/>
      <c r="S508" s="2">
        <f>IFERROR(VLOOKUP(A508,IMPORT_DESISTENCIA!$A$2:$Q2273,14,0),"NÃO")</f>
        <v>0</v>
      </c>
      <c r="T508" s="35"/>
    </row>
    <row r="509" spans="1:20" ht="45" customHeight="1" x14ac:dyDescent="0.25">
      <c r="A509" s="2" t="str">
        <f t="shared" si="1"/>
        <v/>
      </c>
      <c r="B509" s="2"/>
      <c r="C509" s="43"/>
      <c r="D509" s="2"/>
      <c r="E509" s="2"/>
      <c r="F509" s="2"/>
      <c r="G509" s="11"/>
      <c r="H509" s="11"/>
      <c r="I509" s="2"/>
      <c r="J509" s="2"/>
      <c r="K509" s="2"/>
      <c r="L509" s="10"/>
      <c r="M509" s="9"/>
      <c r="N509" s="2"/>
      <c r="O509" s="2"/>
      <c r="P509" s="2"/>
      <c r="Q509" s="50"/>
      <c r="R509" s="50"/>
      <c r="S509" s="2">
        <f>IFERROR(VLOOKUP(A509,IMPORT_DESISTENCIA!$A$2:$Q2273,14,0),"NÃO")</f>
        <v>0</v>
      </c>
      <c r="T509" s="35"/>
    </row>
    <row r="510" spans="1:20" ht="45" customHeight="1" x14ac:dyDescent="0.25">
      <c r="A510" s="2" t="str">
        <f t="shared" si="1"/>
        <v/>
      </c>
      <c r="B510" s="2"/>
      <c r="C510" s="43"/>
      <c r="D510" s="2"/>
      <c r="E510" s="2"/>
      <c r="F510" s="2"/>
      <c r="G510" s="11"/>
      <c r="H510" s="11"/>
      <c r="I510" s="2"/>
      <c r="J510" s="2"/>
      <c r="K510" s="2"/>
      <c r="L510" s="10"/>
      <c r="M510" s="9"/>
      <c r="N510" s="2"/>
      <c r="O510" s="2"/>
      <c r="P510" s="2"/>
      <c r="Q510" s="50"/>
      <c r="R510" s="50"/>
      <c r="S510" s="2">
        <f>IFERROR(VLOOKUP(A510,IMPORT_DESISTENCIA!$A$2:$Q2273,14,0),"NÃO")</f>
        <v>0</v>
      </c>
      <c r="T510" s="35"/>
    </row>
    <row r="511" spans="1:20" ht="45" customHeight="1" x14ac:dyDescent="0.25">
      <c r="A511" s="2" t="str">
        <f t="shared" si="1"/>
        <v/>
      </c>
      <c r="B511" s="2"/>
      <c r="C511" s="43"/>
      <c r="D511" s="2"/>
      <c r="E511" s="2"/>
      <c r="F511" s="2"/>
      <c r="G511" s="11"/>
      <c r="H511" s="11"/>
      <c r="I511" s="2"/>
      <c r="J511" s="2"/>
      <c r="K511" s="2"/>
      <c r="L511" s="10"/>
      <c r="M511" s="9"/>
      <c r="N511" s="2"/>
      <c r="O511" s="2"/>
      <c r="P511" s="2"/>
      <c r="Q511" s="50"/>
      <c r="R511" s="50"/>
      <c r="S511" s="2">
        <f>IFERROR(VLOOKUP(A511,IMPORT_DESISTENCIA!$A$2:$Q2273,14,0),"NÃO")</f>
        <v>0</v>
      </c>
      <c r="T511" s="35"/>
    </row>
    <row r="512" spans="1:20" ht="45" customHeight="1" x14ac:dyDescent="0.25">
      <c r="A512" s="2" t="str">
        <f t="shared" si="1"/>
        <v/>
      </c>
      <c r="B512" s="2"/>
      <c r="C512" s="43"/>
      <c r="D512" s="2"/>
      <c r="E512" s="2"/>
      <c r="F512" s="2"/>
      <c r="G512" s="11"/>
      <c r="H512" s="11"/>
      <c r="I512" s="2"/>
      <c r="J512" s="2"/>
      <c r="K512" s="2"/>
      <c r="L512" s="10"/>
      <c r="M512" s="9"/>
      <c r="N512" s="2"/>
      <c r="O512" s="2"/>
      <c r="P512" s="2"/>
      <c r="Q512" s="50"/>
      <c r="R512" s="50"/>
      <c r="S512" s="2">
        <f>IFERROR(VLOOKUP(A512,IMPORT_DESISTENCIA!$A$2:$Q2273,14,0),"NÃO")</f>
        <v>0</v>
      </c>
      <c r="T512" s="35"/>
    </row>
    <row r="513" spans="1:20" ht="45" customHeight="1" x14ac:dyDescent="0.25">
      <c r="A513" s="2" t="str">
        <f t="shared" si="1"/>
        <v/>
      </c>
      <c r="B513" s="2"/>
      <c r="C513" s="43"/>
      <c r="D513" s="2"/>
      <c r="E513" s="2"/>
      <c r="F513" s="2"/>
      <c r="G513" s="11"/>
      <c r="H513" s="11"/>
      <c r="I513" s="2"/>
      <c r="J513" s="2"/>
      <c r="K513" s="2"/>
      <c r="L513" s="10"/>
      <c r="M513" s="9"/>
      <c r="N513" s="2"/>
      <c r="O513" s="2"/>
      <c r="P513" s="2"/>
      <c r="Q513" s="50"/>
      <c r="R513" s="50"/>
      <c r="S513" s="2">
        <f>IFERROR(VLOOKUP(A513,IMPORT_DESISTENCIA!$A$2:$Q2273,14,0),"NÃO")</f>
        <v>0</v>
      </c>
      <c r="T513" s="35"/>
    </row>
    <row r="514" spans="1:20" ht="45" customHeight="1" x14ac:dyDescent="0.25">
      <c r="A514" s="2" t="str">
        <f t="shared" si="1"/>
        <v/>
      </c>
      <c r="B514" s="2"/>
      <c r="C514" s="43"/>
      <c r="D514" s="2"/>
      <c r="E514" s="2"/>
      <c r="F514" s="2"/>
      <c r="G514" s="11"/>
      <c r="H514" s="11"/>
      <c r="I514" s="2"/>
      <c r="J514" s="2"/>
      <c r="K514" s="2"/>
      <c r="L514" s="10"/>
      <c r="M514" s="9"/>
      <c r="N514" s="2"/>
      <c r="O514" s="2"/>
      <c r="P514" s="2"/>
      <c r="Q514" s="50"/>
      <c r="R514" s="50"/>
      <c r="S514" s="2">
        <f>IFERROR(VLOOKUP(A514,IMPORT_DESISTENCIA!$A$2:$Q2273,14,0),"NÃO")</f>
        <v>0</v>
      </c>
      <c r="T514" s="35"/>
    </row>
    <row r="515" spans="1:20" ht="45" customHeight="1" x14ac:dyDescent="0.25">
      <c r="A515" s="2" t="str">
        <f t="shared" si="1"/>
        <v/>
      </c>
      <c r="B515" s="2"/>
      <c r="C515" s="43"/>
      <c r="D515" s="2"/>
      <c r="E515" s="2"/>
      <c r="F515" s="2"/>
      <c r="G515" s="11"/>
      <c r="H515" s="11"/>
      <c r="I515" s="2"/>
      <c r="J515" s="2"/>
      <c r="K515" s="2"/>
      <c r="L515" s="10"/>
      <c r="M515" s="9"/>
      <c r="N515" s="2"/>
      <c r="O515" s="2"/>
      <c r="P515" s="2"/>
      <c r="Q515" s="50"/>
      <c r="R515" s="50"/>
      <c r="S515" s="2">
        <f>IFERROR(VLOOKUP(A515,IMPORT_DESISTENCIA!$A$2:$Q2273,14,0),"NÃO")</f>
        <v>0</v>
      </c>
      <c r="T515" s="35"/>
    </row>
    <row r="516" spans="1:20" ht="45" customHeight="1" x14ac:dyDescent="0.25">
      <c r="A516" s="2" t="str">
        <f t="shared" si="1"/>
        <v/>
      </c>
      <c r="B516" s="2"/>
      <c r="C516" s="43"/>
      <c r="D516" s="2"/>
      <c r="E516" s="2"/>
      <c r="F516" s="2"/>
      <c r="G516" s="11"/>
      <c r="H516" s="11"/>
      <c r="I516" s="2"/>
      <c r="J516" s="2"/>
      <c r="K516" s="2"/>
      <c r="L516" s="10"/>
      <c r="M516" s="9"/>
      <c r="N516" s="2"/>
      <c r="O516" s="2"/>
      <c r="P516" s="2"/>
      <c r="Q516" s="50"/>
      <c r="R516" s="50"/>
      <c r="S516" s="2">
        <f>IFERROR(VLOOKUP(A516,IMPORT_DESISTENCIA!$A$2:$Q2273,14,0),"NÃO")</f>
        <v>0</v>
      </c>
      <c r="T516" s="35"/>
    </row>
    <row r="517" spans="1:20" ht="45" customHeight="1" x14ac:dyDescent="0.25">
      <c r="A517" s="2" t="str">
        <f t="shared" si="1"/>
        <v/>
      </c>
      <c r="B517" s="2"/>
      <c r="C517" s="43"/>
      <c r="D517" s="2"/>
      <c r="E517" s="2"/>
      <c r="F517" s="2"/>
      <c r="G517" s="11"/>
      <c r="H517" s="11"/>
      <c r="I517" s="2"/>
      <c r="J517" s="2"/>
      <c r="K517" s="2"/>
      <c r="L517" s="10"/>
      <c r="M517" s="9"/>
      <c r="N517" s="2"/>
      <c r="O517" s="2"/>
      <c r="P517" s="2"/>
      <c r="Q517" s="50"/>
      <c r="R517" s="50"/>
      <c r="S517" s="2">
        <f>IFERROR(VLOOKUP(A517,IMPORT_DESISTENCIA!$A$2:$Q2273,14,0),"NÃO")</f>
        <v>0</v>
      </c>
      <c r="T517" s="35"/>
    </row>
    <row r="518" spans="1:20" ht="45" customHeight="1" x14ac:dyDescent="0.25">
      <c r="A518" s="2" t="str">
        <f t="shared" si="1"/>
        <v/>
      </c>
      <c r="B518" s="2"/>
      <c r="C518" s="43"/>
      <c r="D518" s="2"/>
      <c r="E518" s="2"/>
      <c r="F518" s="2"/>
      <c r="G518" s="11"/>
      <c r="H518" s="11"/>
      <c r="I518" s="2"/>
      <c r="J518" s="2"/>
      <c r="K518" s="2"/>
      <c r="L518" s="10"/>
      <c r="M518" s="9"/>
      <c r="N518" s="2"/>
      <c r="O518" s="2"/>
      <c r="P518" s="2"/>
      <c r="Q518" s="50"/>
      <c r="R518" s="50"/>
      <c r="S518" s="2">
        <f>IFERROR(VLOOKUP(A518,IMPORT_DESISTENCIA!$A$2:$Q2273,14,0),"NÃO")</f>
        <v>0</v>
      </c>
      <c r="T518" s="35"/>
    </row>
    <row r="519" spans="1:20" ht="45" customHeight="1" x14ac:dyDescent="0.25">
      <c r="A519" s="2" t="str">
        <f t="shared" si="1"/>
        <v/>
      </c>
      <c r="B519" s="2"/>
      <c r="C519" s="43"/>
      <c r="D519" s="2"/>
      <c r="E519" s="2"/>
      <c r="F519" s="2"/>
      <c r="G519" s="11"/>
      <c r="H519" s="11"/>
      <c r="I519" s="2"/>
      <c r="J519" s="2"/>
      <c r="K519" s="2"/>
      <c r="L519" s="10"/>
      <c r="M519" s="9"/>
      <c r="N519" s="2"/>
      <c r="O519" s="2"/>
      <c r="P519" s="2"/>
      <c r="Q519" s="50"/>
      <c r="R519" s="50"/>
      <c r="S519" s="2">
        <f>IFERROR(VLOOKUP(A519,IMPORT_DESISTENCIA!$A$2:$Q2273,14,0),"NÃO")</f>
        <v>0</v>
      </c>
      <c r="T519" s="35"/>
    </row>
    <row r="520" spans="1:20" ht="45" customHeight="1" x14ac:dyDescent="0.25">
      <c r="A520" s="2" t="str">
        <f t="shared" si="1"/>
        <v/>
      </c>
      <c r="B520" s="2"/>
      <c r="C520" s="43"/>
      <c r="D520" s="2"/>
      <c r="E520" s="2"/>
      <c r="F520" s="2"/>
      <c r="G520" s="11"/>
      <c r="H520" s="11"/>
      <c r="I520" s="2"/>
      <c r="J520" s="2"/>
      <c r="K520" s="2"/>
      <c r="L520" s="10"/>
      <c r="M520" s="9"/>
      <c r="N520" s="2"/>
      <c r="O520" s="2"/>
      <c r="P520" s="2"/>
      <c r="Q520" s="50"/>
      <c r="R520" s="50"/>
      <c r="S520" s="2">
        <f>IFERROR(VLOOKUP(A520,IMPORT_DESISTENCIA!$A$2:$Q2273,14,0),"NÃO")</f>
        <v>0</v>
      </c>
      <c r="T520" s="35"/>
    </row>
    <row r="521" spans="1:20" ht="45" customHeight="1" x14ac:dyDescent="0.25">
      <c r="A521" s="2" t="str">
        <f t="shared" si="1"/>
        <v/>
      </c>
      <c r="B521" s="2"/>
      <c r="C521" s="43"/>
      <c r="D521" s="2"/>
      <c r="E521" s="2"/>
      <c r="F521" s="2"/>
      <c r="G521" s="11"/>
      <c r="H521" s="11"/>
      <c r="I521" s="2"/>
      <c r="J521" s="2"/>
      <c r="K521" s="2"/>
      <c r="L521" s="10"/>
      <c r="M521" s="9"/>
      <c r="N521" s="2"/>
      <c r="O521" s="2"/>
      <c r="P521" s="2"/>
      <c r="Q521" s="50"/>
      <c r="R521" s="50"/>
      <c r="S521" s="2">
        <f>IFERROR(VLOOKUP(A521,IMPORT_DESISTENCIA!$A$2:$Q2273,14,0),"NÃO")</f>
        <v>0</v>
      </c>
      <c r="T521" s="35"/>
    </row>
    <row r="522" spans="1:20" ht="45" customHeight="1" x14ac:dyDescent="0.25">
      <c r="A522" s="2" t="str">
        <f t="shared" si="1"/>
        <v/>
      </c>
      <c r="B522" s="2"/>
      <c r="C522" s="43"/>
      <c r="D522" s="2"/>
      <c r="E522" s="2"/>
      <c r="F522" s="2"/>
      <c r="G522" s="11"/>
      <c r="H522" s="11"/>
      <c r="I522" s="2"/>
      <c r="J522" s="2"/>
      <c r="K522" s="2"/>
      <c r="L522" s="10"/>
      <c r="M522" s="9"/>
      <c r="N522" s="2"/>
      <c r="O522" s="2"/>
      <c r="P522" s="2"/>
      <c r="Q522" s="50"/>
      <c r="R522" s="50"/>
      <c r="S522" s="2">
        <f>IFERROR(VLOOKUP(A522,IMPORT_DESISTENCIA!$A$2:$Q2273,14,0),"NÃO")</f>
        <v>0</v>
      </c>
      <c r="T522" s="35"/>
    </row>
    <row r="523" spans="1:20" ht="45" customHeight="1" x14ac:dyDescent="0.25">
      <c r="A523" s="2" t="str">
        <f t="shared" si="1"/>
        <v/>
      </c>
      <c r="B523" s="2"/>
      <c r="C523" s="43"/>
      <c r="D523" s="2"/>
      <c r="E523" s="2"/>
      <c r="F523" s="2"/>
      <c r="G523" s="11"/>
      <c r="H523" s="11"/>
      <c r="I523" s="2"/>
      <c r="J523" s="2"/>
      <c r="K523" s="2"/>
      <c r="L523" s="10"/>
      <c r="M523" s="9"/>
      <c r="N523" s="2"/>
      <c r="O523" s="2"/>
      <c r="P523" s="2"/>
      <c r="Q523" s="50"/>
      <c r="R523" s="50"/>
      <c r="S523" s="2">
        <f>IFERROR(VLOOKUP(A523,IMPORT_DESISTENCIA!$A$2:$Q2273,14,0),"NÃO")</f>
        <v>0</v>
      </c>
      <c r="T523" s="35"/>
    </row>
    <row r="524" spans="1:20" ht="45" customHeight="1" x14ac:dyDescent="0.25">
      <c r="A524" s="2" t="str">
        <f t="shared" si="1"/>
        <v/>
      </c>
      <c r="B524" s="2"/>
      <c r="C524" s="43"/>
      <c r="D524" s="2"/>
      <c r="E524" s="2"/>
      <c r="F524" s="2"/>
      <c r="G524" s="11"/>
      <c r="H524" s="11"/>
      <c r="I524" s="2"/>
      <c r="J524" s="2"/>
      <c r="K524" s="2"/>
      <c r="L524" s="10"/>
      <c r="M524" s="9"/>
      <c r="N524" s="2"/>
      <c r="O524" s="2"/>
      <c r="P524" s="2"/>
      <c r="Q524" s="50"/>
      <c r="R524" s="50"/>
      <c r="S524" s="2">
        <f>IFERROR(VLOOKUP(A524,IMPORT_DESISTENCIA!$A$2:$Q2273,14,0),"NÃO")</f>
        <v>0</v>
      </c>
      <c r="T524" s="35"/>
    </row>
    <row r="525" spans="1:20" ht="45" customHeight="1" x14ac:dyDescent="0.25">
      <c r="A525" s="2" t="str">
        <f t="shared" si="1"/>
        <v/>
      </c>
      <c r="B525" s="2"/>
      <c r="C525" s="43"/>
      <c r="D525" s="2"/>
      <c r="E525" s="2"/>
      <c r="F525" s="2"/>
      <c r="G525" s="11"/>
      <c r="H525" s="11"/>
      <c r="I525" s="2"/>
      <c r="J525" s="2"/>
      <c r="K525" s="2"/>
      <c r="L525" s="10"/>
      <c r="M525" s="9"/>
      <c r="N525" s="2"/>
      <c r="O525" s="2"/>
      <c r="P525" s="2"/>
      <c r="Q525" s="50"/>
      <c r="R525" s="50"/>
      <c r="S525" s="2">
        <f>IFERROR(VLOOKUP(A525,IMPORT_DESISTENCIA!$A$2:$Q2273,14,0),"NÃO")</f>
        <v>0</v>
      </c>
      <c r="T525" s="35"/>
    </row>
    <row r="526" spans="1:20" ht="45" customHeight="1" x14ac:dyDescent="0.25">
      <c r="A526" s="2" t="str">
        <f t="shared" si="1"/>
        <v/>
      </c>
      <c r="B526" s="2"/>
      <c r="C526" s="43"/>
      <c r="D526" s="2"/>
      <c r="E526" s="2"/>
      <c r="F526" s="2"/>
      <c r="G526" s="11"/>
      <c r="H526" s="11"/>
      <c r="I526" s="2"/>
      <c r="J526" s="2"/>
      <c r="K526" s="2"/>
      <c r="L526" s="10"/>
      <c r="M526" s="9"/>
      <c r="N526" s="2"/>
      <c r="O526" s="2"/>
      <c r="P526" s="2"/>
      <c r="Q526" s="50"/>
      <c r="R526" s="50"/>
      <c r="S526" s="2">
        <f>IFERROR(VLOOKUP(A526,IMPORT_DESISTENCIA!$A$2:$Q2273,14,0),"NÃO")</f>
        <v>0</v>
      </c>
      <c r="T526" s="35"/>
    </row>
    <row r="527" spans="1:20" ht="45" customHeight="1" x14ac:dyDescent="0.25">
      <c r="A527" s="2" t="str">
        <f t="shared" si="1"/>
        <v/>
      </c>
      <c r="B527" s="2"/>
      <c r="C527" s="43"/>
      <c r="D527" s="2"/>
      <c r="E527" s="2"/>
      <c r="F527" s="2"/>
      <c r="G527" s="11"/>
      <c r="H527" s="11"/>
      <c r="I527" s="2"/>
      <c r="J527" s="2"/>
      <c r="K527" s="2"/>
      <c r="L527" s="10"/>
      <c r="M527" s="9"/>
      <c r="N527" s="2"/>
      <c r="O527" s="2"/>
      <c r="P527" s="2"/>
      <c r="Q527" s="50"/>
      <c r="R527" s="50"/>
      <c r="S527" s="2">
        <f>IFERROR(VLOOKUP(A527,IMPORT_DESISTENCIA!$A$2:$Q2273,14,0),"NÃO")</f>
        <v>0</v>
      </c>
      <c r="T527" s="35"/>
    </row>
    <row r="528" spans="1:20" ht="45" customHeight="1" x14ac:dyDescent="0.25">
      <c r="A528" s="2" t="str">
        <f t="shared" si="1"/>
        <v/>
      </c>
      <c r="B528" s="2"/>
      <c r="C528" s="43"/>
      <c r="D528" s="2"/>
      <c r="E528" s="2"/>
      <c r="F528" s="2"/>
      <c r="G528" s="11"/>
      <c r="H528" s="11"/>
      <c r="I528" s="2"/>
      <c r="J528" s="2"/>
      <c r="K528" s="2"/>
      <c r="L528" s="10"/>
      <c r="M528" s="9"/>
      <c r="N528" s="2"/>
      <c r="O528" s="2"/>
      <c r="P528" s="2"/>
      <c r="Q528" s="50"/>
      <c r="R528" s="50"/>
      <c r="S528" s="2">
        <f>IFERROR(VLOOKUP(A528,IMPORT_DESISTENCIA!$A$2:$Q2273,14,0),"NÃO")</f>
        <v>0</v>
      </c>
      <c r="T528" s="35"/>
    </row>
    <row r="529" spans="1:20" ht="45" customHeight="1" x14ac:dyDescent="0.25">
      <c r="A529" s="2" t="str">
        <f t="shared" si="1"/>
        <v/>
      </c>
      <c r="B529" s="2"/>
      <c r="C529" s="43"/>
      <c r="D529" s="2"/>
      <c r="E529" s="2"/>
      <c r="F529" s="2"/>
      <c r="G529" s="11"/>
      <c r="H529" s="11"/>
      <c r="I529" s="2"/>
      <c r="J529" s="2"/>
      <c r="K529" s="2"/>
      <c r="L529" s="10"/>
      <c r="M529" s="9"/>
      <c r="N529" s="2"/>
      <c r="O529" s="2"/>
      <c r="P529" s="2"/>
      <c r="Q529" s="50"/>
      <c r="R529" s="50"/>
      <c r="S529" s="2">
        <f>IFERROR(VLOOKUP(A529,IMPORT_DESISTENCIA!$A$2:$Q2273,14,0),"NÃO")</f>
        <v>0</v>
      </c>
      <c r="T529" s="35"/>
    </row>
    <row r="530" spans="1:20" ht="45" customHeight="1" x14ac:dyDescent="0.25">
      <c r="A530" s="2" t="str">
        <f t="shared" si="1"/>
        <v/>
      </c>
      <c r="B530" s="2"/>
      <c r="C530" s="43"/>
      <c r="D530" s="2"/>
      <c r="E530" s="2"/>
      <c r="F530" s="2"/>
      <c r="G530" s="11"/>
      <c r="H530" s="11"/>
      <c r="I530" s="2"/>
      <c r="J530" s="2"/>
      <c r="K530" s="2"/>
      <c r="L530" s="10"/>
      <c r="M530" s="9"/>
      <c r="N530" s="2"/>
      <c r="O530" s="2"/>
      <c r="P530" s="2"/>
      <c r="Q530" s="50"/>
      <c r="R530" s="50"/>
      <c r="S530" s="2">
        <f>IFERROR(VLOOKUP(A530,IMPORT_DESISTENCIA!$A$2:$Q2273,14,0),"NÃO")</f>
        <v>0</v>
      </c>
      <c r="T530" s="35"/>
    </row>
    <row r="531" spans="1:20" ht="45" customHeight="1" x14ac:dyDescent="0.25">
      <c r="A531" s="2" t="str">
        <f t="shared" si="1"/>
        <v/>
      </c>
      <c r="B531" s="2"/>
      <c r="C531" s="43"/>
      <c r="D531" s="2"/>
      <c r="E531" s="2"/>
      <c r="F531" s="2"/>
      <c r="G531" s="11"/>
      <c r="H531" s="11"/>
      <c r="I531" s="2"/>
      <c r="J531" s="2"/>
      <c r="K531" s="2"/>
      <c r="L531" s="10"/>
      <c r="M531" s="9"/>
      <c r="N531" s="2"/>
      <c r="O531" s="2"/>
      <c r="P531" s="2"/>
      <c r="Q531" s="50"/>
      <c r="R531" s="50"/>
      <c r="S531" s="2">
        <f>IFERROR(VLOOKUP(A531,IMPORT_DESISTENCIA!$A$2:$Q2273,14,0),"NÃO")</f>
        <v>0</v>
      </c>
      <c r="T531" s="35"/>
    </row>
    <row r="532" spans="1:20" ht="45" customHeight="1" x14ac:dyDescent="0.25">
      <c r="A532" s="2" t="str">
        <f t="shared" si="1"/>
        <v/>
      </c>
      <c r="B532" s="2"/>
      <c r="C532" s="43"/>
      <c r="D532" s="2"/>
      <c r="E532" s="2"/>
      <c r="F532" s="2"/>
      <c r="G532" s="11"/>
      <c r="H532" s="11"/>
      <c r="I532" s="2"/>
      <c r="J532" s="2"/>
      <c r="K532" s="2"/>
      <c r="L532" s="10"/>
      <c r="M532" s="9"/>
      <c r="N532" s="2"/>
      <c r="O532" s="2"/>
      <c r="P532" s="2"/>
      <c r="Q532" s="50"/>
      <c r="R532" s="50"/>
      <c r="S532" s="2">
        <f>IFERROR(VLOOKUP(A532,IMPORT_DESISTENCIA!$A$2:$Q2273,14,0),"NÃO")</f>
        <v>0</v>
      </c>
      <c r="T532" s="35"/>
    </row>
    <row r="533" spans="1:20" ht="45" customHeight="1" x14ac:dyDescent="0.25">
      <c r="A533" s="2" t="str">
        <f t="shared" si="1"/>
        <v/>
      </c>
      <c r="B533" s="2"/>
      <c r="C533" s="43"/>
      <c r="D533" s="2"/>
      <c r="E533" s="2"/>
      <c r="F533" s="2"/>
      <c r="G533" s="11"/>
      <c r="H533" s="11"/>
      <c r="I533" s="2"/>
      <c r="J533" s="2"/>
      <c r="K533" s="2"/>
      <c r="L533" s="10"/>
      <c r="M533" s="9"/>
      <c r="N533" s="2"/>
      <c r="O533" s="2"/>
      <c r="P533" s="2"/>
      <c r="Q533" s="50"/>
      <c r="R533" s="50"/>
      <c r="S533" s="2">
        <f>IFERROR(VLOOKUP(A533,IMPORT_DESISTENCIA!$A$2:$Q2273,14,0),"NÃO")</f>
        <v>0</v>
      </c>
      <c r="T533" s="35"/>
    </row>
    <row r="534" spans="1:20" ht="45" customHeight="1" x14ac:dyDescent="0.25">
      <c r="A534" s="2" t="str">
        <f t="shared" si="1"/>
        <v/>
      </c>
      <c r="B534" s="2"/>
      <c r="C534" s="43"/>
      <c r="D534" s="2"/>
      <c r="E534" s="2"/>
      <c r="F534" s="2"/>
      <c r="G534" s="11"/>
      <c r="H534" s="11"/>
      <c r="I534" s="2"/>
      <c r="J534" s="2"/>
      <c r="K534" s="2"/>
      <c r="L534" s="10"/>
      <c r="M534" s="9"/>
      <c r="N534" s="2"/>
      <c r="O534" s="2"/>
      <c r="P534" s="2"/>
      <c r="Q534" s="50"/>
      <c r="R534" s="50"/>
      <c r="S534" s="2">
        <f>IFERROR(VLOOKUP(A534,IMPORT_DESISTENCIA!$A$2:$Q2273,14,0),"NÃO")</f>
        <v>0</v>
      </c>
      <c r="T534" s="35"/>
    </row>
    <row r="535" spans="1:20" ht="45" customHeight="1" x14ac:dyDescent="0.25">
      <c r="A535" s="2" t="str">
        <f t="shared" si="1"/>
        <v/>
      </c>
      <c r="B535" s="2"/>
      <c r="C535" s="43"/>
      <c r="D535" s="2"/>
      <c r="E535" s="2"/>
      <c r="F535" s="2"/>
      <c r="G535" s="11"/>
      <c r="H535" s="11"/>
      <c r="I535" s="2"/>
      <c r="J535" s="2"/>
      <c r="K535" s="2"/>
      <c r="L535" s="10"/>
      <c r="M535" s="9"/>
      <c r="N535" s="2"/>
      <c r="O535" s="2"/>
      <c r="P535" s="2"/>
      <c r="Q535" s="50"/>
      <c r="R535" s="50"/>
      <c r="S535" s="2">
        <f>IFERROR(VLOOKUP(A535,IMPORT_DESISTENCIA!$A$2:$Q2273,14,0),"NÃO")</f>
        <v>0</v>
      </c>
      <c r="T535" s="35"/>
    </row>
    <row r="536" spans="1:20" ht="45" customHeight="1" x14ac:dyDescent="0.25">
      <c r="A536" s="2" t="str">
        <f t="shared" si="1"/>
        <v/>
      </c>
      <c r="B536" s="2"/>
      <c r="C536" s="43"/>
      <c r="D536" s="2"/>
      <c r="E536" s="2"/>
      <c r="F536" s="2"/>
      <c r="G536" s="11"/>
      <c r="H536" s="11"/>
      <c r="I536" s="2"/>
      <c r="J536" s="2"/>
      <c r="K536" s="2"/>
      <c r="L536" s="10"/>
      <c r="M536" s="9"/>
      <c r="N536" s="2"/>
      <c r="O536" s="2"/>
      <c r="P536" s="2"/>
      <c r="Q536" s="50"/>
      <c r="R536" s="50"/>
      <c r="S536" s="2">
        <f>IFERROR(VLOOKUP(A536,IMPORT_DESISTENCIA!$A$2:$Q2273,14,0),"NÃO")</f>
        <v>0</v>
      </c>
      <c r="T536" s="35"/>
    </row>
    <row r="537" spans="1:20" ht="45" customHeight="1" x14ac:dyDescent="0.25">
      <c r="A537" s="2" t="str">
        <f t="shared" si="1"/>
        <v/>
      </c>
      <c r="B537" s="2"/>
      <c r="C537" s="43"/>
      <c r="D537" s="2"/>
      <c r="E537" s="2"/>
      <c r="F537" s="2"/>
      <c r="G537" s="11"/>
      <c r="H537" s="11"/>
      <c r="I537" s="2"/>
      <c r="J537" s="2"/>
      <c r="K537" s="2"/>
      <c r="L537" s="10"/>
      <c r="M537" s="9"/>
      <c r="N537" s="2"/>
      <c r="O537" s="2"/>
      <c r="P537" s="2"/>
      <c r="Q537" s="50"/>
      <c r="R537" s="50"/>
      <c r="S537" s="2">
        <f>IFERROR(VLOOKUP(A537,IMPORT_DESISTENCIA!$A$2:$Q2273,14,0),"NÃO")</f>
        <v>0</v>
      </c>
      <c r="T537" s="35"/>
    </row>
    <row r="538" spans="1:20" ht="45" customHeight="1" x14ac:dyDescent="0.25">
      <c r="A538" s="2" t="str">
        <f t="shared" si="1"/>
        <v/>
      </c>
      <c r="B538" s="2"/>
      <c r="C538" s="43"/>
      <c r="D538" s="2"/>
      <c r="E538" s="2"/>
      <c r="F538" s="2"/>
      <c r="G538" s="11"/>
      <c r="H538" s="11"/>
      <c r="I538" s="2"/>
      <c r="J538" s="2"/>
      <c r="K538" s="2"/>
      <c r="L538" s="10"/>
      <c r="M538" s="9"/>
      <c r="N538" s="2"/>
      <c r="O538" s="2"/>
      <c r="P538" s="2"/>
      <c r="Q538" s="50"/>
      <c r="R538" s="50"/>
      <c r="S538" s="2">
        <f>IFERROR(VLOOKUP(A538,IMPORT_DESISTENCIA!$A$2:$Q2273,14,0),"NÃO")</f>
        <v>0</v>
      </c>
      <c r="T538" s="35"/>
    </row>
    <row r="539" spans="1:20" ht="45" customHeight="1" x14ac:dyDescent="0.25">
      <c r="A539" s="2" t="str">
        <f t="shared" si="1"/>
        <v/>
      </c>
      <c r="B539" s="2"/>
      <c r="C539" s="43"/>
      <c r="D539" s="2"/>
      <c r="E539" s="2"/>
      <c r="F539" s="2"/>
      <c r="G539" s="11"/>
      <c r="H539" s="11"/>
      <c r="I539" s="2"/>
      <c r="J539" s="2"/>
      <c r="K539" s="2"/>
      <c r="L539" s="10"/>
      <c r="M539" s="9"/>
      <c r="N539" s="2"/>
      <c r="O539" s="2"/>
      <c r="P539" s="2"/>
      <c r="Q539" s="50"/>
      <c r="R539" s="50"/>
      <c r="S539" s="2">
        <f>IFERROR(VLOOKUP(A539,IMPORT_DESISTENCIA!$A$2:$Q2273,14,0),"NÃO")</f>
        <v>0</v>
      </c>
      <c r="T539" s="35"/>
    </row>
    <row r="540" spans="1:20" ht="45" customHeight="1" x14ac:dyDescent="0.25">
      <c r="A540" s="2" t="str">
        <f t="shared" si="1"/>
        <v/>
      </c>
      <c r="B540" s="2"/>
      <c r="C540" s="43"/>
      <c r="D540" s="2"/>
      <c r="E540" s="2"/>
      <c r="F540" s="2"/>
      <c r="G540" s="11"/>
      <c r="H540" s="11"/>
      <c r="I540" s="2"/>
      <c r="J540" s="2"/>
      <c r="K540" s="2"/>
      <c r="L540" s="10"/>
      <c r="M540" s="9"/>
      <c r="N540" s="2"/>
      <c r="O540" s="2"/>
      <c r="P540" s="2"/>
      <c r="Q540" s="50"/>
      <c r="R540" s="50"/>
      <c r="S540" s="2">
        <f>IFERROR(VLOOKUP(A540,IMPORT_DESISTENCIA!$A$2:$Q2273,14,0),"NÃO")</f>
        <v>0</v>
      </c>
      <c r="T540" s="35"/>
    </row>
    <row r="541" spans="1:20" ht="45" customHeight="1" x14ac:dyDescent="0.25">
      <c r="A541" s="2" t="str">
        <f t="shared" si="1"/>
        <v/>
      </c>
      <c r="B541" s="2"/>
      <c r="C541" s="43"/>
      <c r="D541" s="2"/>
      <c r="E541" s="2"/>
      <c r="F541" s="2"/>
      <c r="G541" s="11"/>
      <c r="H541" s="11"/>
      <c r="I541" s="2"/>
      <c r="J541" s="2"/>
      <c r="K541" s="2"/>
      <c r="L541" s="10"/>
      <c r="M541" s="9"/>
      <c r="N541" s="2"/>
      <c r="O541" s="2"/>
      <c r="P541" s="2"/>
      <c r="Q541" s="50"/>
      <c r="R541" s="50"/>
      <c r="S541" s="2">
        <f>IFERROR(VLOOKUP(A541,IMPORT_DESISTENCIA!$A$2:$Q2273,14,0),"NÃO")</f>
        <v>0</v>
      </c>
      <c r="T541" s="35"/>
    </row>
    <row r="542" spans="1:20" ht="45" customHeight="1" x14ac:dyDescent="0.25">
      <c r="A542" s="2" t="str">
        <f t="shared" si="1"/>
        <v/>
      </c>
      <c r="B542" s="2"/>
      <c r="C542" s="43"/>
      <c r="D542" s="2"/>
      <c r="E542" s="2"/>
      <c r="F542" s="2"/>
      <c r="G542" s="11"/>
      <c r="H542" s="11"/>
      <c r="I542" s="2"/>
      <c r="J542" s="2"/>
      <c r="K542" s="2"/>
      <c r="L542" s="10"/>
      <c r="M542" s="9"/>
      <c r="N542" s="2"/>
      <c r="O542" s="2"/>
      <c r="P542" s="2"/>
      <c r="Q542" s="50"/>
      <c r="R542" s="50"/>
      <c r="S542" s="2">
        <f>IFERROR(VLOOKUP(A542,IMPORT_DESISTENCIA!$A$2:$Q2273,14,0),"NÃO")</f>
        <v>0</v>
      </c>
      <c r="T542" s="35"/>
    </row>
    <row r="543" spans="1:20" ht="45" customHeight="1" x14ac:dyDescent="0.25">
      <c r="A543" s="2" t="str">
        <f t="shared" si="1"/>
        <v/>
      </c>
      <c r="B543" s="2"/>
      <c r="C543" s="43"/>
      <c r="D543" s="2"/>
      <c r="E543" s="2"/>
      <c r="F543" s="2"/>
      <c r="G543" s="11"/>
      <c r="H543" s="11"/>
      <c r="I543" s="2"/>
      <c r="J543" s="2"/>
      <c r="K543" s="2"/>
      <c r="L543" s="10"/>
      <c r="M543" s="9"/>
      <c r="N543" s="2"/>
      <c r="O543" s="2"/>
      <c r="P543" s="2"/>
      <c r="Q543" s="50"/>
      <c r="R543" s="50"/>
      <c r="S543" s="2">
        <f>IFERROR(VLOOKUP(A543,IMPORT_DESISTENCIA!$A$2:$Q2273,14,0),"NÃO")</f>
        <v>0</v>
      </c>
      <c r="T543" s="35"/>
    </row>
    <row r="544" spans="1:20" ht="45" customHeight="1" x14ac:dyDescent="0.25">
      <c r="A544" s="2" t="str">
        <f t="shared" si="1"/>
        <v/>
      </c>
      <c r="B544" s="2"/>
      <c r="C544" s="43"/>
      <c r="D544" s="2"/>
      <c r="E544" s="2"/>
      <c r="F544" s="2"/>
      <c r="G544" s="11"/>
      <c r="H544" s="11"/>
      <c r="I544" s="2"/>
      <c r="J544" s="2"/>
      <c r="K544" s="2"/>
      <c r="L544" s="10"/>
      <c r="M544" s="9"/>
      <c r="N544" s="2"/>
      <c r="O544" s="2"/>
      <c r="P544" s="2"/>
      <c r="Q544" s="50"/>
      <c r="R544" s="50"/>
      <c r="S544" s="2">
        <f>IFERROR(VLOOKUP(A544,IMPORT_DESISTENCIA!$A$2:$Q2273,14,0),"NÃO")</f>
        <v>0</v>
      </c>
      <c r="T544" s="35"/>
    </row>
    <row r="545" spans="1:20" ht="45" customHeight="1" x14ac:dyDescent="0.25">
      <c r="A545" s="2" t="str">
        <f t="shared" si="1"/>
        <v/>
      </c>
      <c r="B545" s="2"/>
      <c r="C545" s="43"/>
      <c r="D545" s="2"/>
      <c r="E545" s="2"/>
      <c r="F545" s="2"/>
      <c r="G545" s="11"/>
      <c r="H545" s="11"/>
      <c r="I545" s="2"/>
      <c r="J545" s="2"/>
      <c r="K545" s="2"/>
      <c r="L545" s="10"/>
      <c r="M545" s="9"/>
      <c r="N545" s="2"/>
      <c r="O545" s="2"/>
      <c r="P545" s="2"/>
      <c r="Q545" s="50"/>
      <c r="R545" s="50"/>
      <c r="S545" s="2">
        <f>IFERROR(VLOOKUP(A545,IMPORT_DESISTENCIA!$A$2:$Q2273,14,0),"NÃO")</f>
        <v>0</v>
      </c>
      <c r="T545" s="35"/>
    </row>
    <row r="546" spans="1:20" ht="45" customHeight="1" x14ac:dyDescent="0.25">
      <c r="A546" s="2" t="str">
        <f t="shared" si="1"/>
        <v/>
      </c>
      <c r="B546" s="2"/>
      <c r="C546" s="43"/>
      <c r="D546" s="2"/>
      <c r="E546" s="2"/>
      <c r="F546" s="2"/>
      <c r="G546" s="11"/>
      <c r="H546" s="11"/>
      <c r="I546" s="2"/>
      <c r="J546" s="2"/>
      <c r="K546" s="2"/>
      <c r="L546" s="10"/>
      <c r="M546" s="9"/>
      <c r="N546" s="2"/>
      <c r="O546" s="2"/>
      <c r="P546" s="2"/>
      <c r="Q546" s="50"/>
      <c r="R546" s="50"/>
      <c r="S546" s="2">
        <f>IFERROR(VLOOKUP(A546,IMPORT_DESISTENCIA!$A$2:$Q2273,14,0),"NÃO")</f>
        <v>0</v>
      </c>
      <c r="T546" s="35"/>
    </row>
    <row r="547" spans="1:20" ht="45" customHeight="1" x14ac:dyDescent="0.25">
      <c r="A547" s="2" t="str">
        <f t="shared" si="1"/>
        <v/>
      </c>
      <c r="B547" s="2"/>
      <c r="C547" s="43"/>
      <c r="D547" s="2"/>
      <c r="E547" s="2"/>
      <c r="F547" s="2"/>
      <c r="G547" s="11"/>
      <c r="H547" s="11"/>
      <c r="I547" s="2"/>
      <c r="J547" s="2"/>
      <c r="K547" s="2"/>
      <c r="L547" s="10"/>
      <c r="M547" s="9"/>
      <c r="N547" s="2"/>
      <c r="O547" s="2"/>
      <c r="P547" s="2"/>
      <c r="Q547" s="50"/>
      <c r="R547" s="50"/>
      <c r="S547" s="2">
        <f>IFERROR(VLOOKUP(A547,IMPORT_DESISTENCIA!$A$2:$Q2273,14,0),"NÃO")</f>
        <v>0</v>
      </c>
      <c r="T547" s="35"/>
    </row>
    <row r="548" spans="1:20" ht="45" customHeight="1" x14ac:dyDescent="0.25">
      <c r="A548" s="2" t="str">
        <f t="shared" si="1"/>
        <v/>
      </c>
      <c r="B548" s="2"/>
      <c r="C548" s="43"/>
      <c r="D548" s="2"/>
      <c r="E548" s="2"/>
      <c r="F548" s="2"/>
      <c r="G548" s="11"/>
      <c r="H548" s="11"/>
      <c r="I548" s="2"/>
      <c r="J548" s="2"/>
      <c r="K548" s="2"/>
      <c r="L548" s="10"/>
      <c r="M548" s="9"/>
      <c r="N548" s="2"/>
      <c r="O548" s="2"/>
      <c r="P548" s="2"/>
      <c r="Q548" s="50"/>
      <c r="R548" s="50"/>
      <c r="S548" s="2">
        <f>IFERROR(VLOOKUP(A548,IMPORT_DESISTENCIA!$A$2:$Q2273,14,0),"NÃO")</f>
        <v>0</v>
      </c>
      <c r="T548" s="35"/>
    </row>
    <row r="549" spans="1:20" ht="45" customHeight="1" x14ac:dyDescent="0.25">
      <c r="A549" s="2" t="str">
        <f t="shared" si="1"/>
        <v/>
      </c>
      <c r="B549" s="2"/>
      <c r="C549" s="43"/>
      <c r="D549" s="2"/>
      <c r="E549" s="2"/>
      <c r="F549" s="2"/>
      <c r="G549" s="11"/>
      <c r="H549" s="11"/>
      <c r="I549" s="2"/>
      <c r="J549" s="2"/>
      <c r="K549" s="2"/>
      <c r="L549" s="10"/>
      <c r="M549" s="9"/>
      <c r="N549" s="2"/>
      <c r="O549" s="2"/>
      <c r="P549" s="2"/>
      <c r="Q549" s="50"/>
      <c r="R549" s="50"/>
      <c r="S549" s="2">
        <f>IFERROR(VLOOKUP(A549,IMPORT_DESISTENCIA!$A$2:$Q2273,14,0),"NÃO")</f>
        <v>0</v>
      </c>
      <c r="T549" s="35"/>
    </row>
    <row r="550" spans="1:20" ht="45" customHeight="1" x14ac:dyDescent="0.25">
      <c r="A550" s="2" t="str">
        <f t="shared" si="1"/>
        <v/>
      </c>
      <c r="B550" s="2"/>
      <c r="C550" s="43"/>
      <c r="D550" s="2"/>
      <c r="E550" s="2"/>
      <c r="F550" s="2"/>
      <c r="G550" s="11"/>
      <c r="H550" s="11"/>
      <c r="I550" s="2"/>
      <c r="J550" s="2"/>
      <c r="K550" s="2"/>
      <c r="L550" s="10"/>
      <c r="M550" s="9"/>
      <c r="N550" s="2"/>
      <c r="O550" s="2"/>
      <c r="P550" s="2"/>
      <c r="Q550" s="50"/>
      <c r="R550" s="50"/>
      <c r="S550" s="2">
        <f>IFERROR(VLOOKUP(A550,IMPORT_DESISTENCIA!$A$2:$Q2273,14,0),"NÃO")</f>
        <v>0</v>
      </c>
      <c r="T550" s="35"/>
    </row>
    <row r="551" spans="1:20" ht="45" customHeight="1" x14ac:dyDescent="0.25">
      <c r="A551" s="2" t="str">
        <f t="shared" si="1"/>
        <v/>
      </c>
      <c r="B551" s="2"/>
      <c r="C551" s="43"/>
      <c r="D551" s="2"/>
      <c r="E551" s="2"/>
      <c r="F551" s="2"/>
      <c r="G551" s="11"/>
      <c r="H551" s="11"/>
      <c r="I551" s="2"/>
      <c r="J551" s="2"/>
      <c r="K551" s="2"/>
      <c r="L551" s="10"/>
      <c r="M551" s="9"/>
      <c r="N551" s="2"/>
      <c r="O551" s="2"/>
      <c r="P551" s="2"/>
      <c r="Q551" s="50"/>
      <c r="R551" s="50"/>
      <c r="S551" s="2">
        <f>IFERROR(VLOOKUP(A551,IMPORT_DESISTENCIA!$A$2:$Q2273,14,0),"NÃO")</f>
        <v>0</v>
      </c>
      <c r="T551" s="35"/>
    </row>
    <row r="552" spans="1:20" ht="45" customHeight="1" x14ac:dyDescent="0.25">
      <c r="A552" s="2" t="str">
        <f t="shared" si="1"/>
        <v/>
      </c>
      <c r="B552" s="2"/>
      <c r="C552" s="43"/>
      <c r="D552" s="2"/>
      <c r="E552" s="2"/>
      <c r="F552" s="2"/>
      <c r="G552" s="11"/>
      <c r="H552" s="11"/>
      <c r="I552" s="2"/>
      <c r="J552" s="2"/>
      <c r="K552" s="2"/>
      <c r="L552" s="10"/>
      <c r="M552" s="9"/>
      <c r="N552" s="2"/>
      <c r="O552" s="2"/>
      <c r="P552" s="2"/>
      <c r="Q552" s="50"/>
      <c r="R552" s="50"/>
      <c r="S552" s="2">
        <f>IFERROR(VLOOKUP(A552,IMPORT_DESISTENCIA!$A$2:$Q2273,14,0),"NÃO")</f>
        <v>0</v>
      </c>
      <c r="T552" s="35"/>
    </row>
    <row r="553" spans="1:20" ht="45" customHeight="1" x14ac:dyDescent="0.25">
      <c r="A553" s="2" t="str">
        <f t="shared" si="1"/>
        <v/>
      </c>
      <c r="B553" s="2"/>
      <c r="C553" s="43"/>
      <c r="D553" s="2"/>
      <c r="E553" s="2"/>
      <c r="F553" s="2"/>
      <c r="G553" s="11"/>
      <c r="H553" s="11"/>
      <c r="I553" s="2"/>
      <c r="J553" s="2"/>
      <c r="K553" s="2"/>
      <c r="L553" s="10"/>
      <c r="M553" s="9"/>
      <c r="N553" s="2"/>
      <c r="O553" s="2"/>
      <c r="P553" s="2"/>
      <c r="Q553" s="50"/>
      <c r="R553" s="50"/>
      <c r="S553" s="2">
        <f>IFERROR(VLOOKUP(A553,IMPORT_DESISTENCIA!$A$2:$Q2273,14,0),"NÃO")</f>
        <v>0</v>
      </c>
      <c r="T553" s="35"/>
    </row>
    <row r="554" spans="1:20" ht="45" customHeight="1" x14ac:dyDescent="0.25">
      <c r="A554" s="2" t="str">
        <f t="shared" si="1"/>
        <v/>
      </c>
      <c r="B554" s="2"/>
      <c r="C554" s="43"/>
      <c r="D554" s="2"/>
      <c r="E554" s="2"/>
      <c r="F554" s="2"/>
      <c r="G554" s="11"/>
      <c r="H554" s="11"/>
      <c r="I554" s="2"/>
      <c r="J554" s="2"/>
      <c r="K554" s="2"/>
      <c r="L554" s="10"/>
      <c r="M554" s="9"/>
      <c r="N554" s="2"/>
      <c r="O554" s="2"/>
      <c r="P554" s="2"/>
      <c r="Q554" s="50"/>
      <c r="R554" s="50"/>
      <c r="S554" s="2">
        <f>IFERROR(VLOOKUP(A554,IMPORT_DESISTENCIA!$A$2:$Q2273,14,0),"NÃO")</f>
        <v>0</v>
      </c>
      <c r="T554" s="35"/>
    </row>
    <row r="555" spans="1:20" ht="45" customHeight="1" x14ac:dyDescent="0.25">
      <c r="A555" s="2" t="str">
        <f t="shared" si="1"/>
        <v/>
      </c>
      <c r="B555" s="2"/>
      <c r="C555" s="43"/>
      <c r="D555" s="2"/>
      <c r="E555" s="2"/>
      <c r="F555" s="2"/>
      <c r="G555" s="11"/>
      <c r="H555" s="11"/>
      <c r="I555" s="2"/>
      <c r="J555" s="2"/>
      <c r="K555" s="2"/>
      <c r="L555" s="10"/>
      <c r="M555" s="9"/>
      <c r="N555" s="2"/>
      <c r="O555" s="2"/>
      <c r="P555" s="2"/>
      <c r="Q555" s="50"/>
      <c r="R555" s="50"/>
      <c r="S555" s="2">
        <f>IFERROR(VLOOKUP(A555,IMPORT_DESISTENCIA!$A$2:$Q2273,14,0),"NÃO")</f>
        <v>0</v>
      </c>
      <c r="T555" s="35"/>
    </row>
    <row r="556" spans="1:20" ht="45" customHeight="1" x14ac:dyDescent="0.25">
      <c r="A556" s="2" t="str">
        <f t="shared" si="1"/>
        <v/>
      </c>
      <c r="B556" s="2"/>
      <c r="C556" s="43"/>
      <c r="D556" s="2"/>
      <c r="E556" s="2"/>
      <c r="F556" s="2"/>
      <c r="G556" s="11"/>
      <c r="H556" s="11"/>
      <c r="I556" s="2"/>
      <c r="J556" s="2"/>
      <c r="K556" s="2"/>
      <c r="L556" s="10"/>
      <c r="M556" s="9"/>
      <c r="N556" s="2"/>
      <c r="O556" s="2"/>
      <c r="P556" s="2"/>
      <c r="Q556" s="50"/>
      <c r="R556" s="50"/>
      <c r="S556" s="2">
        <f>IFERROR(VLOOKUP(A556,IMPORT_DESISTENCIA!$A$2:$Q2273,14,0),"NÃO")</f>
        <v>0</v>
      </c>
      <c r="T556" s="35"/>
    </row>
    <row r="557" spans="1:20" ht="45" customHeight="1" x14ac:dyDescent="0.25">
      <c r="A557" s="2" t="str">
        <f t="shared" si="1"/>
        <v/>
      </c>
      <c r="B557" s="2"/>
      <c r="C557" s="43"/>
      <c r="D557" s="2"/>
      <c r="E557" s="2"/>
      <c r="F557" s="2"/>
      <c r="G557" s="11"/>
      <c r="H557" s="11"/>
      <c r="I557" s="2"/>
      <c r="J557" s="2"/>
      <c r="K557" s="2"/>
      <c r="L557" s="10"/>
      <c r="M557" s="9"/>
      <c r="N557" s="2"/>
      <c r="O557" s="2"/>
      <c r="P557" s="2"/>
      <c r="Q557" s="50"/>
      <c r="R557" s="50"/>
      <c r="S557" s="2">
        <f>IFERROR(VLOOKUP(A557,IMPORT_DESISTENCIA!$A$2:$Q2273,14,0),"NÃO")</f>
        <v>0</v>
      </c>
      <c r="T557" s="35"/>
    </row>
    <row r="558" spans="1:20" ht="45" customHeight="1" x14ac:dyDescent="0.25">
      <c r="A558" s="2" t="str">
        <f t="shared" si="1"/>
        <v/>
      </c>
      <c r="B558" s="2"/>
      <c r="C558" s="43"/>
      <c r="D558" s="2"/>
      <c r="E558" s="2"/>
      <c r="F558" s="2"/>
      <c r="G558" s="11"/>
      <c r="H558" s="11"/>
      <c r="I558" s="2"/>
      <c r="J558" s="2"/>
      <c r="K558" s="2"/>
      <c r="L558" s="10"/>
      <c r="M558" s="9"/>
      <c r="N558" s="2"/>
      <c r="O558" s="2"/>
      <c r="P558" s="2"/>
      <c r="Q558" s="50"/>
      <c r="R558" s="50"/>
      <c r="S558" s="2">
        <f>IFERROR(VLOOKUP(A558,IMPORT_DESISTENCIA!$A$2:$Q2273,14,0),"NÃO")</f>
        <v>0</v>
      </c>
      <c r="T558" s="35"/>
    </row>
    <row r="559" spans="1:20" ht="45" customHeight="1" x14ac:dyDescent="0.25">
      <c r="A559" s="2" t="str">
        <f t="shared" si="1"/>
        <v/>
      </c>
      <c r="B559" s="2"/>
      <c r="C559" s="43"/>
      <c r="D559" s="2"/>
      <c r="E559" s="2"/>
      <c r="F559" s="2"/>
      <c r="G559" s="11"/>
      <c r="H559" s="11"/>
      <c r="I559" s="2"/>
      <c r="J559" s="2"/>
      <c r="K559" s="2"/>
      <c r="L559" s="10"/>
      <c r="M559" s="9"/>
      <c r="N559" s="2"/>
      <c r="O559" s="2"/>
      <c r="P559" s="2"/>
      <c r="Q559" s="50"/>
      <c r="R559" s="50"/>
      <c r="S559" s="2">
        <f>IFERROR(VLOOKUP(A559,IMPORT_DESISTENCIA!$A$2:$Q2273,14,0),"NÃO")</f>
        <v>0</v>
      </c>
      <c r="T559" s="35"/>
    </row>
    <row r="560" spans="1:20" ht="45" customHeight="1" x14ac:dyDescent="0.25">
      <c r="A560" s="2" t="str">
        <f t="shared" si="1"/>
        <v/>
      </c>
      <c r="B560" s="2"/>
      <c r="C560" s="43"/>
      <c r="D560" s="2"/>
      <c r="E560" s="2"/>
      <c r="F560" s="2"/>
      <c r="G560" s="11"/>
      <c r="H560" s="11"/>
      <c r="I560" s="2"/>
      <c r="J560" s="2"/>
      <c r="K560" s="2"/>
      <c r="L560" s="10"/>
      <c r="M560" s="9"/>
      <c r="N560" s="2"/>
      <c r="O560" s="2"/>
      <c r="P560" s="2"/>
      <c r="Q560" s="50"/>
      <c r="R560" s="50"/>
      <c r="S560" s="2">
        <f>IFERROR(VLOOKUP(A560,IMPORT_DESISTENCIA!$A$2:$Q2273,14,0),"NÃO")</f>
        <v>0</v>
      </c>
      <c r="T560" s="35"/>
    </row>
    <row r="561" spans="1:20" ht="45" customHeight="1" x14ac:dyDescent="0.25">
      <c r="A561" s="2" t="str">
        <f t="shared" si="1"/>
        <v/>
      </c>
      <c r="B561" s="2"/>
      <c r="C561" s="43"/>
      <c r="D561" s="2"/>
      <c r="E561" s="2"/>
      <c r="F561" s="2"/>
      <c r="G561" s="11"/>
      <c r="H561" s="11"/>
      <c r="I561" s="2"/>
      <c r="J561" s="2"/>
      <c r="K561" s="2"/>
      <c r="L561" s="10"/>
      <c r="M561" s="9"/>
      <c r="N561" s="2"/>
      <c r="O561" s="2"/>
      <c r="P561" s="2"/>
      <c r="Q561" s="50"/>
      <c r="R561" s="50"/>
      <c r="S561" s="2">
        <f>IFERROR(VLOOKUP(A561,IMPORT_DESISTENCIA!$A$2:$Q2273,14,0),"NÃO")</f>
        <v>0</v>
      </c>
      <c r="T561" s="35"/>
    </row>
    <row r="562" spans="1:20" ht="45" customHeight="1" x14ac:dyDescent="0.25">
      <c r="A562" s="2" t="str">
        <f t="shared" si="1"/>
        <v/>
      </c>
      <c r="B562" s="2"/>
      <c r="C562" s="43"/>
      <c r="D562" s="2"/>
      <c r="E562" s="2"/>
      <c r="F562" s="2"/>
      <c r="G562" s="11"/>
      <c r="H562" s="11"/>
      <c r="I562" s="2"/>
      <c r="J562" s="2"/>
      <c r="K562" s="2"/>
      <c r="L562" s="10"/>
      <c r="M562" s="9"/>
      <c r="N562" s="2"/>
      <c r="O562" s="2"/>
      <c r="P562" s="2"/>
      <c r="Q562" s="50"/>
      <c r="R562" s="50"/>
      <c r="S562" s="2">
        <f>IFERROR(VLOOKUP(A562,IMPORT_DESISTENCIA!$A$2:$Q2273,14,0),"NÃO")</f>
        <v>0</v>
      </c>
      <c r="T562" s="35"/>
    </row>
    <row r="563" spans="1:20" ht="45" customHeight="1" x14ac:dyDescent="0.25">
      <c r="A563" s="2" t="str">
        <f t="shared" si="1"/>
        <v/>
      </c>
      <c r="B563" s="2"/>
      <c r="C563" s="43"/>
      <c r="D563" s="2"/>
      <c r="E563" s="2"/>
      <c r="F563" s="2"/>
      <c r="G563" s="11"/>
      <c r="H563" s="11"/>
      <c r="I563" s="2"/>
      <c r="J563" s="2"/>
      <c r="K563" s="2"/>
      <c r="L563" s="10"/>
      <c r="M563" s="9"/>
      <c r="N563" s="2"/>
      <c r="O563" s="2"/>
      <c r="P563" s="2"/>
      <c r="Q563" s="50"/>
      <c r="R563" s="50"/>
      <c r="S563" s="2">
        <f>IFERROR(VLOOKUP(A563,IMPORT_DESISTENCIA!$A$2:$Q2273,14,0),"NÃO")</f>
        <v>0</v>
      </c>
      <c r="T563" s="35"/>
    </row>
    <row r="564" spans="1:20" ht="45" customHeight="1" x14ac:dyDescent="0.25">
      <c r="A564" s="2" t="str">
        <f t="shared" si="1"/>
        <v/>
      </c>
      <c r="B564" s="2"/>
      <c r="C564" s="43"/>
      <c r="D564" s="2"/>
      <c r="E564" s="2"/>
      <c r="F564" s="2"/>
      <c r="G564" s="11"/>
      <c r="H564" s="11"/>
      <c r="I564" s="2"/>
      <c r="J564" s="2"/>
      <c r="K564" s="2"/>
      <c r="L564" s="10"/>
      <c r="M564" s="9"/>
      <c r="N564" s="2"/>
      <c r="O564" s="2"/>
      <c r="P564" s="2"/>
      <c r="Q564" s="50"/>
      <c r="R564" s="50"/>
      <c r="S564" s="2">
        <f>IFERROR(VLOOKUP(A564,IMPORT_DESISTENCIA!$A$2:$Q2273,14,0),"NÃO")</f>
        <v>0</v>
      </c>
      <c r="T564" s="35"/>
    </row>
    <row r="565" spans="1:20" ht="45" customHeight="1" x14ac:dyDescent="0.25">
      <c r="A565" s="2" t="str">
        <f t="shared" si="1"/>
        <v/>
      </c>
      <c r="B565" s="2"/>
      <c r="C565" s="43"/>
      <c r="D565" s="2"/>
      <c r="E565" s="2"/>
      <c r="F565" s="2"/>
      <c r="G565" s="11"/>
      <c r="H565" s="11"/>
      <c r="I565" s="2"/>
      <c r="J565" s="2"/>
      <c r="K565" s="2"/>
      <c r="L565" s="10"/>
      <c r="M565" s="9"/>
      <c r="N565" s="2"/>
      <c r="O565" s="2"/>
      <c r="P565" s="2"/>
      <c r="Q565" s="50"/>
      <c r="R565" s="50"/>
      <c r="S565" s="2">
        <f>IFERROR(VLOOKUP(A565,IMPORT_DESISTENCIA!$A$2:$Q2273,14,0),"NÃO")</f>
        <v>0</v>
      </c>
      <c r="T565" s="35"/>
    </row>
    <row r="566" spans="1:20" ht="45" customHeight="1" x14ac:dyDescent="0.25">
      <c r="A566" s="2" t="str">
        <f t="shared" si="1"/>
        <v/>
      </c>
      <c r="B566" s="2"/>
      <c r="C566" s="43"/>
      <c r="D566" s="2"/>
      <c r="E566" s="2"/>
      <c r="F566" s="2"/>
      <c r="G566" s="11"/>
      <c r="H566" s="11"/>
      <c r="I566" s="2"/>
      <c r="J566" s="2"/>
      <c r="K566" s="2"/>
      <c r="L566" s="10"/>
      <c r="M566" s="9"/>
      <c r="N566" s="2"/>
      <c r="O566" s="2"/>
      <c r="P566" s="2"/>
      <c r="Q566" s="50"/>
      <c r="R566" s="50"/>
      <c r="S566" s="2">
        <f>IFERROR(VLOOKUP(A566,IMPORT_DESISTENCIA!$A$2:$Q2273,14,0),"NÃO")</f>
        <v>0</v>
      </c>
      <c r="T566" s="35"/>
    </row>
    <row r="567" spans="1:20" ht="45" customHeight="1" x14ac:dyDescent="0.25">
      <c r="A567" s="2" t="str">
        <f t="shared" si="1"/>
        <v/>
      </c>
      <c r="B567" s="2"/>
      <c r="C567" s="43"/>
      <c r="D567" s="2"/>
      <c r="E567" s="2"/>
      <c r="F567" s="2"/>
      <c r="G567" s="11"/>
      <c r="H567" s="11"/>
      <c r="I567" s="2"/>
      <c r="J567" s="2"/>
      <c r="K567" s="2"/>
      <c r="L567" s="10"/>
      <c r="M567" s="9"/>
      <c r="N567" s="2"/>
      <c r="O567" s="2"/>
      <c r="P567" s="2"/>
      <c r="Q567" s="50"/>
      <c r="R567" s="50"/>
      <c r="S567" s="2">
        <f>IFERROR(VLOOKUP(A567,IMPORT_DESISTENCIA!$A$2:$Q2273,14,0),"NÃO")</f>
        <v>0</v>
      </c>
      <c r="T567" s="35"/>
    </row>
    <row r="568" spans="1:20" ht="45" customHeight="1" x14ac:dyDescent="0.25">
      <c r="A568" s="2" t="str">
        <f t="shared" si="1"/>
        <v/>
      </c>
      <c r="B568" s="2"/>
      <c r="C568" s="43"/>
      <c r="D568" s="2"/>
      <c r="E568" s="2"/>
      <c r="F568" s="2"/>
      <c r="G568" s="11"/>
      <c r="H568" s="11"/>
      <c r="I568" s="2"/>
      <c r="J568" s="2"/>
      <c r="K568" s="2"/>
      <c r="L568" s="10"/>
      <c r="M568" s="9"/>
      <c r="N568" s="2"/>
      <c r="O568" s="2"/>
      <c r="P568" s="2"/>
      <c r="Q568" s="50"/>
      <c r="R568" s="50"/>
      <c r="S568" s="2">
        <f>IFERROR(VLOOKUP(A568,IMPORT_DESISTENCIA!$A$2:$Q2273,14,0),"NÃO")</f>
        <v>0</v>
      </c>
      <c r="T568" s="35"/>
    </row>
    <row r="569" spans="1:20" ht="45" customHeight="1" x14ac:dyDescent="0.25">
      <c r="A569" s="2" t="str">
        <f t="shared" si="1"/>
        <v/>
      </c>
      <c r="B569" s="2"/>
      <c r="C569" s="43"/>
      <c r="D569" s="2"/>
      <c r="E569" s="2"/>
      <c r="F569" s="2"/>
      <c r="G569" s="11"/>
      <c r="H569" s="11"/>
      <c r="I569" s="2"/>
      <c r="J569" s="2"/>
      <c r="K569" s="2"/>
      <c r="L569" s="10"/>
      <c r="M569" s="9"/>
      <c r="N569" s="2"/>
      <c r="O569" s="2"/>
      <c r="P569" s="2"/>
      <c r="Q569" s="50"/>
      <c r="R569" s="50"/>
      <c r="S569" s="2">
        <f>IFERROR(VLOOKUP(A569,IMPORT_DESISTENCIA!$A$2:$Q2273,14,0),"NÃO")</f>
        <v>0</v>
      </c>
      <c r="T569" s="35"/>
    </row>
    <row r="570" spans="1:20" ht="45" customHeight="1" x14ac:dyDescent="0.25">
      <c r="A570" s="2" t="str">
        <f t="shared" si="1"/>
        <v/>
      </c>
      <c r="B570" s="2"/>
      <c r="C570" s="43"/>
      <c r="D570" s="2"/>
      <c r="E570" s="2"/>
      <c r="F570" s="2"/>
      <c r="G570" s="11"/>
      <c r="H570" s="11"/>
      <c r="I570" s="2"/>
      <c r="J570" s="2"/>
      <c r="K570" s="2"/>
      <c r="L570" s="10"/>
      <c r="M570" s="9"/>
      <c r="N570" s="2"/>
      <c r="O570" s="2"/>
      <c r="P570" s="2"/>
      <c r="Q570" s="50"/>
      <c r="R570" s="50"/>
      <c r="S570" s="2">
        <f>IFERROR(VLOOKUP(A570,IMPORT_DESISTENCIA!$A$2:$Q2273,14,0),"NÃO")</f>
        <v>0</v>
      </c>
      <c r="T570" s="35"/>
    </row>
    <row r="571" spans="1:20" ht="45" customHeight="1" x14ac:dyDescent="0.25">
      <c r="A571" s="2" t="str">
        <f t="shared" si="1"/>
        <v/>
      </c>
      <c r="B571" s="2"/>
      <c r="C571" s="43"/>
      <c r="D571" s="2"/>
      <c r="E571" s="2"/>
      <c r="F571" s="2"/>
      <c r="G571" s="11"/>
      <c r="H571" s="11"/>
      <c r="I571" s="2"/>
      <c r="J571" s="2"/>
      <c r="K571" s="2"/>
      <c r="L571" s="10"/>
      <c r="M571" s="9"/>
      <c r="N571" s="2"/>
      <c r="O571" s="2"/>
      <c r="P571" s="2"/>
      <c r="Q571" s="50"/>
      <c r="R571" s="50"/>
      <c r="S571" s="2">
        <f>IFERROR(VLOOKUP(A571,IMPORT_DESISTENCIA!$A$2:$Q2273,14,0),"NÃO")</f>
        <v>0</v>
      </c>
      <c r="T571" s="35"/>
    </row>
    <row r="572" spans="1:20" ht="45" customHeight="1" x14ac:dyDescent="0.25">
      <c r="A572" s="2" t="str">
        <f t="shared" si="1"/>
        <v/>
      </c>
      <c r="B572" s="2"/>
      <c r="C572" s="43"/>
      <c r="D572" s="2"/>
      <c r="E572" s="2"/>
      <c r="F572" s="2"/>
      <c r="G572" s="11"/>
      <c r="H572" s="11"/>
      <c r="I572" s="2"/>
      <c r="J572" s="2"/>
      <c r="K572" s="2"/>
      <c r="L572" s="10"/>
      <c r="M572" s="9"/>
      <c r="N572" s="2"/>
      <c r="O572" s="2"/>
      <c r="P572" s="2"/>
      <c r="Q572" s="50"/>
      <c r="R572" s="50"/>
      <c r="S572" s="2">
        <f>IFERROR(VLOOKUP(A572,IMPORT_DESISTENCIA!$A$2:$Q2273,14,0),"NÃO")</f>
        <v>0</v>
      </c>
      <c r="T572" s="35"/>
    </row>
    <row r="573" spans="1:20" ht="45" customHeight="1" x14ac:dyDescent="0.25">
      <c r="A573" s="2" t="str">
        <f t="shared" si="1"/>
        <v/>
      </c>
      <c r="B573" s="2"/>
      <c r="C573" s="43"/>
      <c r="D573" s="2"/>
      <c r="E573" s="2"/>
      <c r="F573" s="2"/>
      <c r="G573" s="11"/>
      <c r="H573" s="11"/>
      <c r="I573" s="2"/>
      <c r="J573" s="2"/>
      <c r="K573" s="2"/>
      <c r="L573" s="10"/>
      <c r="M573" s="9"/>
      <c r="N573" s="2"/>
      <c r="O573" s="2"/>
      <c r="P573" s="2"/>
      <c r="Q573" s="50"/>
      <c r="R573" s="50"/>
      <c r="S573" s="2">
        <f>IFERROR(VLOOKUP(A573,IMPORT_DESISTENCIA!$A$2:$Q2273,14,0),"NÃO")</f>
        <v>0</v>
      </c>
      <c r="T573" s="35"/>
    </row>
    <row r="574" spans="1:20" ht="45" customHeight="1" x14ac:dyDescent="0.25">
      <c r="A574" s="2" t="str">
        <f t="shared" si="1"/>
        <v/>
      </c>
      <c r="B574" s="2"/>
      <c r="C574" s="43"/>
      <c r="D574" s="2"/>
      <c r="E574" s="2"/>
      <c r="F574" s="2"/>
      <c r="G574" s="11"/>
      <c r="H574" s="11"/>
      <c r="I574" s="2"/>
      <c r="J574" s="2"/>
      <c r="K574" s="2"/>
      <c r="L574" s="10"/>
      <c r="M574" s="9"/>
      <c r="N574" s="2"/>
      <c r="O574" s="2"/>
      <c r="P574" s="2"/>
      <c r="Q574" s="50"/>
      <c r="R574" s="50"/>
      <c r="S574" s="2">
        <f>IFERROR(VLOOKUP(A574,IMPORT_DESISTENCIA!$A$2:$Q2273,14,0),"NÃO")</f>
        <v>0</v>
      </c>
      <c r="T574" s="35"/>
    </row>
    <row r="575" spans="1:20" ht="45" customHeight="1" x14ac:dyDescent="0.25">
      <c r="A575" s="2" t="str">
        <f t="shared" si="1"/>
        <v/>
      </c>
      <c r="B575" s="2"/>
      <c r="C575" s="43"/>
      <c r="D575" s="2"/>
      <c r="E575" s="2"/>
      <c r="F575" s="2"/>
      <c r="G575" s="11"/>
      <c r="H575" s="11"/>
      <c r="I575" s="2"/>
      <c r="J575" s="2"/>
      <c r="K575" s="2"/>
      <c r="L575" s="10"/>
      <c r="M575" s="9"/>
      <c r="N575" s="2"/>
      <c r="O575" s="2"/>
      <c r="P575" s="2"/>
      <c r="Q575" s="50"/>
      <c r="R575" s="50"/>
      <c r="S575" s="2">
        <f>IFERROR(VLOOKUP(A575,IMPORT_DESISTENCIA!$A$2:$Q2273,14,0),"NÃO")</f>
        <v>0</v>
      </c>
      <c r="T575" s="35"/>
    </row>
    <row r="576" spans="1:20" ht="45" customHeight="1" x14ac:dyDescent="0.25">
      <c r="A576" s="2" t="str">
        <f t="shared" si="1"/>
        <v/>
      </c>
      <c r="B576" s="2"/>
      <c r="C576" s="43"/>
      <c r="D576" s="2"/>
      <c r="E576" s="2"/>
      <c r="F576" s="2"/>
      <c r="G576" s="11"/>
      <c r="H576" s="11"/>
      <c r="I576" s="2"/>
      <c r="J576" s="2"/>
      <c r="K576" s="2"/>
      <c r="L576" s="10"/>
      <c r="M576" s="9"/>
      <c r="N576" s="2"/>
      <c r="O576" s="2"/>
      <c r="P576" s="2"/>
      <c r="Q576" s="50"/>
      <c r="R576" s="50"/>
      <c r="S576" s="2">
        <f>IFERROR(VLOOKUP(A576,IMPORT_DESISTENCIA!$A$2:$Q2273,14,0),"NÃO")</f>
        <v>0</v>
      </c>
      <c r="T576" s="35"/>
    </row>
    <row r="577" spans="1:20" ht="45" customHeight="1" x14ac:dyDescent="0.25">
      <c r="A577" s="2" t="str">
        <f t="shared" si="1"/>
        <v/>
      </c>
      <c r="B577" s="2"/>
      <c r="C577" s="43"/>
      <c r="D577" s="2"/>
      <c r="E577" s="2"/>
      <c r="F577" s="2"/>
      <c r="G577" s="11"/>
      <c r="H577" s="11"/>
      <c r="I577" s="2"/>
      <c r="J577" s="2"/>
      <c r="K577" s="2"/>
      <c r="L577" s="10"/>
      <c r="M577" s="9"/>
      <c r="N577" s="2"/>
      <c r="O577" s="2"/>
      <c r="P577" s="2"/>
      <c r="Q577" s="50"/>
      <c r="R577" s="50"/>
      <c r="S577" s="2">
        <f>IFERROR(VLOOKUP(A577,IMPORT_DESISTENCIA!$A$2:$Q2273,14,0),"NÃO")</f>
        <v>0</v>
      </c>
      <c r="T577" s="35"/>
    </row>
    <row r="578" spans="1:20" ht="45" customHeight="1" x14ac:dyDescent="0.25">
      <c r="A578" s="2" t="str">
        <f t="shared" si="1"/>
        <v/>
      </c>
      <c r="B578" s="2"/>
      <c r="C578" s="43"/>
      <c r="D578" s="2"/>
      <c r="E578" s="2"/>
      <c r="F578" s="2"/>
      <c r="G578" s="11"/>
      <c r="H578" s="11"/>
      <c r="I578" s="2"/>
      <c r="J578" s="2"/>
      <c r="K578" s="2"/>
      <c r="L578" s="10"/>
      <c r="M578" s="9"/>
      <c r="N578" s="2"/>
      <c r="O578" s="2"/>
      <c r="P578" s="2"/>
      <c r="Q578" s="50"/>
      <c r="R578" s="50"/>
      <c r="S578" s="2">
        <f>IFERROR(VLOOKUP(A578,IMPORT_DESISTENCIA!$A$2:$Q2273,14,0),"NÃO")</f>
        <v>0</v>
      </c>
      <c r="T578" s="35"/>
    </row>
    <row r="579" spans="1:20" ht="45" customHeight="1" x14ac:dyDescent="0.25">
      <c r="A579" s="2" t="str">
        <f t="shared" si="1"/>
        <v/>
      </c>
      <c r="B579" s="2"/>
      <c r="C579" s="43"/>
      <c r="D579" s="2"/>
      <c r="E579" s="2"/>
      <c r="F579" s="2"/>
      <c r="G579" s="11"/>
      <c r="H579" s="11"/>
      <c r="I579" s="2"/>
      <c r="J579" s="2"/>
      <c r="K579" s="2"/>
      <c r="L579" s="10"/>
      <c r="M579" s="9"/>
      <c r="N579" s="2"/>
      <c r="O579" s="2"/>
      <c r="P579" s="2"/>
      <c r="Q579" s="50"/>
      <c r="R579" s="50"/>
      <c r="S579" s="2">
        <f>IFERROR(VLOOKUP(A579,IMPORT_DESISTENCIA!$A$2:$Q2273,14,0),"NÃO")</f>
        <v>0</v>
      </c>
      <c r="T579" s="35"/>
    </row>
    <row r="580" spans="1:20" ht="45" customHeight="1" x14ac:dyDescent="0.25">
      <c r="A580" s="2" t="str">
        <f t="shared" si="1"/>
        <v/>
      </c>
      <c r="B580" s="2"/>
      <c r="C580" s="43"/>
      <c r="D580" s="2"/>
      <c r="E580" s="2"/>
      <c r="F580" s="2"/>
      <c r="G580" s="11"/>
      <c r="H580" s="11"/>
      <c r="I580" s="2"/>
      <c r="J580" s="2"/>
      <c r="K580" s="2"/>
      <c r="L580" s="10"/>
      <c r="M580" s="9"/>
      <c r="N580" s="2"/>
      <c r="O580" s="2"/>
      <c r="P580" s="2"/>
      <c r="Q580" s="50"/>
      <c r="R580" s="50"/>
      <c r="S580" s="2">
        <f>IFERROR(VLOOKUP(A580,IMPORT_DESISTENCIA!$A$2:$Q2273,14,0),"NÃO")</f>
        <v>0</v>
      </c>
      <c r="T580" s="35"/>
    </row>
    <row r="581" spans="1:20" ht="45" customHeight="1" x14ac:dyDescent="0.25">
      <c r="A581" s="2" t="str">
        <f t="shared" si="1"/>
        <v/>
      </c>
      <c r="B581" s="2"/>
      <c r="C581" s="43"/>
      <c r="D581" s="2"/>
      <c r="E581" s="2"/>
      <c r="F581" s="2"/>
      <c r="G581" s="11"/>
      <c r="H581" s="11"/>
      <c r="I581" s="2"/>
      <c r="J581" s="2"/>
      <c r="K581" s="2"/>
      <c r="L581" s="10"/>
      <c r="M581" s="9"/>
      <c r="N581" s="2"/>
      <c r="O581" s="2"/>
      <c r="P581" s="2"/>
      <c r="Q581" s="50"/>
      <c r="R581" s="50"/>
      <c r="S581" s="2">
        <f>IFERROR(VLOOKUP(A581,IMPORT_DESISTENCIA!$A$2:$Q2273,14,0),"NÃO")</f>
        <v>0</v>
      </c>
      <c r="T581" s="35"/>
    </row>
    <row r="582" spans="1:20" ht="45" customHeight="1" x14ac:dyDescent="0.25">
      <c r="A582" s="2" t="str">
        <f t="shared" si="1"/>
        <v/>
      </c>
      <c r="B582" s="2"/>
      <c r="C582" s="43"/>
      <c r="D582" s="2"/>
      <c r="E582" s="2"/>
      <c r="F582" s="2"/>
      <c r="G582" s="11"/>
      <c r="H582" s="11"/>
      <c r="I582" s="2"/>
      <c r="J582" s="2"/>
      <c r="K582" s="2"/>
      <c r="L582" s="10"/>
      <c r="M582" s="9"/>
      <c r="N582" s="2"/>
      <c r="O582" s="2"/>
      <c r="P582" s="2"/>
      <c r="Q582" s="50"/>
      <c r="R582" s="50"/>
      <c r="S582" s="2">
        <f>IFERROR(VLOOKUP(A582,IMPORT_DESISTENCIA!$A$2:$Q2273,14,0),"NÃO")</f>
        <v>0</v>
      </c>
      <c r="T582" s="35"/>
    </row>
    <row r="583" spans="1:20" ht="45" customHeight="1" x14ac:dyDescent="0.25">
      <c r="A583" s="2" t="str">
        <f t="shared" si="1"/>
        <v/>
      </c>
      <c r="B583" s="2"/>
      <c r="C583" s="43"/>
      <c r="D583" s="2"/>
      <c r="E583" s="2"/>
      <c r="F583" s="2"/>
      <c r="G583" s="11"/>
      <c r="H583" s="11"/>
      <c r="I583" s="2"/>
      <c r="J583" s="2"/>
      <c r="K583" s="2"/>
      <c r="L583" s="10"/>
      <c r="M583" s="9"/>
      <c r="N583" s="2"/>
      <c r="O583" s="2"/>
      <c r="P583" s="2"/>
      <c r="Q583" s="50"/>
      <c r="R583" s="50"/>
      <c r="S583" s="2">
        <f>IFERROR(VLOOKUP(A583,IMPORT_DESISTENCIA!$A$2:$Q2273,14,0),"NÃO")</f>
        <v>0</v>
      </c>
      <c r="T583" s="35"/>
    </row>
    <row r="584" spans="1:20" ht="45" customHeight="1" x14ac:dyDescent="0.25">
      <c r="A584" s="2" t="str">
        <f t="shared" si="1"/>
        <v/>
      </c>
      <c r="B584" s="2"/>
      <c r="C584" s="43"/>
      <c r="D584" s="2"/>
      <c r="E584" s="2"/>
      <c r="F584" s="2"/>
      <c r="G584" s="11"/>
      <c r="H584" s="11"/>
      <c r="I584" s="2"/>
      <c r="J584" s="2"/>
      <c r="K584" s="2"/>
      <c r="L584" s="10"/>
      <c r="M584" s="9"/>
      <c r="N584" s="2"/>
      <c r="O584" s="2"/>
      <c r="P584" s="2"/>
      <c r="Q584" s="50"/>
      <c r="R584" s="50"/>
      <c r="S584" s="2">
        <f>IFERROR(VLOOKUP(A584,IMPORT_DESISTENCIA!$A$2:$Q2273,14,0),"NÃO")</f>
        <v>0</v>
      </c>
      <c r="T584" s="35"/>
    </row>
    <row r="585" spans="1:20" ht="45" customHeight="1" x14ac:dyDescent="0.25">
      <c r="A585" s="2" t="str">
        <f t="shared" si="1"/>
        <v/>
      </c>
      <c r="B585" s="2"/>
      <c r="C585" s="43"/>
      <c r="D585" s="2"/>
      <c r="E585" s="2"/>
      <c r="F585" s="2"/>
      <c r="G585" s="11"/>
      <c r="H585" s="11"/>
      <c r="I585" s="2"/>
      <c r="J585" s="2"/>
      <c r="K585" s="2"/>
      <c r="L585" s="10"/>
      <c r="M585" s="9"/>
      <c r="N585" s="2"/>
      <c r="O585" s="2"/>
      <c r="P585" s="2"/>
      <c r="Q585" s="50"/>
      <c r="R585" s="50"/>
      <c r="S585" s="2">
        <f>IFERROR(VLOOKUP(A585,IMPORT_DESISTENCIA!$A$2:$Q2273,14,0),"NÃO")</f>
        <v>0</v>
      </c>
      <c r="T585" s="35"/>
    </row>
    <row r="586" spans="1:20" ht="45" customHeight="1" x14ac:dyDescent="0.25">
      <c r="A586" s="2" t="str">
        <f t="shared" si="1"/>
        <v/>
      </c>
      <c r="B586" s="2"/>
      <c r="C586" s="43"/>
      <c r="D586" s="2"/>
      <c r="E586" s="2"/>
      <c r="F586" s="2"/>
      <c r="G586" s="11"/>
      <c r="H586" s="11"/>
      <c r="I586" s="2"/>
      <c r="J586" s="2"/>
      <c r="K586" s="2"/>
      <c r="L586" s="10"/>
      <c r="M586" s="9"/>
      <c r="N586" s="2"/>
      <c r="O586" s="2"/>
      <c r="P586" s="2"/>
      <c r="Q586" s="50"/>
      <c r="R586" s="50"/>
      <c r="S586" s="2">
        <f>IFERROR(VLOOKUP(A586,IMPORT_DESISTENCIA!$A$2:$Q2273,14,0),"NÃO")</f>
        <v>0</v>
      </c>
      <c r="T586" s="35"/>
    </row>
    <row r="587" spans="1:20" ht="45" customHeight="1" x14ac:dyDescent="0.25">
      <c r="A587" s="2" t="str">
        <f t="shared" si="1"/>
        <v/>
      </c>
      <c r="B587" s="2"/>
      <c r="C587" s="43"/>
      <c r="D587" s="2"/>
      <c r="E587" s="2"/>
      <c r="F587" s="2"/>
      <c r="G587" s="11"/>
      <c r="H587" s="11"/>
      <c r="I587" s="2"/>
      <c r="J587" s="2"/>
      <c r="K587" s="2"/>
      <c r="L587" s="10"/>
      <c r="M587" s="9"/>
      <c r="N587" s="2"/>
      <c r="O587" s="2"/>
      <c r="P587" s="2"/>
      <c r="Q587" s="50"/>
      <c r="R587" s="50"/>
      <c r="S587" s="2">
        <f>IFERROR(VLOOKUP(A587,IMPORT_DESISTENCIA!$A$2:$Q2273,14,0),"NÃO")</f>
        <v>0</v>
      </c>
      <c r="T587" s="35"/>
    </row>
    <row r="588" spans="1:20" ht="45" customHeight="1" x14ac:dyDescent="0.25">
      <c r="A588" s="2" t="str">
        <f t="shared" si="1"/>
        <v/>
      </c>
      <c r="B588" s="2"/>
      <c r="C588" s="43"/>
      <c r="D588" s="2"/>
      <c r="E588" s="2"/>
      <c r="F588" s="2"/>
      <c r="G588" s="11"/>
      <c r="H588" s="11"/>
      <c r="I588" s="2"/>
      <c r="J588" s="2"/>
      <c r="K588" s="2"/>
      <c r="L588" s="10"/>
      <c r="M588" s="9"/>
      <c r="N588" s="2"/>
      <c r="O588" s="2"/>
      <c r="P588" s="2"/>
      <c r="Q588" s="50"/>
      <c r="R588" s="50"/>
      <c r="S588" s="2">
        <f>IFERROR(VLOOKUP(A588,IMPORT_DESISTENCIA!$A$2:$Q2273,14,0),"NÃO")</f>
        <v>0</v>
      </c>
      <c r="T588" s="35"/>
    </row>
    <row r="589" spans="1:20" ht="45" customHeight="1" x14ac:dyDescent="0.25">
      <c r="A589" s="2" t="str">
        <f t="shared" si="1"/>
        <v/>
      </c>
      <c r="B589" s="2"/>
      <c r="C589" s="43"/>
      <c r="D589" s="2"/>
      <c r="E589" s="2"/>
      <c r="F589" s="2"/>
      <c r="G589" s="11"/>
      <c r="H589" s="11"/>
      <c r="I589" s="2"/>
      <c r="J589" s="2"/>
      <c r="K589" s="2"/>
      <c r="L589" s="10"/>
      <c r="M589" s="9"/>
      <c r="N589" s="2"/>
      <c r="O589" s="2"/>
      <c r="P589" s="2"/>
      <c r="Q589" s="50"/>
      <c r="R589" s="50"/>
      <c r="S589" s="2">
        <f>IFERROR(VLOOKUP(A589,IMPORT_DESISTENCIA!$A$2:$Q2273,14,0),"NÃO")</f>
        <v>0</v>
      </c>
      <c r="T589" s="35"/>
    </row>
    <row r="590" spans="1:20" ht="45" customHeight="1" x14ac:dyDescent="0.25">
      <c r="A590" s="2" t="str">
        <f t="shared" si="1"/>
        <v/>
      </c>
      <c r="B590" s="2"/>
      <c r="C590" s="43"/>
      <c r="D590" s="2"/>
      <c r="E590" s="2"/>
      <c r="F590" s="2"/>
      <c r="G590" s="11"/>
      <c r="H590" s="11"/>
      <c r="I590" s="2"/>
      <c r="J590" s="2"/>
      <c r="K590" s="2"/>
      <c r="L590" s="10"/>
      <c r="M590" s="9"/>
      <c r="N590" s="2"/>
      <c r="O590" s="2"/>
      <c r="P590" s="2"/>
      <c r="Q590" s="50"/>
      <c r="R590" s="50"/>
      <c r="S590" s="2">
        <f>IFERROR(VLOOKUP(A590,IMPORT_DESISTENCIA!$A$2:$Q2273,14,0),"NÃO")</f>
        <v>0</v>
      </c>
      <c r="T590" s="35"/>
    </row>
    <row r="591" spans="1:20" ht="45" customHeight="1" x14ac:dyDescent="0.25">
      <c r="A591" s="2" t="str">
        <f t="shared" si="1"/>
        <v/>
      </c>
      <c r="B591" s="2"/>
      <c r="C591" s="43"/>
      <c r="D591" s="2"/>
      <c r="E591" s="2"/>
      <c r="F591" s="2"/>
      <c r="G591" s="11"/>
      <c r="H591" s="11"/>
      <c r="I591" s="2"/>
      <c r="J591" s="2"/>
      <c r="K591" s="2"/>
      <c r="L591" s="10"/>
      <c r="M591" s="9"/>
      <c r="N591" s="2"/>
      <c r="O591" s="2"/>
      <c r="P591" s="2"/>
      <c r="Q591" s="50"/>
      <c r="R591" s="50"/>
      <c r="S591" s="2">
        <f>IFERROR(VLOOKUP(A591,IMPORT_DESISTENCIA!$A$2:$Q2273,14,0),"NÃO")</f>
        <v>0</v>
      </c>
      <c r="T591" s="35"/>
    </row>
    <row r="592" spans="1:20" ht="45" customHeight="1" x14ac:dyDescent="0.25">
      <c r="A592" s="2" t="str">
        <f t="shared" si="1"/>
        <v/>
      </c>
      <c r="B592" s="2"/>
      <c r="C592" s="43"/>
      <c r="D592" s="2"/>
      <c r="E592" s="2"/>
      <c r="F592" s="2"/>
      <c r="G592" s="11"/>
      <c r="H592" s="11"/>
      <c r="I592" s="2"/>
      <c r="J592" s="2"/>
      <c r="K592" s="2"/>
      <c r="L592" s="10"/>
      <c r="M592" s="9"/>
      <c r="N592" s="2"/>
      <c r="O592" s="2"/>
      <c r="P592" s="2"/>
      <c r="Q592" s="50"/>
      <c r="R592" s="50"/>
      <c r="S592" s="2">
        <f>IFERROR(VLOOKUP(A592,IMPORT_DESISTENCIA!$A$2:$Q2273,14,0),"NÃO")</f>
        <v>0</v>
      </c>
      <c r="T592" s="35"/>
    </row>
    <row r="593" spans="1:20" ht="45" customHeight="1" x14ac:dyDescent="0.25">
      <c r="A593" s="2" t="str">
        <f t="shared" si="1"/>
        <v/>
      </c>
      <c r="B593" s="2"/>
      <c r="C593" s="43"/>
      <c r="D593" s="2"/>
      <c r="E593" s="2"/>
      <c r="F593" s="2"/>
      <c r="G593" s="11"/>
      <c r="H593" s="11"/>
      <c r="I593" s="2"/>
      <c r="J593" s="2"/>
      <c r="K593" s="2"/>
      <c r="L593" s="10"/>
      <c r="M593" s="9"/>
      <c r="N593" s="2"/>
      <c r="O593" s="2"/>
      <c r="P593" s="2"/>
      <c r="Q593" s="50"/>
      <c r="R593" s="50"/>
      <c r="S593" s="2">
        <f>IFERROR(VLOOKUP(A593,IMPORT_DESISTENCIA!$A$2:$Q2273,14,0),"NÃO")</f>
        <v>0</v>
      </c>
      <c r="T593" s="35"/>
    </row>
    <row r="594" spans="1:20" ht="45" customHeight="1" x14ac:dyDescent="0.25">
      <c r="A594" s="2" t="str">
        <f t="shared" si="1"/>
        <v/>
      </c>
      <c r="B594" s="2"/>
      <c r="C594" s="43"/>
      <c r="D594" s="2"/>
      <c r="E594" s="2"/>
      <c r="F594" s="2"/>
      <c r="G594" s="11"/>
      <c r="H594" s="11"/>
      <c r="I594" s="2"/>
      <c r="J594" s="2"/>
      <c r="K594" s="2"/>
      <c r="L594" s="10"/>
      <c r="M594" s="9"/>
      <c r="N594" s="2"/>
      <c r="O594" s="2"/>
      <c r="P594" s="2"/>
      <c r="Q594" s="50"/>
      <c r="R594" s="50"/>
      <c r="S594" s="2">
        <f>IFERROR(VLOOKUP(A594,IMPORT_DESISTENCIA!$A$2:$Q2273,14,0),"NÃO")</f>
        <v>0</v>
      </c>
      <c r="T594" s="35"/>
    </row>
    <row r="595" spans="1:20" ht="45" customHeight="1" x14ac:dyDescent="0.25">
      <c r="A595" s="2" t="str">
        <f t="shared" si="1"/>
        <v/>
      </c>
      <c r="B595" s="2"/>
      <c r="C595" s="43"/>
      <c r="D595" s="2"/>
      <c r="E595" s="2"/>
      <c r="F595" s="2"/>
      <c r="G595" s="11"/>
      <c r="H595" s="11"/>
      <c r="I595" s="2"/>
      <c r="J595" s="2"/>
      <c r="K595" s="2"/>
      <c r="L595" s="10"/>
      <c r="M595" s="9"/>
      <c r="N595" s="2"/>
      <c r="O595" s="2"/>
      <c r="P595" s="2"/>
      <c r="Q595" s="50"/>
      <c r="R595" s="50"/>
      <c r="S595" s="2">
        <f>IFERROR(VLOOKUP(A595,IMPORT_DESISTENCIA!$A$2:$Q2273,14,0),"NÃO")</f>
        <v>0</v>
      </c>
      <c r="T595" s="35"/>
    </row>
    <row r="596" spans="1:20" ht="45" customHeight="1" x14ac:dyDescent="0.25">
      <c r="A596" s="2" t="str">
        <f t="shared" si="1"/>
        <v/>
      </c>
      <c r="B596" s="2"/>
      <c r="C596" s="43"/>
      <c r="D596" s="2"/>
      <c r="E596" s="2"/>
      <c r="F596" s="2"/>
      <c r="G596" s="11"/>
      <c r="H596" s="11"/>
      <c r="I596" s="2"/>
      <c r="J596" s="2"/>
      <c r="K596" s="2"/>
      <c r="L596" s="10"/>
      <c r="M596" s="9"/>
      <c r="N596" s="2"/>
      <c r="O596" s="2"/>
      <c r="P596" s="2"/>
      <c r="Q596" s="50"/>
      <c r="R596" s="50"/>
      <c r="S596" s="2">
        <f>IFERROR(VLOOKUP(A596,IMPORT_DESISTENCIA!$A$2:$Q2273,14,0),"NÃO")</f>
        <v>0</v>
      </c>
      <c r="T596" s="35"/>
    </row>
    <row r="597" spans="1:20" ht="45" customHeight="1" x14ac:dyDescent="0.25">
      <c r="A597" s="2" t="str">
        <f t="shared" si="1"/>
        <v/>
      </c>
      <c r="B597" s="2"/>
      <c r="C597" s="43"/>
      <c r="D597" s="2"/>
      <c r="E597" s="2"/>
      <c r="F597" s="2"/>
      <c r="G597" s="11"/>
      <c r="H597" s="11"/>
      <c r="I597" s="2"/>
      <c r="J597" s="2"/>
      <c r="K597" s="2"/>
      <c r="L597" s="10"/>
      <c r="M597" s="9"/>
      <c r="N597" s="2"/>
      <c r="O597" s="2"/>
      <c r="P597" s="2"/>
      <c r="Q597" s="50"/>
      <c r="R597" s="50"/>
      <c r="S597" s="2">
        <f>IFERROR(VLOOKUP(A597,IMPORT_DESISTENCIA!$A$2:$Q2273,14,0),"NÃO")</f>
        <v>0</v>
      </c>
      <c r="T597" s="35"/>
    </row>
    <row r="598" spans="1:20" ht="45" customHeight="1" x14ac:dyDescent="0.25">
      <c r="A598" s="2" t="str">
        <f t="shared" si="1"/>
        <v/>
      </c>
      <c r="B598" s="2"/>
      <c r="C598" s="43"/>
      <c r="D598" s="2"/>
      <c r="E598" s="2"/>
      <c r="F598" s="2"/>
      <c r="G598" s="11"/>
      <c r="H598" s="11"/>
      <c r="I598" s="2"/>
      <c r="J598" s="2"/>
      <c r="K598" s="2"/>
      <c r="L598" s="10"/>
      <c r="M598" s="9"/>
      <c r="N598" s="2"/>
      <c r="O598" s="2"/>
      <c r="P598" s="2"/>
      <c r="Q598" s="50"/>
      <c r="R598" s="50"/>
      <c r="S598" s="2">
        <f>IFERROR(VLOOKUP(A598,IMPORT_DESISTENCIA!$A$2:$Q2273,14,0),"NÃO")</f>
        <v>0</v>
      </c>
      <c r="T598" s="35"/>
    </row>
    <row r="599" spans="1:20" ht="45" customHeight="1" x14ac:dyDescent="0.25">
      <c r="A599" s="2" t="str">
        <f t="shared" si="1"/>
        <v/>
      </c>
      <c r="B599" s="2"/>
      <c r="C599" s="43"/>
      <c r="D599" s="2"/>
      <c r="E599" s="2"/>
      <c r="F599" s="2"/>
      <c r="G599" s="11"/>
      <c r="H599" s="11"/>
      <c r="I599" s="2"/>
      <c r="J599" s="2"/>
      <c r="K599" s="2"/>
      <c r="L599" s="10"/>
      <c r="M599" s="9"/>
      <c r="N599" s="2"/>
      <c r="O599" s="2"/>
      <c r="P599" s="2"/>
      <c r="Q599" s="50"/>
      <c r="R599" s="50"/>
      <c r="S599" s="2">
        <f>IFERROR(VLOOKUP(A599,IMPORT_DESISTENCIA!$A$2:$Q2273,14,0),"NÃO")</f>
        <v>0</v>
      </c>
      <c r="T599" s="35"/>
    </row>
    <row r="600" spans="1:20" ht="45" customHeight="1" x14ac:dyDescent="0.25">
      <c r="A600" s="2" t="str">
        <f t="shared" si="1"/>
        <v/>
      </c>
      <c r="B600" s="2"/>
      <c r="C600" s="43"/>
      <c r="D600" s="2"/>
      <c r="E600" s="2"/>
      <c r="F600" s="2"/>
      <c r="G600" s="11"/>
      <c r="H600" s="11"/>
      <c r="I600" s="2"/>
      <c r="J600" s="2"/>
      <c r="K600" s="2"/>
      <c r="L600" s="10"/>
      <c r="M600" s="9"/>
      <c r="N600" s="2"/>
      <c r="O600" s="2"/>
      <c r="P600" s="2"/>
      <c r="Q600" s="50"/>
      <c r="R600" s="50"/>
      <c r="S600" s="2">
        <f>IFERROR(VLOOKUP(A600,IMPORT_DESISTENCIA!$A$2:$Q2273,14,0),"NÃO")</f>
        <v>0</v>
      </c>
      <c r="T600" s="35"/>
    </row>
    <row r="601" spans="1:20" ht="45" customHeight="1" x14ac:dyDescent="0.25">
      <c r="A601" s="2" t="str">
        <f t="shared" si="1"/>
        <v/>
      </c>
      <c r="B601" s="2"/>
      <c r="C601" s="43"/>
      <c r="D601" s="2"/>
      <c r="E601" s="2"/>
      <c r="F601" s="2"/>
      <c r="G601" s="11"/>
      <c r="H601" s="11"/>
      <c r="I601" s="2"/>
      <c r="J601" s="2"/>
      <c r="K601" s="2"/>
      <c r="L601" s="10"/>
      <c r="M601" s="9"/>
      <c r="N601" s="2"/>
      <c r="O601" s="2"/>
      <c r="P601" s="2"/>
      <c r="Q601" s="50"/>
      <c r="R601" s="50"/>
      <c r="S601" s="2">
        <f>IFERROR(VLOOKUP(A601,IMPORT_DESISTENCIA!$A$2:$Q2273,14,0),"NÃO")</f>
        <v>0</v>
      </c>
      <c r="T601" s="35"/>
    </row>
    <row r="602" spans="1:20" ht="45" customHeight="1" x14ac:dyDescent="0.25">
      <c r="A602" s="2" t="str">
        <f t="shared" si="1"/>
        <v/>
      </c>
      <c r="B602" s="2"/>
      <c r="C602" s="43"/>
      <c r="D602" s="2"/>
      <c r="E602" s="2"/>
      <c r="F602" s="2"/>
      <c r="G602" s="11"/>
      <c r="H602" s="11"/>
      <c r="I602" s="2"/>
      <c r="J602" s="2"/>
      <c r="K602" s="2"/>
      <c r="L602" s="10"/>
      <c r="M602" s="9"/>
      <c r="N602" s="2"/>
      <c r="O602" s="2"/>
      <c r="P602" s="2"/>
      <c r="Q602" s="50"/>
      <c r="R602" s="50"/>
      <c r="S602" s="2">
        <f>IFERROR(VLOOKUP(A602,IMPORT_DESISTENCIA!$A$2:$Q2273,14,0),"NÃO")</f>
        <v>0</v>
      </c>
      <c r="T602" s="35"/>
    </row>
    <row r="603" spans="1:20" ht="45" customHeight="1" x14ac:dyDescent="0.25">
      <c r="A603" s="2" t="str">
        <f t="shared" si="1"/>
        <v/>
      </c>
      <c r="B603" s="2"/>
      <c r="C603" s="43"/>
      <c r="D603" s="2"/>
      <c r="E603" s="2"/>
      <c r="F603" s="2"/>
      <c r="G603" s="11"/>
      <c r="H603" s="11"/>
      <c r="I603" s="2"/>
      <c r="J603" s="2"/>
      <c r="K603" s="2"/>
      <c r="L603" s="10"/>
      <c r="M603" s="9"/>
      <c r="N603" s="2"/>
      <c r="O603" s="2"/>
      <c r="P603" s="2"/>
      <c r="Q603" s="50"/>
      <c r="R603" s="50"/>
      <c r="S603" s="2">
        <f>IFERROR(VLOOKUP(A603,IMPORT_DESISTENCIA!$A$2:$Q2273,14,0),"NÃO")</f>
        <v>0</v>
      </c>
      <c r="T603" s="35"/>
    </row>
    <row r="604" spans="1:20" ht="45" customHeight="1" x14ac:dyDescent="0.25">
      <c r="A604" s="2" t="str">
        <f t="shared" si="1"/>
        <v/>
      </c>
      <c r="B604" s="2"/>
      <c r="C604" s="43"/>
      <c r="D604" s="2"/>
      <c r="E604" s="2"/>
      <c r="F604" s="2"/>
      <c r="G604" s="11"/>
      <c r="H604" s="11"/>
      <c r="I604" s="2"/>
      <c r="J604" s="2"/>
      <c r="K604" s="2"/>
      <c r="L604" s="10"/>
      <c r="M604" s="9"/>
      <c r="N604" s="2"/>
      <c r="O604" s="2"/>
      <c r="P604" s="2"/>
      <c r="Q604" s="50"/>
      <c r="R604" s="50"/>
      <c r="S604" s="2">
        <f>IFERROR(VLOOKUP(A604,IMPORT_DESISTENCIA!$A$2:$Q2273,14,0),"NÃO")</f>
        <v>0</v>
      </c>
      <c r="T604" s="35"/>
    </row>
    <row r="605" spans="1:20" ht="45" customHeight="1" x14ac:dyDescent="0.25">
      <c r="A605" s="2" t="str">
        <f t="shared" si="1"/>
        <v/>
      </c>
      <c r="B605" s="2"/>
      <c r="C605" s="43"/>
      <c r="D605" s="2"/>
      <c r="E605" s="2"/>
      <c r="F605" s="2"/>
      <c r="G605" s="11"/>
      <c r="H605" s="11"/>
      <c r="I605" s="2"/>
      <c r="J605" s="2"/>
      <c r="K605" s="2"/>
      <c r="L605" s="10"/>
      <c r="M605" s="9"/>
      <c r="N605" s="2"/>
      <c r="O605" s="2"/>
      <c r="P605" s="2"/>
      <c r="Q605" s="50"/>
      <c r="R605" s="50"/>
      <c r="S605" s="2">
        <f>IFERROR(VLOOKUP(A605,IMPORT_DESISTENCIA!$A$2:$Q2273,14,0),"NÃO")</f>
        <v>0</v>
      </c>
      <c r="T605" s="35"/>
    </row>
    <row r="606" spans="1:20" ht="45" customHeight="1" x14ac:dyDescent="0.25">
      <c r="A606" s="2" t="str">
        <f t="shared" si="1"/>
        <v/>
      </c>
      <c r="B606" s="2"/>
      <c r="C606" s="43"/>
      <c r="D606" s="2"/>
      <c r="E606" s="2"/>
      <c r="F606" s="2"/>
      <c r="G606" s="11"/>
      <c r="H606" s="11"/>
      <c r="I606" s="2"/>
      <c r="J606" s="2"/>
      <c r="K606" s="2"/>
      <c r="L606" s="10"/>
      <c r="M606" s="9"/>
      <c r="N606" s="2"/>
      <c r="O606" s="2"/>
      <c r="P606" s="2"/>
      <c r="Q606" s="50"/>
      <c r="R606" s="50"/>
      <c r="S606" s="2">
        <f>IFERROR(VLOOKUP(A606,IMPORT_DESISTENCIA!$A$2:$Q2273,14,0),"NÃO")</f>
        <v>0</v>
      </c>
      <c r="T606" s="35"/>
    </row>
    <row r="607" spans="1:20" ht="45" customHeight="1" x14ac:dyDescent="0.25">
      <c r="A607" s="2" t="str">
        <f t="shared" si="1"/>
        <v/>
      </c>
      <c r="B607" s="2"/>
      <c r="C607" s="43"/>
      <c r="D607" s="2"/>
      <c r="E607" s="2"/>
      <c r="F607" s="2"/>
      <c r="G607" s="11"/>
      <c r="H607" s="11"/>
      <c r="I607" s="2"/>
      <c r="J607" s="2"/>
      <c r="K607" s="2"/>
      <c r="L607" s="10"/>
      <c r="M607" s="9"/>
      <c r="N607" s="2"/>
      <c r="O607" s="2"/>
      <c r="P607" s="2"/>
      <c r="Q607" s="50"/>
      <c r="R607" s="50"/>
      <c r="S607" s="2">
        <f>IFERROR(VLOOKUP(A607,IMPORT_DESISTENCIA!$A$2:$Q2273,14,0),"NÃO")</f>
        <v>0</v>
      </c>
      <c r="T607" s="35"/>
    </row>
    <row r="608" spans="1:20" ht="45" customHeight="1" x14ac:dyDescent="0.25">
      <c r="A608" s="2" t="str">
        <f t="shared" si="1"/>
        <v/>
      </c>
      <c r="B608" s="2"/>
      <c r="C608" s="43"/>
      <c r="D608" s="2"/>
      <c r="E608" s="2"/>
      <c r="F608" s="2"/>
      <c r="G608" s="11"/>
      <c r="H608" s="11"/>
      <c r="I608" s="2"/>
      <c r="J608" s="2"/>
      <c r="K608" s="2"/>
      <c r="L608" s="10"/>
      <c r="M608" s="9"/>
      <c r="N608" s="2"/>
      <c r="O608" s="2"/>
      <c r="P608" s="2"/>
      <c r="Q608" s="50"/>
      <c r="R608" s="50"/>
      <c r="S608" s="2">
        <f>IFERROR(VLOOKUP(A608,IMPORT_DESISTENCIA!$A$2:$Q2273,14,0),"NÃO")</f>
        <v>0</v>
      </c>
      <c r="T608" s="35"/>
    </row>
    <row r="609" spans="1:20" ht="45" customHeight="1" x14ac:dyDescent="0.25">
      <c r="A609" s="2" t="str">
        <f t="shared" si="1"/>
        <v/>
      </c>
      <c r="B609" s="2"/>
      <c r="C609" s="43"/>
      <c r="D609" s="2"/>
      <c r="E609" s="2"/>
      <c r="F609" s="2"/>
      <c r="G609" s="11"/>
      <c r="H609" s="11"/>
      <c r="I609" s="2"/>
      <c r="J609" s="2"/>
      <c r="K609" s="2"/>
      <c r="L609" s="10"/>
      <c r="M609" s="9"/>
      <c r="N609" s="2"/>
      <c r="O609" s="2"/>
      <c r="P609" s="2"/>
      <c r="Q609" s="50"/>
      <c r="R609" s="50"/>
      <c r="S609" s="2">
        <f>IFERROR(VLOOKUP(A609,IMPORT_DESISTENCIA!$A$2:$Q2273,14,0),"NÃO")</f>
        <v>0</v>
      </c>
      <c r="T609" s="35"/>
    </row>
    <row r="610" spans="1:20" ht="45" customHeight="1" x14ac:dyDescent="0.25">
      <c r="A610" s="2" t="str">
        <f t="shared" si="1"/>
        <v/>
      </c>
      <c r="B610" s="2"/>
      <c r="C610" s="43"/>
      <c r="D610" s="2"/>
      <c r="E610" s="2"/>
      <c r="F610" s="2"/>
      <c r="G610" s="11"/>
      <c r="H610" s="11"/>
      <c r="I610" s="2"/>
      <c r="J610" s="2"/>
      <c r="K610" s="2"/>
      <c r="L610" s="10"/>
      <c r="M610" s="9"/>
      <c r="N610" s="2"/>
      <c r="O610" s="2"/>
      <c r="P610" s="2"/>
      <c r="Q610" s="50"/>
      <c r="R610" s="50"/>
      <c r="S610" s="2">
        <f>IFERROR(VLOOKUP(A610,IMPORT_DESISTENCIA!$A$2:$Q2273,14,0),"NÃO")</f>
        <v>0</v>
      </c>
      <c r="T610" s="35"/>
    </row>
    <row r="611" spans="1:20" ht="45" customHeight="1" x14ac:dyDescent="0.25">
      <c r="A611" s="2" t="str">
        <f t="shared" si="1"/>
        <v/>
      </c>
      <c r="B611" s="2"/>
      <c r="C611" s="43"/>
      <c r="D611" s="2"/>
      <c r="E611" s="2"/>
      <c r="F611" s="2"/>
      <c r="G611" s="11"/>
      <c r="H611" s="11"/>
      <c r="I611" s="2"/>
      <c r="J611" s="2"/>
      <c r="K611" s="2"/>
      <c r="L611" s="10"/>
      <c r="M611" s="9"/>
      <c r="N611" s="2"/>
      <c r="O611" s="2"/>
      <c r="P611" s="2"/>
      <c r="Q611" s="50"/>
      <c r="R611" s="50"/>
      <c r="S611" s="2">
        <f>IFERROR(VLOOKUP(A611,IMPORT_DESISTENCIA!$A$2:$Q2273,14,0),"NÃO")</f>
        <v>0</v>
      </c>
      <c r="T611" s="35"/>
    </row>
    <row r="612" spans="1:20" ht="45" customHeight="1" x14ac:dyDescent="0.25">
      <c r="A612" s="2" t="str">
        <f t="shared" si="1"/>
        <v/>
      </c>
      <c r="B612" s="2"/>
      <c r="C612" s="43"/>
      <c r="D612" s="2"/>
      <c r="E612" s="2"/>
      <c r="F612" s="2"/>
      <c r="G612" s="11"/>
      <c r="H612" s="11"/>
      <c r="I612" s="2"/>
      <c r="J612" s="2"/>
      <c r="K612" s="2"/>
      <c r="L612" s="10"/>
      <c r="M612" s="9"/>
      <c r="N612" s="2"/>
      <c r="O612" s="2"/>
      <c r="P612" s="2"/>
      <c r="Q612" s="50"/>
      <c r="R612" s="50"/>
      <c r="S612" s="2">
        <f>IFERROR(VLOOKUP(A612,IMPORT_DESISTENCIA!$A$2:$Q2273,14,0),"NÃO")</f>
        <v>0</v>
      </c>
      <c r="T612" s="35"/>
    </row>
    <row r="613" spans="1:20" ht="45" customHeight="1" x14ac:dyDescent="0.25">
      <c r="A613" s="2" t="str">
        <f t="shared" si="1"/>
        <v/>
      </c>
      <c r="B613" s="2"/>
      <c r="C613" s="43"/>
      <c r="D613" s="2"/>
      <c r="E613" s="2"/>
      <c r="F613" s="2"/>
      <c r="G613" s="11"/>
      <c r="H613" s="11"/>
      <c r="I613" s="2"/>
      <c r="J613" s="2"/>
      <c r="K613" s="2"/>
      <c r="L613" s="10"/>
      <c r="M613" s="9"/>
      <c r="N613" s="2"/>
      <c r="O613" s="2"/>
      <c r="P613" s="2"/>
      <c r="Q613" s="50"/>
      <c r="R613" s="50"/>
      <c r="S613" s="2">
        <f>IFERROR(VLOOKUP(A613,IMPORT_DESISTENCIA!$A$2:$Q2273,14,0),"NÃO")</f>
        <v>0</v>
      </c>
      <c r="T613" s="35"/>
    </row>
    <row r="614" spans="1:20" ht="45" customHeight="1" x14ac:dyDescent="0.25">
      <c r="A614" s="2" t="str">
        <f t="shared" si="1"/>
        <v/>
      </c>
      <c r="B614" s="2"/>
      <c r="C614" s="43"/>
      <c r="D614" s="2"/>
      <c r="E614" s="2"/>
      <c r="F614" s="2"/>
      <c r="G614" s="11"/>
      <c r="H614" s="11"/>
      <c r="I614" s="2"/>
      <c r="J614" s="2"/>
      <c r="K614" s="2"/>
      <c r="L614" s="10"/>
      <c r="M614" s="9"/>
      <c r="N614" s="2"/>
      <c r="O614" s="2"/>
      <c r="P614" s="2"/>
      <c r="Q614" s="50"/>
      <c r="R614" s="50"/>
      <c r="S614" s="2">
        <f>IFERROR(VLOOKUP(A614,IMPORT_DESISTENCIA!$A$2:$Q2273,14,0),"NÃO")</f>
        <v>0</v>
      </c>
      <c r="T614" s="35"/>
    </row>
    <row r="615" spans="1:20" ht="45" customHeight="1" x14ac:dyDescent="0.25">
      <c r="A615" s="2" t="str">
        <f t="shared" si="1"/>
        <v/>
      </c>
      <c r="B615" s="2"/>
      <c r="C615" s="43"/>
      <c r="D615" s="2"/>
      <c r="E615" s="2"/>
      <c r="F615" s="2"/>
      <c r="G615" s="11"/>
      <c r="H615" s="11"/>
      <c r="I615" s="2"/>
      <c r="J615" s="2"/>
      <c r="K615" s="2"/>
      <c r="L615" s="10"/>
      <c r="M615" s="9"/>
      <c r="N615" s="2"/>
      <c r="O615" s="2"/>
      <c r="P615" s="2"/>
      <c r="Q615" s="50"/>
      <c r="R615" s="50"/>
      <c r="S615" s="2">
        <f>IFERROR(VLOOKUP(A615,IMPORT_DESISTENCIA!$A$2:$Q2273,14,0),"NÃO")</f>
        <v>0</v>
      </c>
      <c r="T615" s="35"/>
    </row>
    <row r="616" spans="1:20" ht="45" customHeight="1" x14ac:dyDescent="0.25">
      <c r="A616" s="2" t="str">
        <f t="shared" si="1"/>
        <v/>
      </c>
      <c r="B616" s="2"/>
      <c r="C616" s="43"/>
      <c r="D616" s="2"/>
      <c r="E616" s="2"/>
      <c r="F616" s="2"/>
      <c r="G616" s="11"/>
      <c r="H616" s="11"/>
      <c r="I616" s="2"/>
      <c r="J616" s="2"/>
      <c r="K616" s="2"/>
      <c r="L616" s="10"/>
      <c r="M616" s="9"/>
      <c r="N616" s="2"/>
      <c r="O616" s="2"/>
      <c r="P616" s="2"/>
      <c r="Q616" s="50"/>
      <c r="R616" s="50"/>
      <c r="S616" s="2">
        <f>IFERROR(VLOOKUP(A616,IMPORT_DESISTENCIA!$A$2:$Q2273,14,0),"NÃO")</f>
        <v>0</v>
      </c>
      <c r="T616" s="35"/>
    </row>
    <row r="617" spans="1:20" ht="45" customHeight="1" x14ac:dyDescent="0.25">
      <c r="A617" s="2" t="str">
        <f t="shared" si="1"/>
        <v/>
      </c>
      <c r="B617" s="2"/>
      <c r="C617" s="43"/>
      <c r="D617" s="2"/>
      <c r="E617" s="2"/>
      <c r="F617" s="2"/>
      <c r="G617" s="11"/>
      <c r="H617" s="11"/>
      <c r="I617" s="2"/>
      <c r="J617" s="2"/>
      <c r="K617" s="2"/>
      <c r="L617" s="10"/>
      <c r="M617" s="9"/>
      <c r="N617" s="2"/>
      <c r="O617" s="2"/>
      <c r="P617" s="2"/>
      <c r="Q617" s="50"/>
      <c r="R617" s="50"/>
      <c r="S617" s="2">
        <f>IFERROR(VLOOKUP(A617,IMPORT_DESISTENCIA!$A$2:$Q2273,14,0),"NÃO")</f>
        <v>0</v>
      </c>
      <c r="T617" s="35"/>
    </row>
    <row r="618" spans="1:20" ht="45" customHeight="1" x14ac:dyDescent="0.25">
      <c r="A618" s="2" t="str">
        <f t="shared" si="1"/>
        <v/>
      </c>
      <c r="B618" s="2"/>
      <c r="C618" s="43"/>
      <c r="D618" s="2"/>
      <c r="E618" s="2"/>
      <c r="F618" s="2"/>
      <c r="G618" s="11"/>
      <c r="H618" s="11"/>
      <c r="I618" s="2"/>
      <c r="J618" s="2"/>
      <c r="K618" s="2"/>
      <c r="L618" s="10"/>
      <c r="M618" s="9"/>
      <c r="N618" s="2"/>
      <c r="O618" s="2"/>
      <c r="P618" s="2"/>
      <c r="Q618" s="50"/>
      <c r="R618" s="50"/>
      <c r="S618" s="2">
        <f>IFERROR(VLOOKUP(A618,IMPORT_DESISTENCIA!$A$2:$Q2273,14,0),"NÃO")</f>
        <v>0</v>
      </c>
      <c r="T618" s="35"/>
    </row>
    <row r="619" spans="1:20" ht="45" customHeight="1" x14ac:dyDescent="0.25">
      <c r="A619" s="2" t="str">
        <f t="shared" si="1"/>
        <v/>
      </c>
      <c r="B619" s="2"/>
      <c r="C619" s="43"/>
      <c r="D619" s="2"/>
      <c r="E619" s="2"/>
      <c r="F619" s="2"/>
      <c r="G619" s="11"/>
      <c r="H619" s="11"/>
      <c r="I619" s="2"/>
      <c r="J619" s="2"/>
      <c r="K619" s="2"/>
      <c r="L619" s="10"/>
      <c r="M619" s="9"/>
      <c r="N619" s="2"/>
      <c r="O619" s="2"/>
      <c r="P619" s="2"/>
      <c r="Q619" s="50"/>
      <c r="R619" s="50"/>
      <c r="S619" s="2">
        <f>IFERROR(VLOOKUP(A619,IMPORT_DESISTENCIA!$A$2:$Q2273,14,0),"NÃO")</f>
        <v>0</v>
      </c>
      <c r="T619" s="35"/>
    </row>
    <row r="620" spans="1:20" ht="45" customHeight="1" x14ac:dyDescent="0.25">
      <c r="A620" s="2" t="str">
        <f t="shared" si="1"/>
        <v/>
      </c>
      <c r="B620" s="2"/>
      <c r="C620" s="43"/>
      <c r="D620" s="2"/>
      <c r="E620" s="2"/>
      <c r="F620" s="2"/>
      <c r="G620" s="11"/>
      <c r="H620" s="11"/>
      <c r="I620" s="2"/>
      <c r="J620" s="2"/>
      <c r="K620" s="2"/>
      <c r="L620" s="10"/>
      <c r="M620" s="9"/>
      <c r="N620" s="2"/>
      <c r="O620" s="2"/>
      <c r="P620" s="2"/>
      <c r="Q620" s="50"/>
      <c r="R620" s="50"/>
      <c r="S620" s="2">
        <f>IFERROR(VLOOKUP(A620,IMPORT_DESISTENCIA!$A$2:$Q2273,14,0),"NÃO")</f>
        <v>0</v>
      </c>
      <c r="T620" s="35"/>
    </row>
    <row r="621" spans="1:20" ht="45" customHeight="1" x14ac:dyDescent="0.25">
      <c r="A621" s="2" t="str">
        <f t="shared" si="1"/>
        <v/>
      </c>
      <c r="B621" s="2"/>
      <c r="C621" s="43"/>
      <c r="D621" s="2"/>
      <c r="E621" s="2"/>
      <c r="F621" s="2"/>
      <c r="G621" s="11"/>
      <c r="H621" s="11"/>
      <c r="I621" s="2"/>
      <c r="J621" s="2"/>
      <c r="K621" s="2"/>
      <c r="L621" s="10"/>
      <c r="M621" s="9"/>
      <c r="N621" s="2"/>
      <c r="O621" s="2"/>
      <c r="P621" s="2"/>
      <c r="Q621" s="50"/>
      <c r="R621" s="50"/>
      <c r="S621" s="2">
        <f>IFERROR(VLOOKUP(A621,IMPORT_DESISTENCIA!$A$2:$Q2273,14,0),"NÃO")</f>
        <v>0</v>
      </c>
      <c r="T621" s="35"/>
    </row>
    <row r="622" spans="1:20" ht="45" customHeight="1" x14ac:dyDescent="0.25">
      <c r="A622" s="2" t="str">
        <f t="shared" si="1"/>
        <v/>
      </c>
      <c r="B622" s="2"/>
      <c r="C622" s="43"/>
      <c r="D622" s="2"/>
      <c r="E622" s="2"/>
      <c r="F622" s="2"/>
      <c r="G622" s="11"/>
      <c r="H622" s="11"/>
      <c r="I622" s="2"/>
      <c r="J622" s="2"/>
      <c r="K622" s="2"/>
      <c r="L622" s="10"/>
      <c r="M622" s="9"/>
      <c r="N622" s="2"/>
      <c r="O622" s="2"/>
      <c r="P622" s="2"/>
      <c r="Q622" s="50"/>
      <c r="R622" s="50"/>
      <c r="S622" s="2">
        <f>IFERROR(VLOOKUP(A622,IMPORT_DESISTENCIA!$A$2:$Q2273,14,0),"NÃO")</f>
        <v>0</v>
      </c>
      <c r="T622" s="35"/>
    </row>
    <row r="623" spans="1:20" ht="45" customHeight="1" x14ac:dyDescent="0.25">
      <c r="A623" s="2" t="str">
        <f t="shared" si="1"/>
        <v/>
      </c>
      <c r="B623" s="2"/>
      <c r="C623" s="43"/>
      <c r="D623" s="2"/>
      <c r="E623" s="2"/>
      <c r="F623" s="2"/>
      <c r="G623" s="11"/>
      <c r="H623" s="11"/>
      <c r="I623" s="2"/>
      <c r="J623" s="2"/>
      <c r="K623" s="2"/>
      <c r="L623" s="10"/>
      <c r="M623" s="9"/>
      <c r="N623" s="2"/>
      <c r="O623" s="2"/>
      <c r="P623" s="2"/>
      <c r="Q623" s="50"/>
      <c r="R623" s="50"/>
      <c r="S623" s="2">
        <f>IFERROR(VLOOKUP(A623,IMPORT_DESISTENCIA!$A$2:$Q2273,14,0),"NÃO")</f>
        <v>0</v>
      </c>
      <c r="T623" s="35"/>
    </row>
    <row r="624" spans="1:20" ht="45" customHeight="1" x14ac:dyDescent="0.25">
      <c r="A624" s="2" t="str">
        <f t="shared" si="1"/>
        <v/>
      </c>
      <c r="B624" s="2"/>
      <c r="C624" s="43"/>
      <c r="D624" s="2"/>
      <c r="E624" s="2"/>
      <c r="F624" s="2"/>
      <c r="G624" s="11"/>
      <c r="H624" s="11"/>
      <c r="I624" s="2"/>
      <c r="J624" s="2"/>
      <c r="K624" s="2"/>
      <c r="L624" s="10"/>
      <c r="M624" s="9"/>
      <c r="N624" s="2"/>
      <c r="O624" s="2"/>
      <c r="P624" s="2"/>
      <c r="Q624" s="50"/>
      <c r="R624" s="50"/>
      <c r="S624" s="2">
        <f>IFERROR(VLOOKUP(A624,IMPORT_DESISTENCIA!$A$2:$Q2273,14,0),"NÃO")</f>
        <v>0</v>
      </c>
      <c r="T624" s="35"/>
    </row>
    <row r="625" spans="1:20" ht="45" customHeight="1" x14ac:dyDescent="0.25">
      <c r="A625" s="2" t="str">
        <f t="shared" si="1"/>
        <v/>
      </c>
      <c r="B625" s="2"/>
      <c r="C625" s="43"/>
      <c r="D625" s="2"/>
      <c r="E625" s="2"/>
      <c r="F625" s="2"/>
      <c r="G625" s="11"/>
      <c r="H625" s="11"/>
      <c r="I625" s="2"/>
      <c r="J625" s="2"/>
      <c r="K625" s="2"/>
      <c r="L625" s="10"/>
      <c r="M625" s="9"/>
      <c r="N625" s="2"/>
      <c r="O625" s="2"/>
      <c r="P625" s="2"/>
      <c r="Q625" s="50"/>
      <c r="R625" s="50"/>
      <c r="S625" s="2">
        <f>IFERROR(VLOOKUP(A625,IMPORT_DESISTENCIA!$A$2:$Q2273,14,0),"NÃO")</f>
        <v>0</v>
      </c>
      <c r="T625" s="35"/>
    </row>
    <row r="626" spans="1:20" ht="45" customHeight="1" x14ac:dyDescent="0.25">
      <c r="A626" s="2" t="str">
        <f t="shared" si="1"/>
        <v/>
      </c>
      <c r="B626" s="2"/>
      <c r="C626" s="43"/>
      <c r="D626" s="2"/>
      <c r="E626" s="2"/>
      <c r="F626" s="2"/>
      <c r="G626" s="11"/>
      <c r="H626" s="11"/>
      <c r="I626" s="2"/>
      <c r="J626" s="2"/>
      <c r="K626" s="2"/>
      <c r="L626" s="10"/>
      <c r="M626" s="9"/>
      <c r="N626" s="2"/>
      <c r="O626" s="2"/>
      <c r="P626" s="2"/>
      <c r="Q626" s="50"/>
      <c r="R626" s="50"/>
      <c r="S626" s="2">
        <f>IFERROR(VLOOKUP(A626,IMPORT_DESISTENCIA!$A$2:$Q2273,14,0),"NÃO")</f>
        <v>0</v>
      </c>
      <c r="T626" s="35"/>
    </row>
    <row r="627" spans="1:20" ht="45" customHeight="1" x14ac:dyDescent="0.25">
      <c r="A627" s="2" t="str">
        <f t="shared" si="1"/>
        <v/>
      </c>
      <c r="B627" s="2"/>
      <c r="C627" s="43"/>
      <c r="D627" s="2"/>
      <c r="E627" s="2"/>
      <c r="F627" s="2"/>
      <c r="G627" s="11"/>
      <c r="H627" s="11"/>
      <c r="I627" s="2"/>
      <c r="J627" s="2"/>
      <c r="K627" s="2"/>
      <c r="L627" s="10"/>
      <c r="M627" s="9"/>
      <c r="N627" s="2"/>
      <c r="O627" s="2"/>
      <c r="P627" s="2"/>
      <c r="Q627" s="50"/>
      <c r="R627" s="50"/>
      <c r="S627" s="2">
        <f>IFERROR(VLOOKUP(A627,IMPORT_DESISTENCIA!$A$2:$Q2273,14,0),"NÃO")</f>
        <v>0</v>
      </c>
      <c r="T627" s="35"/>
    </row>
    <row r="628" spans="1:20" ht="45" customHeight="1" x14ac:dyDescent="0.25">
      <c r="A628" s="2" t="str">
        <f t="shared" si="1"/>
        <v/>
      </c>
      <c r="B628" s="2"/>
      <c r="C628" s="43"/>
      <c r="D628" s="2"/>
      <c r="E628" s="2"/>
      <c r="F628" s="2"/>
      <c r="G628" s="11"/>
      <c r="H628" s="11"/>
      <c r="I628" s="2"/>
      <c r="J628" s="2"/>
      <c r="K628" s="2"/>
      <c r="L628" s="10"/>
      <c r="M628" s="9"/>
      <c r="N628" s="2"/>
      <c r="O628" s="2"/>
      <c r="P628" s="2"/>
      <c r="Q628" s="50"/>
      <c r="R628" s="50"/>
      <c r="S628" s="2">
        <f>IFERROR(VLOOKUP(A628,IMPORT_DESISTENCIA!$A$2:$Q2273,14,0),"NÃO")</f>
        <v>0</v>
      </c>
      <c r="T628" s="35"/>
    </row>
    <row r="629" spans="1:20" ht="45" customHeight="1" x14ac:dyDescent="0.25">
      <c r="A629" s="2" t="str">
        <f t="shared" si="1"/>
        <v/>
      </c>
      <c r="B629" s="2"/>
      <c r="C629" s="43"/>
      <c r="D629" s="2"/>
      <c r="E629" s="2"/>
      <c r="F629" s="2"/>
      <c r="G629" s="11"/>
      <c r="H629" s="11"/>
      <c r="I629" s="2"/>
      <c r="J629" s="2"/>
      <c r="K629" s="2"/>
      <c r="L629" s="10"/>
      <c r="M629" s="9"/>
      <c r="N629" s="2"/>
      <c r="O629" s="2"/>
      <c r="P629" s="2"/>
      <c r="Q629" s="50"/>
      <c r="R629" s="50"/>
      <c r="S629" s="2">
        <f>IFERROR(VLOOKUP(A629,IMPORT_DESISTENCIA!$A$2:$Q2273,14,0),"NÃO")</f>
        <v>0</v>
      </c>
      <c r="T629" s="35"/>
    </row>
    <row r="630" spans="1:20" ht="45" customHeight="1" x14ac:dyDescent="0.25">
      <c r="A630" s="2" t="str">
        <f t="shared" si="1"/>
        <v/>
      </c>
      <c r="B630" s="2"/>
      <c r="C630" s="43"/>
      <c r="D630" s="2"/>
      <c r="E630" s="2"/>
      <c r="F630" s="2"/>
      <c r="G630" s="11"/>
      <c r="H630" s="11"/>
      <c r="I630" s="2"/>
      <c r="J630" s="2"/>
      <c r="K630" s="2"/>
      <c r="L630" s="10"/>
      <c r="M630" s="9"/>
      <c r="N630" s="2"/>
      <c r="O630" s="2"/>
      <c r="P630" s="2"/>
      <c r="Q630" s="50"/>
      <c r="R630" s="50"/>
      <c r="S630" s="2">
        <f>IFERROR(VLOOKUP(A630,IMPORT_DESISTENCIA!$A$2:$Q2273,14,0),"NÃO")</f>
        <v>0</v>
      </c>
      <c r="T630" s="35"/>
    </row>
    <row r="631" spans="1:20" ht="45" customHeight="1" x14ac:dyDescent="0.25">
      <c r="A631" s="2" t="str">
        <f t="shared" si="1"/>
        <v/>
      </c>
      <c r="B631" s="2"/>
      <c r="C631" s="43"/>
      <c r="D631" s="2"/>
      <c r="E631" s="2"/>
      <c r="F631" s="2"/>
      <c r="G631" s="11"/>
      <c r="H631" s="11"/>
      <c r="I631" s="2"/>
      <c r="J631" s="2"/>
      <c r="K631" s="2"/>
      <c r="L631" s="10"/>
      <c r="M631" s="9"/>
      <c r="N631" s="2"/>
      <c r="O631" s="2"/>
      <c r="P631" s="2"/>
      <c r="Q631" s="50"/>
      <c r="R631" s="50"/>
      <c r="S631" s="2">
        <f>IFERROR(VLOOKUP(A631,IMPORT_DESISTENCIA!$A$2:$Q2273,14,0),"NÃO")</f>
        <v>0</v>
      </c>
      <c r="T631" s="35"/>
    </row>
    <row r="632" spans="1:20" ht="45" customHeight="1" x14ac:dyDescent="0.25">
      <c r="A632" s="2" t="str">
        <f t="shared" si="1"/>
        <v/>
      </c>
      <c r="B632" s="2"/>
      <c r="C632" s="43"/>
      <c r="D632" s="2"/>
      <c r="E632" s="2"/>
      <c r="F632" s="2"/>
      <c r="G632" s="11"/>
      <c r="H632" s="11"/>
      <c r="I632" s="2"/>
      <c r="J632" s="2"/>
      <c r="K632" s="2"/>
      <c r="L632" s="10"/>
      <c r="M632" s="9"/>
      <c r="N632" s="2"/>
      <c r="O632" s="2"/>
      <c r="P632" s="2"/>
      <c r="Q632" s="50"/>
      <c r="R632" s="50"/>
      <c r="S632" s="2">
        <f>IFERROR(VLOOKUP(A632,IMPORT_DESISTENCIA!$A$2:$Q2273,14,0),"NÃO")</f>
        <v>0</v>
      </c>
      <c r="T632" s="35"/>
    </row>
    <row r="633" spans="1:20" ht="45" customHeight="1" x14ac:dyDescent="0.25">
      <c r="A633" s="2" t="str">
        <f t="shared" si="1"/>
        <v/>
      </c>
      <c r="B633" s="2"/>
      <c r="C633" s="43"/>
      <c r="D633" s="2"/>
      <c r="E633" s="2"/>
      <c r="F633" s="2"/>
      <c r="G633" s="11"/>
      <c r="H633" s="11"/>
      <c r="I633" s="2"/>
      <c r="J633" s="2"/>
      <c r="K633" s="2"/>
      <c r="L633" s="10"/>
      <c r="M633" s="9"/>
      <c r="N633" s="2"/>
      <c r="O633" s="2"/>
      <c r="P633" s="2"/>
      <c r="Q633" s="50"/>
      <c r="R633" s="50"/>
      <c r="S633" s="2">
        <f>IFERROR(VLOOKUP(A633,IMPORT_DESISTENCIA!$A$2:$Q2273,14,0),"NÃO")</f>
        <v>0</v>
      </c>
      <c r="T633" s="35"/>
    </row>
    <row r="634" spans="1:20" ht="45" customHeight="1" x14ac:dyDescent="0.25">
      <c r="A634" s="2" t="str">
        <f t="shared" si="1"/>
        <v/>
      </c>
      <c r="B634" s="2"/>
      <c r="C634" s="43"/>
      <c r="D634" s="2"/>
      <c r="E634" s="2"/>
      <c r="F634" s="2"/>
      <c r="G634" s="11"/>
      <c r="H634" s="11"/>
      <c r="I634" s="2"/>
      <c r="J634" s="2"/>
      <c r="K634" s="2"/>
      <c r="L634" s="10"/>
      <c r="M634" s="9"/>
      <c r="N634" s="2"/>
      <c r="O634" s="2"/>
      <c r="P634" s="2"/>
      <c r="Q634" s="50"/>
      <c r="R634" s="50"/>
      <c r="S634" s="2">
        <f>IFERROR(VLOOKUP(A634,IMPORT_DESISTENCIA!$A$2:$Q2273,14,0),"NÃO")</f>
        <v>0</v>
      </c>
      <c r="T634" s="35"/>
    </row>
    <row r="635" spans="1:20" ht="45" customHeight="1" x14ac:dyDescent="0.25">
      <c r="A635" s="2" t="str">
        <f t="shared" si="1"/>
        <v/>
      </c>
      <c r="B635" s="2"/>
      <c r="C635" s="43"/>
      <c r="D635" s="2"/>
      <c r="E635" s="2"/>
      <c r="F635" s="2"/>
      <c r="G635" s="11"/>
      <c r="H635" s="11"/>
      <c r="I635" s="2"/>
      <c r="J635" s="2"/>
      <c r="K635" s="2"/>
      <c r="L635" s="10"/>
      <c r="M635" s="9"/>
      <c r="N635" s="2"/>
      <c r="O635" s="2"/>
      <c r="P635" s="2"/>
      <c r="Q635" s="50"/>
      <c r="R635" s="50"/>
      <c r="S635" s="2">
        <f>IFERROR(VLOOKUP(A635,IMPORT_DESISTENCIA!$A$2:$Q2273,14,0),"NÃO")</f>
        <v>0</v>
      </c>
      <c r="T635" s="35"/>
    </row>
    <row r="636" spans="1:20" ht="45" customHeight="1" x14ac:dyDescent="0.25">
      <c r="A636" s="2" t="str">
        <f t="shared" si="1"/>
        <v/>
      </c>
      <c r="B636" s="2"/>
      <c r="C636" s="43"/>
      <c r="D636" s="2"/>
      <c r="E636" s="2"/>
      <c r="F636" s="2"/>
      <c r="G636" s="11"/>
      <c r="H636" s="11"/>
      <c r="I636" s="2"/>
      <c r="J636" s="2"/>
      <c r="K636" s="2"/>
      <c r="L636" s="10"/>
      <c r="M636" s="9"/>
      <c r="N636" s="2"/>
      <c r="O636" s="2"/>
      <c r="P636" s="2"/>
      <c r="Q636" s="50"/>
      <c r="R636" s="50"/>
      <c r="S636" s="2">
        <f>IFERROR(VLOOKUP(A636,IMPORT_DESISTENCIA!$A$2:$Q2273,14,0),"NÃO")</f>
        <v>0</v>
      </c>
      <c r="T636" s="35"/>
    </row>
    <row r="637" spans="1:20" ht="45" customHeight="1" x14ac:dyDescent="0.25">
      <c r="A637" s="2" t="str">
        <f t="shared" si="1"/>
        <v/>
      </c>
      <c r="B637" s="2"/>
      <c r="C637" s="43"/>
      <c r="D637" s="2"/>
      <c r="E637" s="2"/>
      <c r="F637" s="2"/>
      <c r="G637" s="11"/>
      <c r="H637" s="11"/>
      <c r="I637" s="2"/>
      <c r="J637" s="2"/>
      <c r="K637" s="2"/>
      <c r="L637" s="10"/>
      <c r="M637" s="9"/>
      <c r="N637" s="2"/>
      <c r="O637" s="2"/>
      <c r="P637" s="2"/>
      <c r="Q637" s="50"/>
      <c r="R637" s="50"/>
      <c r="S637" s="2">
        <f>IFERROR(VLOOKUP(A637,IMPORT_DESISTENCIA!$A$2:$Q2273,14,0),"NÃO")</f>
        <v>0</v>
      </c>
      <c r="T637" s="35"/>
    </row>
    <row r="638" spans="1:20" ht="45" customHeight="1" x14ac:dyDescent="0.25">
      <c r="A638" s="2" t="str">
        <f t="shared" si="1"/>
        <v/>
      </c>
      <c r="B638" s="2"/>
      <c r="C638" s="43"/>
      <c r="D638" s="2"/>
      <c r="E638" s="2"/>
      <c r="F638" s="2"/>
      <c r="G638" s="11"/>
      <c r="H638" s="11"/>
      <c r="I638" s="2"/>
      <c r="J638" s="2"/>
      <c r="K638" s="2"/>
      <c r="L638" s="10"/>
      <c r="M638" s="9"/>
      <c r="N638" s="2"/>
      <c r="O638" s="2"/>
      <c r="P638" s="2"/>
      <c r="Q638" s="50"/>
      <c r="R638" s="50"/>
      <c r="S638" s="2">
        <f>IFERROR(VLOOKUP(A638,IMPORT_DESISTENCIA!$A$2:$Q2273,14,0),"NÃO")</f>
        <v>0</v>
      </c>
      <c r="T638" s="35"/>
    </row>
    <row r="639" spans="1:20" ht="45" customHeight="1" x14ac:dyDescent="0.25">
      <c r="A639" s="2" t="str">
        <f t="shared" si="1"/>
        <v/>
      </c>
      <c r="B639" s="2"/>
      <c r="C639" s="43"/>
      <c r="D639" s="2"/>
      <c r="E639" s="2"/>
      <c r="F639" s="2"/>
      <c r="G639" s="11"/>
      <c r="H639" s="11"/>
      <c r="I639" s="2"/>
      <c r="J639" s="2"/>
      <c r="K639" s="2"/>
      <c r="L639" s="10"/>
      <c r="M639" s="9"/>
      <c r="N639" s="2"/>
      <c r="O639" s="2"/>
      <c r="P639" s="2"/>
      <c r="Q639" s="50"/>
      <c r="R639" s="50"/>
      <c r="S639" s="2">
        <f>IFERROR(VLOOKUP(A639,IMPORT_DESISTENCIA!$A$2:$Q2273,14,0),"NÃO")</f>
        <v>0</v>
      </c>
      <c r="T639" s="35"/>
    </row>
    <row r="640" spans="1:20" ht="45" customHeight="1" x14ac:dyDescent="0.25">
      <c r="A640" s="2" t="str">
        <f t="shared" si="1"/>
        <v/>
      </c>
      <c r="B640" s="2"/>
      <c r="C640" s="43"/>
      <c r="D640" s="2"/>
      <c r="E640" s="2"/>
      <c r="F640" s="2"/>
      <c r="G640" s="11"/>
      <c r="H640" s="11"/>
      <c r="I640" s="2"/>
      <c r="J640" s="2"/>
      <c r="K640" s="2"/>
      <c r="L640" s="10"/>
      <c r="M640" s="9"/>
      <c r="N640" s="2"/>
      <c r="O640" s="2"/>
      <c r="P640" s="2"/>
      <c r="Q640" s="50"/>
      <c r="R640" s="50"/>
      <c r="S640" s="2">
        <f>IFERROR(VLOOKUP(A640,IMPORT_DESISTENCIA!$A$2:$Q2273,14,0),"NÃO")</f>
        <v>0</v>
      </c>
      <c r="T640" s="35"/>
    </row>
    <row r="641" spans="1:20" ht="45" customHeight="1" x14ac:dyDescent="0.25">
      <c r="A641" s="2" t="str">
        <f t="shared" si="1"/>
        <v/>
      </c>
      <c r="B641" s="2"/>
      <c r="C641" s="43"/>
      <c r="D641" s="2"/>
      <c r="E641" s="2"/>
      <c r="F641" s="2"/>
      <c r="G641" s="11"/>
      <c r="H641" s="11"/>
      <c r="I641" s="2"/>
      <c r="J641" s="2"/>
      <c r="K641" s="2"/>
      <c r="L641" s="10"/>
      <c r="M641" s="9"/>
      <c r="N641" s="2"/>
      <c r="O641" s="2"/>
      <c r="P641" s="2"/>
      <c r="Q641" s="50"/>
      <c r="R641" s="50"/>
      <c r="S641" s="2">
        <f>IFERROR(VLOOKUP(A641,IMPORT_DESISTENCIA!$A$2:$Q2273,14,0),"NÃO")</f>
        <v>0</v>
      </c>
      <c r="T641" s="35"/>
    </row>
    <row r="642" spans="1:20" ht="45" customHeight="1" x14ac:dyDescent="0.25">
      <c r="A642" s="2" t="str">
        <f t="shared" si="1"/>
        <v/>
      </c>
      <c r="B642" s="2"/>
      <c r="C642" s="43"/>
      <c r="D642" s="2"/>
      <c r="E642" s="2"/>
      <c r="F642" s="2"/>
      <c r="G642" s="11"/>
      <c r="H642" s="11"/>
      <c r="I642" s="2"/>
      <c r="J642" s="2"/>
      <c r="K642" s="2"/>
      <c r="L642" s="10"/>
      <c r="M642" s="9"/>
      <c r="N642" s="2"/>
      <c r="O642" s="2"/>
      <c r="P642" s="2"/>
      <c r="Q642" s="50"/>
      <c r="R642" s="50"/>
      <c r="S642" s="2">
        <f>IFERROR(VLOOKUP(A642,IMPORT_DESISTENCIA!$A$2:$Q2273,14,0),"NÃO")</f>
        <v>0</v>
      </c>
      <c r="T642" s="35"/>
    </row>
    <row r="643" spans="1:20" ht="45" customHeight="1" x14ac:dyDescent="0.25">
      <c r="A643" s="2" t="str">
        <f t="shared" si="1"/>
        <v/>
      </c>
      <c r="B643" s="2"/>
      <c r="C643" s="43"/>
      <c r="D643" s="2"/>
      <c r="E643" s="2"/>
      <c r="F643" s="2"/>
      <c r="G643" s="11"/>
      <c r="H643" s="11"/>
      <c r="I643" s="2"/>
      <c r="J643" s="2"/>
      <c r="K643" s="2"/>
      <c r="L643" s="10"/>
      <c r="M643" s="9"/>
      <c r="N643" s="2"/>
      <c r="O643" s="2"/>
      <c r="P643" s="2"/>
      <c r="Q643" s="50"/>
      <c r="R643" s="50"/>
      <c r="S643" s="2">
        <f>IFERROR(VLOOKUP(A643,IMPORT_DESISTENCIA!$A$2:$Q2273,14,0),"NÃO")</f>
        <v>0</v>
      </c>
      <c r="T643" s="35"/>
    </row>
    <row r="644" spans="1:20" ht="45" customHeight="1" x14ac:dyDescent="0.25">
      <c r="A644" s="2" t="str">
        <f t="shared" si="1"/>
        <v/>
      </c>
      <c r="B644" s="2"/>
      <c r="C644" s="43"/>
      <c r="D644" s="2"/>
      <c r="E644" s="2"/>
      <c r="F644" s="2"/>
      <c r="G644" s="11"/>
      <c r="H644" s="11"/>
      <c r="I644" s="2"/>
      <c r="J644" s="2"/>
      <c r="K644" s="2"/>
      <c r="L644" s="10"/>
      <c r="M644" s="9"/>
      <c r="N644" s="2"/>
      <c r="O644" s="2"/>
      <c r="P644" s="2"/>
      <c r="Q644" s="50"/>
      <c r="R644" s="50"/>
      <c r="S644" s="2">
        <f>IFERROR(VLOOKUP(A644,IMPORT_DESISTENCIA!$A$2:$Q2273,14,0),"NÃO")</f>
        <v>0</v>
      </c>
      <c r="T644" s="35"/>
    </row>
    <row r="645" spans="1:20" ht="45" customHeight="1" x14ac:dyDescent="0.25">
      <c r="A645" s="2" t="str">
        <f t="shared" si="1"/>
        <v/>
      </c>
      <c r="B645" s="2"/>
      <c r="C645" s="43"/>
      <c r="D645" s="2"/>
      <c r="E645" s="2"/>
      <c r="F645" s="2"/>
      <c r="G645" s="11"/>
      <c r="H645" s="11"/>
      <c r="I645" s="2"/>
      <c r="J645" s="2"/>
      <c r="K645" s="2"/>
      <c r="L645" s="10"/>
      <c r="M645" s="9"/>
      <c r="N645" s="2"/>
      <c r="O645" s="2"/>
      <c r="P645" s="2"/>
      <c r="Q645" s="50"/>
      <c r="R645" s="50"/>
      <c r="S645" s="2">
        <f>IFERROR(VLOOKUP(A645,IMPORT_DESISTENCIA!$A$2:$Q2273,14,0),"NÃO")</f>
        <v>0</v>
      </c>
      <c r="T645" s="35"/>
    </row>
    <row r="646" spans="1:20" ht="45" customHeight="1" x14ac:dyDescent="0.25">
      <c r="A646" s="2" t="str">
        <f t="shared" si="1"/>
        <v/>
      </c>
      <c r="B646" s="2"/>
      <c r="C646" s="43"/>
      <c r="D646" s="2"/>
      <c r="E646" s="2"/>
      <c r="F646" s="2"/>
      <c r="G646" s="11"/>
      <c r="H646" s="11"/>
      <c r="I646" s="2"/>
      <c r="J646" s="2"/>
      <c r="K646" s="2"/>
      <c r="L646" s="10"/>
      <c r="M646" s="9"/>
      <c r="N646" s="2"/>
      <c r="O646" s="2"/>
      <c r="P646" s="2"/>
      <c r="Q646" s="50"/>
      <c r="R646" s="50"/>
      <c r="S646" s="2">
        <f>IFERROR(VLOOKUP(A646,IMPORT_DESISTENCIA!$A$2:$Q2273,14,0),"NÃO")</f>
        <v>0</v>
      </c>
      <c r="T646" s="35"/>
    </row>
    <row r="647" spans="1:20" ht="45" customHeight="1" x14ac:dyDescent="0.25">
      <c r="A647" s="2" t="str">
        <f t="shared" si="1"/>
        <v/>
      </c>
      <c r="B647" s="2"/>
      <c r="C647" s="43"/>
      <c r="D647" s="2"/>
      <c r="E647" s="2"/>
      <c r="F647" s="2"/>
      <c r="G647" s="11"/>
      <c r="H647" s="11"/>
      <c r="I647" s="2"/>
      <c r="J647" s="2"/>
      <c r="K647" s="2"/>
      <c r="L647" s="10"/>
      <c r="M647" s="9"/>
      <c r="N647" s="2"/>
      <c r="O647" s="2"/>
      <c r="P647" s="2"/>
      <c r="Q647" s="50"/>
      <c r="R647" s="50"/>
      <c r="S647" s="2">
        <f>IFERROR(VLOOKUP(A647,IMPORT_DESISTENCIA!$A$2:$Q2273,14,0),"NÃO")</f>
        <v>0</v>
      </c>
      <c r="T647" s="35"/>
    </row>
    <row r="648" spans="1:20" ht="45" customHeight="1" x14ac:dyDescent="0.25">
      <c r="A648" s="2" t="str">
        <f t="shared" si="1"/>
        <v/>
      </c>
      <c r="B648" s="2"/>
      <c r="C648" s="43"/>
      <c r="D648" s="2"/>
      <c r="E648" s="2"/>
      <c r="F648" s="2"/>
      <c r="G648" s="11"/>
      <c r="H648" s="11"/>
      <c r="I648" s="2"/>
      <c r="J648" s="2"/>
      <c r="K648" s="2"/>
      <c r="L648" s="10"/>
      <c r="M648" s="9"/>
      <c r="N648" s="2"/>
      <c r="O648" s="2"/>
      <c r="P648" s="2"/>
      <c r="Q648" s="50"/>
      <c r="R648" s="50"/>
      <c r="S648" s="2">
        <f>IFERROR(VLOOKUP(A648,IMPORT_DESISTENCIA!$A$2:$Q2273,14,0),"NÃO")</f>
        <v>0</v>
      </c>
      <c r="T648" s="35"/>
    </row>
    <row r="649" spans="1:20" ht="45" customHeight="1" x14ac:dyDescent="0.25">
      <c r="A649" s="2" t="str">
        <f t="shared" si="1"/>
        <v/>
      </c>
      <c r="B649" s="2"/>
      <c r="C649" s="43"/>
      <c r="D649" s="2"/>
      <c r="E649" s="2"/>
      <c r="F649" s="2"/>
      <c r="G649" s="11"/>
      <c r="H649" s="11"/>
      <c r="I649" s="2"/>
      <c r="J649" s="2"/>
      <c r="K649" s="2"/>
      <c r="L649" s="10"/>
      <c r="M649" s="9"/>
      <c r="N649" s="2"/>
      <c r="O649" s="2"/>
      <c r="P649" s="2"/>
      <c r="Q649" s="50"/>
      <c r="R649" s="50"/>
      <c r="S649" s="2">
        <f>IFERROR(VLOOKUP(A649,IMPORT_DESISTENCIA!$A$2:$Q2273,14,0),"NÃO")</f>
        <v>0</v>
      </c>
      <c r="T649" s="35"/>
    </row>
    <row r="650" spans="1:20" ht="45" customHeight="1" x14ac:dyDescent="0.25">
      <c r="A650" s="2" t="str">
        <f t="shared" si="1"/>
        <v/>
      </c>
      <c r="B650" s="2"/>
      <c r="C650" s="43"/>
      <c r="D650" s="2"/>
      <c r="E650" s="2"/>
      <c r="F650" s="2"/>
      <c r="G650" s="11"/>
      <c r="H650" s="11"/>
      <c r="I650" s="2"/>
      <c r="J650" s="2"/>
      <c r="K650" s="2"/>
      <c r="L650" s="10"/>
      <c r="M650" s="9"/>
      <c r="N650" s="2"/>
      <c r="O650" s="2"/>
      <c r="P650" s="2"/>
      <c r="Q650" s="50"/>
      <c r="R650" s="50"/>
      <c r="S650" s="2">
        <f>IFERROR(VLOOKUP(A650,IMPORT_DESISTENCIA!$A$2:$Q2273,14,0),"NÃO")</f>
        <v>0</v>
      </c>
      <c r="T650" s="35"/>
    </row>
    <row r="651" spans="1:20" ht="45" customHeight="1" x14ac:dyDescent="0.25">
      <c r="A651" s="2" t="str">
        <f t="shared" si="1"/>
        <v/>
      </c>
      <c r="B651" s="2"/>
      <c r="C651" s="43"/>
      <c r="D651" s="2"/>
      <c r="E651" s="2"/>
      <c r="F651" s="2"/>
      <c r="G651" s="11"/>
      <c r="H651" s="11"/>
      <c r="I651" s="2"/>
      <c r="J651" s="2"/>
      <c r="K651" s="2"/>
      <c r="L651" s="10"/>
      <c r="M651" s="9"/>
      <c r="N651" s="2"/>
      <c r="O651" s="2"/>
      <c r="P651" s="2"/>
      <c r="Q651" s="50"/>
      <c r="R651" s="50"/>
      <c r="S651" s="2">
        <f>IFERROR(VLOOKUP(A651,IMPORT_DESISTENCIA!$A$2:$Q2273,14,0),"NÃO")</f>
        <v>0</v>
      </c>
      <c r="T651" s="35"/>
    </row>
    <row r="652" spans="1:20" ht="45" customHeight="1" x14ac:dyDescent="0.25">
      <c r="A652" s="2" t="str">
        <f t="shared" si="1"/>
        <v/>
      </c>
      <c r="B652" s="2"/>
      <c r="C652" s="43"/>
      <c r="D652" s="2"/>
      <c r="E652" s="2"/>
      <c r="F652" s="2"/>
      <c r="G652" s="11"/>
      <c r="H652" s="11"/>
      <c r="I652" s="2"/>
      <c r="J652" s="2"/>
      <c r="K652" s="2"/>
      <c r="L652" s="10"/>
      <c r="M652" s="9"/>
      <c r="N652" s="2"/>
      <c r="O652" s="2"/>
      <c r="P652" s="2"/>
      <c r="Q652" s="50"/>
      <c r="R652" s="50"/>
      <c r="S652" s="2">
        <f>IFERROR(VLOOKUP(A652,IMPORT_DESISTENCIA!$A$2:$Q2273,14,0),"NÃO")</f>
        <v>0</v>
      </c>
      <c r="T652" s="35"/>
    </row>
    <row r="653" spans="1:20" ht="45" customHeight="1" x14ac:dyDescent="0.25">
      <c r="A653" s="2" t="str">
        <f t="shared" si="1"/>
        <v/>
      </c>
      <c r="B653" s="2"/>
      <c r="C653" s="43"/>
      <c r="D653" s="2"/>
      <c r="E653" s="2"/>
      <c r="F653" s="2"/>
      <c r="G653" s="11"/>
      <c r="H653" s="11"/>
      <c r="I653" s="2"/>
      <c r="J653" s="2"/>
      <c r="K653" s="2"/>
      <c r="L653" s="10"/>
      <c r="M653" s="9"/>
      <c r="N653" s="2"/>
      <c r="O653" s="2"/>
      <c r="P653" s="2"/>
      <c r="Q653" s="50"/>
      <c r="R653" s="50"/>
      <c r="S653" s="2">
        <f>IFERROR(VLOOKUP(A653,IMPORT_DESISTENCIA!$A$2:$Q2273,14,0),"NÃO")</f>
        <v>0</v>
      </c>
      <c r="T653" s="35"/>
    </row>
    <row r="654" spans="1:20" ht="45" customHeight="1" x14ac:dyDescent="0.25">
      <c r="A654" s="2" t="str">
        <f t="shared" si="1"/>
        <v/>
      </c>
      <c r="B654" s="2"/>
      <c r="C654" s="43"/>
      <c r="D654" s="2"/>
      <c r="E654" s="2"/>
      <c r="F654" s="2"/>
      <c r="G654" s="11"/>
      <c r="H654" s="11"/>
      <c r="I654" s="2"/>
      <c r="J654" s="2"/>
      <c r="K654" s="2"/>
      <c r="L654" s="10"/>
      <c r="M654" s="9"/>
      <c r="N654" s="2"/>
      <c r="O654" s="2"/>
      <c r="P654" s="2"/>
      <c r="Q654" s="50"/>
      <c r="R654" s="50"/>
      <c r="S654" s="2">
        <f>IFERROR(VLOOKUP(A654,IMPORT_DESISTENCIA!$A$2:$Q2273,14,0),"NÃO")</f>
        <v>0</v>
      </c>
      <c r="T654" s="35"/>
    </row>
    <row r="655" spans="1:20" ht="45" customHeight="1" x14ac:dyDescent="0.25">
      <c r="A655" s="2" t="str">
        <f t="shared" si="1"/>
        <v/>
      </c>
      <c r="B655" s="2"/>
      <c r="C655" s="43"/>
      <c r="D655" s="2"/>
      <c r="E655" s="2"/>
      <c r="F655" s="2"/>
      <c r="G655" s="11"/>
      <c r="H655" s="11"/>
      <c r="I655" s="2"/>
      <c r="J655" s="2"/>
      <c r="K655" s="2"/>
      <c r="L655" s="10"/>
      <c r="M655" s="9"/>
      <c r="N655" s="2"/>
      <c r="O655" s="2"/>
      <c r="P655" s="2"/>
      <c r="Q655" s="50"/>
      <c r="R655" s="50"/>
      <c r="S655" s="2">
        <f>IFERROR(VLOOKUP(A655,IMPORT_DESISTENCIA!$A$2:$Q2273,14,0),"NÃO")</f>
        <v>0</v>
      </c>
      <c r="T655" s="35"/>
    </row>
    <row r="656" spans="1:20" ht="45" customHeight="1" x14ac:dyDescent="0.25">
      <c r="A656" s="2" t="str">
        <f t="shared" si="1"/>
        <v/>
      </c>
      <c r="B656" s="2"/>
      <c r="C656" s="43"/>
      <c r="D656" s="2"/>
      <c r="E656" s="2"/>
      <c r="F656" s="2"/>
      <c r="G656" s="11"/>
      <c r="H656" s="11"/>
      <c r="I656" s="2"/>
      <c r="J656" s="2"/>
      <c r="K656" s="2"/>
      <c r="L656" s="10"/>
      <c r="M656" s="9"/>
      <c r="N656" s="2"/>
      <c r="O656" s="2"/>
      <c r="P656" s="2"/>
      <c r="Q656" s="50"/>
      <c r="R656" s="50"/>
      <c r="S656" s="2">
        <f>IFERROR(VLOOKUP(A656,IMPORT_DESISTENCIA!$A$2:$Q2273,14,0),"NÃO")</f>
        <v>0</v>
      </c>
      <c r="T656" s="35"/>
    </row>
    <row r="657" spans="1:20" ht="45" customHeight="1" x14ac:dyDescent="0.25">
      <c r="A657" s="2" t="str">
        <f t="shared" si="1"/>
        <v/>
      </c>
      <c r="B657" s="2"/>
      <c r="C657" s="43"/>
      <c r="D657" s="2"/>
      <c r="E657" s="2"/>
      <c r="F657" s="2"/>
      <c r="G657" s="11"/>
      <c r="H657" s="11"/>
      <c r="I657" s="2"/>
      <c r="J657" s="2"/>
      <c r="K657" s="2"/>
      <c r="L657" s="10"/>
      <c r="M657" s="9"/>
      <c r="N657" s="2"/>
      <c r="O657" s="2"/>
      <c r="P657" s="2"/>
      <c r="Q657" s="50"/>
      <c r="R657" s="50"/>
      <c r="S657" s="2">
        <f>IFERROR(VLOOKUP(A657,IMPORT_DESISTENCIA!$A$2:$Q2273,14,0),"NÃO")</f>
        <v>0</v>
      </c>
      <c r="T657" s="35"/>
    </row>
    <row r="658" spans="1:20" ht="45" customHeight="1" x14ac:dyDescent="0.25">
      <c r="A658" s="2" t="str">
        <f t="shared" si="1"/>
        <v/>
      </c>
      <c r="B658" s="2"/>
      <c r="C658" s="43"/>
      <c r="D658" s="2"/>
      <c r="E658" s="2"/>
      <c r="F658" s="2"/>
      <c r="G658" s="11"/>
      <c r="H658" s="11"/>
      <c r="I658" s="2"/>
      <c r="J658" s="2"/>
      <c r="K658" s="2"/>
      <c r="L658" s="10"/>
      <c r="M658" s="9"/>
      <c r="N658" s="2"/>
      <c r="O658" s="2"/>
      <c r="P658" s="2"/>
      <c r="Q658" s="50"/>
      <c r="R658" s="50"/>
      <c r="S658" s="2">
        <f>IFERROR(VLOOKUP(A658,IMPORT_DESISTENCIA!$A$2:$Q2273,14,0),"NÃO")</f>
        <v>0</v>
      </c>
      <c r="T658" s="35"/>
    </row>
    <row r="659" spans="1:20" ht="45" customHeight="1" x14ac:dyDescent="0.25">
      <c r="A659" s="2" t="str">
        <f t="shared" si="1"/>
        <v/>
      </c>
      <c r="B659" s="2"/>
      <c r="C659" s="43"/>
      <c r="D659" s="2"/>
      <c r="E659" s="2"/>
      <c r="F659" s="2"/>
      <c r="G659" s="11"/>
      <c r="H659" s="11"/>
      <c r="I659" s="2"/>
      <c r="J659" s="2"/>
      <c r="K659" s="2"/>
      <c r="L659" s="10"/>
      <c r="M659" s="9"/>
      <c r="N659" s="2"/>
      <c r="O659" s="2"/>
      <c r="P659" s="2"/>
      <c r="Q659" s="50"/>
      <c r="R659" s="50"/>
      <c r="S659" s="2">
        <f>IFERROR(VLOOKUP(A659,IMPORT_DESISTENCIA!$A$2:$Q2273,14,0),"NÃO")</f>
        <v>0</v>
      </c>
      <c r="T659" s="35"/>
    </row>
    <row r="660" spans="1:20" ht="45" customHeight="1" x14ac:dyDescent="0.25">
      <c r="A660" s="2" t="str">
        <f t="shared" si="1"/>
        <v/>
      </c>
      <c r="B660" s="2"/>
      <c r="C660" s="43"/>
      <c r="D660" s="2"/>
      <c r="E660" s="2"/>
      <c r="F660" s="2"/>
      <c r="G660" s="11"/>
      <c r="H660" s="11"/>
      <c r="I660" s="2"/>
      <c r="J660" s="2"/>
      <c r="K660" s="2"/>
      <c r="L660" s="10"/>
      <c r="M660" s="9"/>
      <c r="N660" s="2"/>
      <c r="O660" s="2"/>
      <c r="P660" s="2"/>
      <c r="Q660" s="50"/>
      <c r="R660" s="50"/>
      <c r="S660" s="2">
        <f>IFERROR(VLOOKUP(A660,IMPORT_DESISTENCIA!$A$2:$Q2273,14,0),"NÃO")</f>
        <v>0</v>
      </c>
      <c r="T660" s="35"/>
    </row>
    <row r="661" spans="1:20" ht="45" customHeight="1" x14ac:dyDescent="0.25">
      <c r="A661" s="2" t="str">
        <f t="shared" si="1"/>
        <v/>
      </c>
      <c r="B661" s="2"/>
      <c r="C661" s="43"/>
      <c r="D661" s="2"/>
      <c r="E661" s="2"/>
      <c r="F661" s="2"/>
      <c r="G661" s="11"/>
      <c r="H661" s="11"/>
      <c r="I661" s="2"/>
      <c r="J661" s="2"/>
      <c r="K661" s="2"/>
      <c r="L661" s="10"/>
      <c r="M661" s="9"/>
      <c r="N661" s="2"/>
      <c r="O661" s="2"/>
      <c r="P661" s="2"/>
      <c r="Q661" s="50"/>
      <c r="R661" s="50"/>
      <c r="S661" s="2">
        <f>IFERROR(VLOOKUP(A661,IMPORT_DESISTENCIA!$A$2:$Q2273,14,0),"NÃO")</f>
        <v>0</v>
      </c>
      <c r="T661" s="35"/>
    </row>
    <row r="662" spans="1:20" ht="45" customHeight="1" x14ac:dyDescent="0.25">
      <c r="A662" s="2" t="str">
        <f t="shared" si="1"/>
        <v/>
      </c>
      <c r="B662" s="2"/>
      <c r="C662" s="43"/>
      <c r="D662" s="2"/>
      <c r="E662" s="2"/>
      <c r="F662" s="2"/>
      <c r="G662" s="11"/>
      <c r="H662" s="11"/>
      <c r="I662" s="2"/>
      <c r="J662" s="2"/>
      <c r="K662" s="2"/>
      <c r="L662" s="10"/>
      <c r="M662" s="9"/>
      <c r="N662" s="2"/>
      <c r="O662" s="2"/>
      <c r="P662" s="2"/>
      <c r="Q662" s="50"/>
      <c r="R662" s="50"/>
      <c r="S662" s="2">
        <f>IFERROR(VLOOKUP(A662,IMPORT_DESISTENCIA!$A$2:$Q2273,14,0),"NÃO")</f>
        <v>0</v>
      </c>
      <c r="T662" s="35"/>
    </row>
    <row r="663" spans="1:20" ht="45" customHeight="1" x14ac:dyDescent="0.25">
      <c r="A663" s="2" t="str">
        <f t="shared" si="1"/>
        <v/>
      </c>
      <c r="B663" s="2"/>
      <c r="C663" s="43"/>
      <c r="D663" s="2"/>
      <c r="E663" s="2"/>
      <c r="F663" s="2"/>
      <c r="G663" s="11"/>
      <c r="H663" s="11"/>
      <c r="I663" s="2"/>
      <c r="J663" s="2"/>
      <c r="K663" s="2"/>
      <c r="L663" s="10"/>
      <c r="M663" s="9"/>
      <c r="N663" s="2"/>
      <c r="O663" s="2"/>
      <c r="P663" s="2"/>
      <c r="Q663" s="50"/>
      <c r="R663" s="50"/>
      <c r="S663" s="2">
        <f>IFERROR(VLOOKUP(A663,IMPORT_DESISTENCIA!$A$2:$Q2273,14,0),"NÃO")</f>
        <v>0</v>
      </c>
      <c r="T663" s="35"/>
    </row>
    <row r="664" spans="1:20" ht="45" customHeight="1" x14ac:dyDescent="0.25">
      <c r="A664" s="2" t="str">
        <f t="shared" si="1"/>
        <v/>
      </c>
      <c r="B664" s="2"/>
      <c r="C664" s="43"/>
      <c r="D664" s="2"/>
      <c r="E664" s="2"/>
      <c r="F664" s="2"/>
      <c r="G664" s="11"/>
      <c r="H664" s="11"/>
      <c r="I664" s="2"/>
      <c r="J664" s="2"/>
      <c r="K664" s="2"/>
      <c r="L664" s="10"/>
      <c r="M664" s="9"/>
      <c r="N664" s="2"/>
      <c r="O664" s="2"/>
      <c r="P664" s="2"/>
      <c r="Q664" s="50"/>
      <c r="R664" s="50"/>
      <c r="S664" s="2">
        <f>IFERROR(VLOOKUP(A664,IMPORT_DESISTENCIA!$A$2:$Q2273,14,0),"NÃO")</f>
        <v>0</v>
      </c>
      <c r="T664" s="35"/>
    </row>
    <row r="665" spans="1:20" ht="45" customHeight="1" x14ac:dyDescent="0.25">
      <c r="A665" s="2" t="str">
        <f t="shared" si="1"/>
        <v/>
      </c>
      <c r="B665" s="2"/>
      <c r="C665" s="43"/>
      <c r="D665" s="2"/>
      <c r="E665" s="2"/>
      <c r="F665" s="2"/>
      <c r="G665" s="11"/>
      <c r="H665" s="11"/>
      <c r="I665" s="2"/>
      <c r="J665" s="2"/>
      <c r="K665" s="2"/>
      <c r="L665" s="10"/>
      <c r="M665" s="9"/>
      <c r="N665" s="2"/>
      <c r="O665" s="2"/>
      <c r="P665" s="2"/>
      <c r="Q665" s="50"/>
      <c r="R665" s="50"/>
      <c r="S665" s="2">
        <f>IFERROR(VLOOKUP(A665,IMPORT_DESISTENCIA!$A$2:$Q2273,14,0),"NÃO")</f>
        <v>0</v>
      </c>
      <c r="T665" s="35"/>
    </row>
    <row r="666" spans="1:20" ht="45" customHeight="1" x14ac:dyDescent="0.25">
      <c r="A666" s="2" t="str">
        <f t="shared" si="1"/>
        <v/>
      </c>
      <c r="B666" s="2"/>
      <c r="C666" s="43"/>
      <c r="D666" s="2"/>
      <c r="E666" s="2"/>
      <c r="F666" s="2"/>
      <c r="G666" s="11"/>
      <c r="H666" s="11"/>
      <c r="I666" s="2"/>
      <c r="J666" s="2"/>
      <c r="K666" s="2"/>
      <c r="L666" s="10"/>
      <c r="M666" s="9"/>
      <c r="N666" s="2"/>
      <c r="O666" s="2"/>
      <c r="P666" s="2"/>
      <c r="Q666" s="50"/>
      <c r="R666" s="50"/>
      <c r="S666" s="2">
        <f>IFERROR(VLOOKUP(A666,IMPORT_DESISTENCIA!$A$2:$Q2273,14,0),"NÃO")</f>
        <v>0</v>
      </c>
      <c r="T666" s="35"/>
    </row>
    <row r="667" spans="1:20" ht="45" customHeight="1" x14ac:dyDescent="0.25">
      <c r="A667" s="2" t="str">
        <f t="shared" si="1"/>
        <v/>
      </c>
      <c r="B667" s="2"/>
      <c r="C667" s="43"/>
      <c r="D667" s="2"/>
      <c r="E667" s="2"/>
      <c r="F667" s="2"/>
      <c r="G667" s="11"/>
      <c r="H667" s="11"/>
      <c r="I667" s="2"/>
      <c r="J667" s="2"/>
      <c r="K667" s="2"/>
      <c r="L667" s="10"/>
      <c r="M667" s="9"/>
      <c r="N667" s="2"/>
      <c r="O667" s="2"/>
      <c r="P667" s="2"/>
      <c r="Q667" s="50"/>
      <c r="R667" s="50"/>
      <c r="S667" s="2">
        <f>IFERROR(VLOOKUP(A667,IMPORT_DESISTENCIA!$A$2:$Q2273,14,0),"NÃO")</f>
        <v>0</v>
      </c>
      <c r="T667" s="35"/>
    </row>
    <row r="668" spans="1:20" ht="45" customHeight="1" x14ac:dyDescent="0.25">
      <c r="A668" s="2" t="str">
        <f t="shared" si="1"/>
        <v/>
      </c>
      <c r="B668" s="2"/>
      <c r="C668" s="43"/>
      <c r="D668" s="2"/>
      <c r="E668" s="2"/>
      <c r="F668" s="2"/>
      <c r="G668" s="11"/>
      <c r="H668" s="11"/>
      <c r="I668" s="2"/>
      <c r="J668" s="2"/>
      <c r="K668" s="2"/>
      <c r="L668" s="10"/>
      <c r="M668" s="9"/>
      <c r="N668" s="2"/>
      <c r="O668" s="2"/>
      <c r="P668" s="2"/>
      <c r="Q668" s="50"/>
      <c r="R668" s="50"/>
      <c r="S668" s="2">
        <f>IFERROR(VLOOKUP(A668,IMPORT_DESISTENCIA!$A$2:$Q2273,14,0),"NÃO")</f>
        <v>0</v>
      </c>
      <c r="T668" s="35"/>
    </row>
    <row r="669" spans="1:20" ht="45" customHeight="1" x14ac:dyDescent="0.25">
      <c r="A669" s="2" t="str">
        <f t="shared" si="1"/>
        <v/>
      </c>
      <c r="B669" s="2"/>
      <c r="C669" s="43"/>
      <c r="D669" s="2"/>
      <c r="E669" s="2"/>
      <c r="F669" s="2"/>
      <c r="G669" s="11"/>
      <c r="H669" s="11"/>
      <c r="I669" s="2"/>
      <c r="J669" s="2"/>
      <c r="K669" s="2"/>
      <c r="L669" s="10"/>
      <c r="M669" s="9"/>
      <c r="N669" s="2"/>
      <c r="O669" s="2"/>
      <c r="P669" s="2"/>
      <c r="Q669" s="50"/>
      <c r="R669" s="50"/>
      <c r="S669" s="2">
        <f>IFERROR(VLOOKUP(A669,IMPORT_DESISTENCIA!$A$2:$Q2273,14,0),"NÃO")</f>
        <v>0</v>
      </c>
      <c r="T669" s="35"/>
    </row>
    <row r="670" spans="1:20" ht="45" customHeight="1" x14ac:dyDescent="0.25">
      <c r="A670" s="2" t="str">
        <f t="shared" si="1"/>
        <v/>
      </c>
      <c r="B670" s="2"/>
      <c r="C670" s="43"/>
      <c r="D670" s="2"/>
      <c r="E670" s="2"/>
      <c r="F670" s="2"/>
      <c r="G670" s="11"/>
      <c r="H670" s="11"/>
      <c r="I670" s="2"/>
      <c r="J670" s="2"/>
      <c r="K670" s="2"/>
      <c r="L670" s="10"/>
      <c r="M670" s="9"/>
      <c r="N670" s="2"/>
      <c r="O670" s="2"/>
      <c r="P670" s="2"/>
      <c r="Q670" s="50"/>
      <c r="R670" s="50"/>
      <c r="S670" s="2">
        <f>IFERROR(VLOOKUP(A670,IMPORT_DESISTENCIA!$A$2:$Q2273,14,0),"NÃO")</f>
        <v>0</v>
      </c>
      <c r="T670" s="35"/>
    </row>
    <row r="671" spans="1:20" ht="45" customHeight="1" x14ac:dyDescent="0.25">
      <c r="A671" s="2" t="str">
        <f t="shared" si="1"/>
        <v/>
      </c>
      <c r="B671" s="2"/>
      <c r="C671" s="43"/>
      <c r="D671" s="2"/>
      <c r="E671" s="2"/>
      <c r="F671" s="2"/>
      <c r="G671" s="11"/>
      <c r="H671" s="11"/>
      <c r="I671" s="2"/>
      <c r="J671" s="2"/>
      <c r="K671" s="2"/>
      <c r="L671" s="10"/>
      <c r="M671" s="9"/>
      <c r="N671" s="2"/>
      <c r="O671" s="2"/>
      <c r="P671" s="2"/>
      <c r="Q671" s="50"/>
      <c r="R671" s="50"/>
      <c r="S671" s="2">
        <f>IFERROR(VLOOKUP(A671,IMPORT_DESISTENCIA!$A$2:$Q2273,14,0),"NÃO")</f>
        <v>0</v>
      </c>
      <c r="T671" s="35"/>
    </row>
    <row r="672" spans="1:20" ht="45" customHeight="1" x14ac:dyDescent="0.25">
      <c r="A672" s="2" t="str">
        <f t="shared" si="1"/>
        <v/>
      </c>
      <c r="B672" s="2"/>
      <c r="C672" s="43"/>
      <c r="D672" s="2"/>
      <c r="E672" s="2"/>
      <c r="F672" s="2"/>
      <c r="G672" s="11"/>
      <c r="H672" s="11"/>
      <c r="I672" s="2"/>
      <c r="J672" s="2"/>
      <c r="K672" s="2"/>
      <c r="L672" s="10"/>
      <c r="M672" s="9"/>
      <c r="N672" s="2"/>
      <c r="O672" s="2"/>
      <c r="P672" s="2"/>
      <c r="Q672" s="50"/>
      <c r="R672" s="50"/>
      <c r="S672" s="2">
        <f>IFERROR(VLOOKUP(A672,IMPORT_DESISTENCIA!$A$2:$Q2273,14,0),"NÃO")</f>
        <v>0</v>
      </c>
      <c r="T672" s="35"/>
    </row>
    <row r="673" spans="1:20" ht="45" customHeight="1" x14ac:dyDescent="0.25">
      <c r="A673" s="2" t="str">
        <f t="shared" si="1"/>
        <v/>
      </c>
      <c r="B673" s="2"/>
      <c r="C673" s="43"/>
      <c r="D673" s="2"/>
      <c r="E673" s="2"/>
      <c r="F673" s="2"/>
      <c r="G673" s="11"/>
      <c r="H673" s="11"/>
      <c r="I673" s="2"/>
      <c r="J673" s="2"/>
      <c r="K673" s="2"/>
      <c r="L673" s="10"/>
      <c r="M673" s="9"/>
      <c r="N673" s="2"/>
      <c r="O673" s="2"/>
      <c r="P673" s="2"/>
      <c r="Q673" s="50"/>
      <c r="R673" s="50"/>
      <c r="S673" s="2">
        <f>IFERROR(VLOOKUP(A673,IMPORT_DESISTENCIA!$A$2:$Q2273,14,0),"NÃO")</f>
        <v>0</v>
      </c>
      <c r="T673" s="35"/>
    </row>
    <row r="674" spans="1:20" ht="45" customHeight="1" x14ac:dyDescent="0.25">
      <c r="A674" s="2" t="str">
        <f t="shared" si="1"/>
        <v/>
      </c>
      <c r="B674" s="2"/>
      <c r="C674" s="43"/>
      <c r="D674" s="2"/>
      <c r="E674" s="2"/>
      <c r="F674" s="2"/>
      <c r="G674" s="11"/>
      <c r="H674" s="11"/>
      <c r="I674" s="2"/>
      <c r="J674" s="2"/>
      <c r="K674" s="2"/>
      <c r="L674" s="10"/>
      <c r="M674" s="9"/>
      <c r="N674" s="2"/>
      <c r="O674" s="2"/>
      <c r="P674" s="2"/>
      <c r="Q674" s="50"/>
      <c r="R674" s="50"/>
      <c r="S674" s="2">
        <f>IFERROR(VLOOKUP(A674,IMPORT_DESISTENCIA!$A$2:$Q2273,14,0),"NÃO")</f>
        <v>0</v>
      </c>
      <c r="T674" s="35"/>
    </row>
    <row r="675" spans="1:20" ht="45" customHeight="1" x14ac:dyDescent="0.25">
      <c r="A675" s="2" t="str">
        <f t="shared" si="1"/>
        <v/>
      </c>
      <c r="B675" s="2"/>
      <c r="C675" s="43"/>
      <c r="D675" s="2"/>
      <c r="E675" s="2"/>
      <c r="F675" s="2"/>
      <c r="G675" s="11"/>
      <c r="H675" s="11"/>
      <c r="I675" s="2"/>
      <c r="J675" s="2"/>
      <c r="K675" s="2"/>
      <c r="L675" s="10"/>
      <c r="M675" s="9"/>
      <c r="N675" s="2"/>
      <c r="O675" s="2"/>
      <c r="P675" s="2"/>
      <c r="Q675" s="50"/>
      <c r="R675" s="50"/>
      <c r="S675" s="2">
        <f>IFERROR(VLOOKUP(A675,IMPORT_DESISTENCIA!$A$2:$Q2273,14,0),"NÃO")</f>
        <v>0</v>
      </c>
      <c r="T675" s="35"/>
    </row>
    <row r="676" spans="1:20" ht="45" customHeight="1" x14ac:dyDescent="0.25">
      <c r="A676" s="2" t="str">
        <f t="shared" si="1"/>
        <v/>
      </c>
      <c r="B676" s="2"/>
      <c r="C676" s="43"/>
      <c r="D676" s="2"/>
      <c r="E676" s="2"/>
      <c r="F676" s="2"/>
      <c r="G676" s="11"/>
      <c r="H676" s="11"/>
      <c r="I676" s="2"/>
      <c r="J676" s="2"/>
      <c r="K676" s="2"/>
      <c r="L676" s="10"/>
      <c r="M676" s="9"/>
      <c r="N676" s="2"/>
      <c r="O676" s="2"/>
      <c r="P676" s="2"/>
      <c r="Q676" s="50"/>
      <c r="R676" s="50"/>
      <c r="S676" s="2">
        <f>IFERROR(VLOOKUP(A676,IMPORT_DESISTENCIA!$A$2:$Q2273,14,0),"NÃO")</f>
        <v>0</v>
      </c>
      <c r="T676" s="35"/>
    </row>
    <row r="677" spans="1:20" ht="45" customHeight="1" x14ac:dyDescent="0.25">
      <c r="A677" s="2" t="str">
        <f t="shared" si="1"/>
        <v/>
      </c>
      <c r="B677" s="2"/>
      <c r="C677" s="43"/>
      <c r="D677" s="2"/>
      <c r="E677" s="2"/>
      <c r="F677" s="2"/>
      <c r="G677" s="11"/>
      <c r="H677" s="11"/>
      <c r="I677" s="2"/>
      <c r="J677" s="2"/>
      <c r="K677" s="2"/>
      <c r="L677" s="10"/>
      <c r="M677" s="9"/>
      <c r="N677" s="2"/>
      <c r="O677" s="2"/>
      <c r="P677" s="2"/>
      <c r="Q677" s="50"/>
      <c r="R677" s="50"/>
      <c r="S677" s="2">
        <f>IFERROR(VLOOKUP(A677,IMPORT_DESISTENCIA!$A$2:$Q2273,14,0),"NÃO")</f>
        <v>0</v>
      </c>
      <c r="T677" s="35"/>
    </row>
    <row r="678" spans="1:20" ht="45" customHeight="1" x14ac:dyDescent="0.25">
      <c r="A678" s="2" t="str">
        <f t="shared" si="1"/>
        <v/>
      </c>
      <c r="B678" s="2"/>
      <c r="C678" s="43"/>
      <c r="D678" s="2"/>
      <c r="E678" s="2"/>
      <c r="F678" s="2"/>
      <c r="G678" s="11"/>
      <c r="H678" s="11"/>
      <c r="I678" s="2"/>
      <c r="J678" s="2"/>
      <c r="K678" s="2"/>
      <c r="L678" s="10"/>
      <c r="M678" s="9"/>
      <c r="N678" s="2"/>
      <c r="O678" s="2"/>
      <c r="P678" s="2"/>
      <c r="Q678" s="50"/>
      <c r="R678" s="50"/>
      <c r="S678" s="2">
        <f>IFERROR(VLOOKUP(A678,IMPORT_DESISTENCIA!$A$2:$Q2273,14,0),"NÃO")</f>
        <v>0</v>
      </c>
      <c r="T678" s="35"/>
    </row>
    <row r="679" spans="1:20" ht="45" customHeight="1" x14ac:dyDescent="0.25">
      <c r="A679" s="2" t="str">
        <f t="shared" si="1"/>
        <v/>
      </c>
      <c r="B679" s="2"/>
      <c r="C679" s="43"/>
      <c r="D679" s="2"/>
      <c r="E679" s="2"/>
      <c r="F679" s="2"/>
      <c r="G679" s="11"/>
      <c r="H679" s="11"/>
      <c r="I679" s="2"/>
      <c r="J679" s="2"/>
      <c r="K679" s="2"/>
      <c r="L679" s="10"/>
      <c r="M679" s="9"/>
      <c r="N679" s="2"/>
      <c r="O679" s="2"/>
      <c r="P679" s="2"/>
      <c r="Q679" s="50"/>
      <c r="R679" s="50"/>
      <c r="S679" s="2">
        <f>IFERROR(VLOOKUP(A679,IMPORT_DESISTENCIA!$A$2:$Q2273,14,0),"NÃO")</f>
        <v>0</v>
      </c>
      <c r="T679" s="35"/>
    </row>
    <row r="680" spans="1:20" ht="45" customHeight="1" x14ac:dyDescent="0.25">
      <c r="A680" s="2" t="str">
        <f t="shared" si="1"/>
        <v/>
      </c>
      <c r="B680" s="2"/>
      <c r="C680" s="43"/>
      <c r="D680" s="2"/>
      <c r="E680" s="2"/>
      <c r="F680" s="2"/>
      <c r="G680" s="11"/>
      <c r="H680" s="11"/>
      <c r="I680" s="2"/>
      <c r="J680" s="2"/>
      <c r="K680" s="2"/>
      <c r="L680" s="10"/>
      <c r="M680" s="9"/>
      <c r="N680" s="2"/>
      <c r="O680" s="2"/>
      <c r="P680" s="2"/>
      <c r="Q680" s="50"/>
      <c r="R680" s="50"/>
      <c r="S680" s="2">
        <f>IFERROR(VLOOKUP(A680,IMPORT_DESISTENCIA!$A$2:$Q2273,14,0),"NÃO")</f>
        <v>0</v>
      </c>
      <c r="T680" s="35"/>
    </row>
    <row r="681" spans="1:20" ht="45" customHeight="1" x14ac:dyDescent="0.25">
      <c r="A681" s="2" t="str">
        <f t="shared" si="1"/>
        <v/>
      </c>
      <c r="B681" s="2"/>
      <c r="C681" s="43"/>
      <c r="D681" s="2"/>
      <c r="E681" s="2"/>
      <c r="F681" s="2"/>
      <c r="G681" s="11"/>
      <c r="H681" s="11"/>
      <c r="I681" s="2"/>
      <c r="J681" s="2"/>
      <c r="K681" s="2"/>
      <c r="L681" s="10"/>
      <c r="M681" s="9"/>
      <c r="N681" s="2"/>
      <c r="O681" s="2"/>
      <c r="P681" s="2"/>
      <c r="Q681" s="50"/>
      <c r="R681" s="50"/>
      <c r="S681" s="2">
        <f>IFERROR(VLOOKUP(A681,IMPORT_DESISTENCIA!$A$2:$Q2273,14,0),"NÃO")</f>
        <v>0</v>
      </c>
      <c r="T681" s="35"/>
    </row>
    <row r="682" spans="1:20" ht="45" customHeight="1" x14ac:dyDescent="0.25">
      <c r="A682" s="2" t="str">
        <f t="shared" si="1"/>
        <v/>
      </c>
      <c r="B682" s="2"/>
      <c r="C682" s="43"/>
      <c r="D682" s="2"/>
      <c r="E682" s="2"/>
      <c r="F682" s="2"/>
      <c r="G682" s="11"/>
      <c r="H682" s="11"/>
      <c r="I682" s="2"/>
      <c r="J682" s="2"/>
      <c r="K682" s="2"/>
      <c r="L682" s="10"/>
      <c r="M682" s="9"/>
      <c r="N682" s="2"/>
      <c r="O682" s="2"/>
      <c r="P682" s="2"/>
      <c r="Q682" s="50"/>
      <c r="R682" s="50"/>
      <c r="S682" s="2">
        <f>IFERROR(VLOOKUP(A682,IMPORT_DESISTENCIA!$A$2:$Q2273,14,0),"NÃO")</f>
        <v>0</v>
      </c>
      <c r="T682" s="35"/>
    </row>
    <row r="683" spans="1:20" ht="45" customHeight="1" x14ac:dyDescent="0.25">
      <c r="A683" s="2" t="str">
        <f t="shared" si="1"/>
        <v/>
      </c>
      <c r="B683" s="2"/>
      <c r="C683" s="43"/>
      <c r="D683" s="2"/>
      <c r="E683" s="2"/>
      <c r="F683" s="2"/>
      <c r="G683" s="11"/>
      <c r="H683" s="11"/>
      <c r="I683" s="2"/>
      <c r="J683" s="2"/>
      <c r="K683" s="2"/>
      <c r="L683" s="10"/>
      <c r="M683" s="9"/>
      <c r="N683" s="2"/>
      <c r="O683" s="2"/>
      <c r="P683" s="2"/>
      <c r="Q683" s="50"/>
      <c r="R683" s="50"/>
      <c r="S683" s="2">
        <f>IFERROR(VLOOKUP(A683,IMPORT_DESISTENCIA!$A$2:$Q2273,14,0),"NÃO")</f>
        <v>0</v>
      </c>
      <c r="T683" s="35"/>
    </row>
    <row r="684" spans="1:20" ht="45" customHeight="1" x14ac:dyDescent="0.25">
      <c r="A684" s="2" t="str">
        <f t="shared" si="1"/>
        <v/>
      </c>
      <c r="B684" s="2"/>
      <c r="C684" s="43"/>
      <c r="D684" s="2"/>
      <c r="E684" s="2"/>
      <c r="F684" s="2"/>
      <c r="G684" s="11"/>
      <c r="H684" s="11"/>
      <c r="I684" s="2"/>
      <c r="J684" s="2"/>
      <c r="K684" s="2"/>
      <c r="L684" s="10"/>
      <c r="M684" s="9"/>
      <c r="N684" s="2"/>
      <c r="O684" s="2"/>
      <c r="P684" s="2"/>
      <c r="Q684" s="50"/>
      <c r="R684" s="50"/>
      <c r="S684" s="2">
        <f>IFERROR(VLOOKUP(A684,IMPORT_DESISTENCIA!$A$2:$Q2273,14,0),"NÃO")</f>
        <v>0</v>
      </c>
      <c r="T684" s="35"/>
    </row>
    <row r="685" spans="1:20" ht="45" customHeight="1" x14ac:dyDescent="0.25">
      <c r="A685" s="2" t="str">
        <f t="shared" si="1"/>
        <v/>
      </c>
      <c r="B685" s="2"/>
      <c r="C685" s="43"/>
      <c r="D685" s="2"/>
      <c r="E685" s="2"/>
      <c r="F685" s="2"/>
      <c r="G685" s="11"/>
      <c r="H685" s="11"/>
      <c r="I685" s="2"/>
      <c r="J685" s="2"/>
      <c r="K685" s="2"/>
      <c r="L685" s="10"/>
      <c r="M685" s="9"/>
      <c r="N685" s="2"/>
      <c r="O685" s="2"/>
      <c r="P685" s="2"/>
      <c r="Q685" s="50"/>
      <c r="R685" s="50"/>
      <c r="S685" s="2">
        <f>IFERROR(VLOOKUP(A685,IMPORT_DESISTENCIA!$A$2:$Q2273,14,0),"NÃO")</f>
        <v>0</v>
      </c>
      <c r="T685" s="35"/>
    </row>
    <row r="686" spans="1:20" ht="45" customHeight="1" x14ac:dyDescent="0.25">
      <c r="A686" s="2" t="str">
        <f t="shared" si="1"/>
        <v/>
      </c>
      <c r="B686" s="2"/>
      <c r="C686" s="43"/>
      <c r="D686" s="2"/>
      <c r="E686" s="2"/>
      <c r="F686" s="2"/>
      <c r="G686" s="11"/>
      <c r="H686" s="11"/>
      <c r="I686" s="2"/>
      <c r="J686" s="2"/>
      <c r="K686" s="2"/>
      <c r="L686" s="10"/>
      <c r="M686" s="9"/>
      <c r="N686" s="2"/>
      <c r="O686" s="2"/>
      <c r="P686" s="2"/>
      <c r="Q686" s="50"/>
      <c r="R686" s="50"/>
      <c r="S686" s="2">
        <f>IFERROR(VLOOKUP(A686,IMPORT_DESISTENCIA!$A$2:$Q2273,14,0),"NÃO")</f>
        <v>0</v>
      </c>
      <c r="T686" s="35"/>
    </row>
    <row r="687" spans="1:20" ht="45" customHeight="1" x14ac:dyDescent="0.25">
      <c r="A687" s="2" t="str">
        <f t="shared" si="1"/>
        <v/>
      </c>
      <c r="B687" s="2"/>
      <c r="C687" s="43"/>
      <c r="D687" s="2"/>
      <c r="E687" s="2"/>
      <c r="F687" s="2"/>
      <c r="G687" s="11"/>
      <c r="H687" s="11"/>
      <c r="I687" s="2"/>
      <c r="J687" s="2"/>
      <c r="K687" s="2"/>
      <c r="L687" s="10"/>
      <c r="M687" s="9"/>
      <c r="N687" s="2"/>
      <c r="O687" s="2"/>
      <c r="P687" s="2"/>
      <c r="Q687" s="50"/>
      <c r="R687" s="50"/>
      <c r="S687" s="2">
        <f>IFERROR(VLOOKUP(A687,IMPORT_DESISTENCIA!$A$2:$Q2273,14,0),"NÃO")</f>
        <v>0</v>
      </c>
      <c r="T687" s="35"/>
    </row>
    <row r="688" spans="1:20" ht="45" customHeight="1" x14ac:dyDescent="0.25">
      <c r="A688" s="2" t="str">
        <f t="shared" si="1"/>
        <v/>
      </c>
      <c r="B688" s="2"/>
      <c r="C688" s="43"/>
      <c r="D688" s="2"/>
      <c r="E688" s="2"/>
      <c r="F688" s="2"/>
      <c r="G688" s="11"/>
      <c r="H688" s="11"/>
      <c r="I688" s="2"/>
      <c r="J688" s="2"/>
      <c r="K688" s="2"/>
      <c r="L688" s="10"/>
      <c r="M688" s="9"/>
      <c r="N688" s="2"/>
      <c r="O688" s="2"/>
      <c r="P688" s="2"/>
      <c r="Q688" s="50"/>
      <c r="R688" s="50"/>
      <c r="S688" s="2">
        <f>IFERROR(VLOOKUP(A688,IMPORT_DESISTENCIA!$A$2:$Q2273,14,0),"NÃO")</f>
        <v>0</v>
      </c>
      <c r="T688" s="35"/>
    </row>
    <row r="689" spans="1:20" ht="45" customHeight="1" x14ac:dyDescent="0.25">
      <c r="A689" s="2" t="str">
        <f t="shared" si="1"/>
        <v/>
      </c>
      <c r="B689" s="2"/>
      <c r="C689" s="43"/>
      <c r="D689" s="2"/>
      <c r="E689" s="2"/>
      <c r="F689" s="2"/>
      <c r="G689" s="11"/>
      <c r="H689" s="11"/>
      <c r="I689" s="2"/>
      <c r="J689" s="2"/>
      <c r="K689" s="2"/>
      <c r="L689" s="10"/>
      <c r="M689" s="9"/>
      <c r="N689" s="2"/>
      <c r="O689" s="2"/>
      <c r="P689" s="2"/>
      <c r="Q689" s="50"/>
      <c r="R689" s="50"/>
      <c r="S689" s="2">
        <f>IFERROR(VLOOKUP(A689,IMPORT_DESISTENCIA!$A$2:$Q2273,14,0),"NÃO")</f>
        <v>0</v>
      </c>
      <c r="T689" s="35"/>
    </row>
    <row r="690" spans="1:20" ht="45" customHeight="1" x14ac:dyDescent="0.25">
      <c r="A690" s="2" t="str">
        <f t="shared" si="1"/>
        <v/>
      </c>
      <c r="B690" s="2"/>
      <c r="C690" s="43"/>
      <c r="D690" s="2"/>
      <c r="E690" s="2"/>
      <c r="F690" s="2"/>
      <c r="G690" s="11"/>
      <c r="H690" s="11"/>
      <c r="I690" s="2"/>
      <c r="J690" s="2"/>
      <c r="K690" s="2"/>
      <c r="L690" s="10"/>
      <c r="M690" s="9"/>
      <c r="N690" s="2"/>
      <c r="O690" s="2"/>
      <c r="P690" s="2"/>
      <c r="Q690" s="50"/>
      <c r="R690" s="50"/>
      <c r="S690" s="2">
        <f>IFERROR(VLOOKUP(A690,IMPORT_DESISTENCIA!$A$2:$Q2273,14,0),"NÃO")</f>
        <v>0</v>
      </c>
      <c r="T690" s="35"/>
    </row>
    <row r="691" spans="1:20" ht="45" customHeight="1" x14ac:dyDescent="0.25">
      <c r="A691" s="2" t="str">
        <f t="shared" si="1"/>
        <v/>
      </c>
      <c r="B691" s="2"/>
      <c r="C691" s="43"/>
      <c r="D691" s="2"/>
      <c r="E691" s="2"/>
      <c r="F691" s="2"/>
      <c r="G691" s="11"/>
      <c r="H691" s="11"/>
      <c r="I691" s="2"/>
      <c r="J691" s="2"/>
      <c r="K691" s="2"/>
      <c r="L691" s="10"/>
      <c r="M691" s="9"/>
      <c r="N691" s="2"/>
      <c r="O691" s="2"/>
      <c r="P691" s="2"/>
      <c r="Q691" s="50"/>
      <c r="R691" s="50"/>
      <c r="S691" s="2">
        <f>IFERROR(VLOOKUP(A691,IMPORT_DESISTENCIA!$A$2:$Q2273,14,0),"NÃO")</f>
        <v>0</v>
      </c>
      <c r="T691" s="35"/>
    </row>
    <row r="692" spans="1:20" ht="45" customHeight="1" x14ac:dyDescent="0.25">
      <c r="A692" s="2" t="str">
        <f t="shared" si="1"/>
        <v/>
      </c>
      <c r="B692" s="2"/>
      <c r="C692" s="43"/>
      <c r="D692" s="2"/>
      <c r="E692" s="2"/>
      <c r="F692" s="2"/>
      <c r="G692" s="11"/>
      <c r="H692" s="11"/>
      <c r="I692" s="2"/>
      <c r="J692" s="2"/>
      <c r="K692" s="2"/>
      <c r="L692" s="10"/>
      <c r="M692" s="9"/>
      <c r="N692" s="2"/>
      <c r="O692" s="2"/>
      <c r="P692" s="2"/>
      <c r="Q692" s="50"/>
      <c r="R692" s="50"/>
      <c r="S692" s="2">
        <f>IFERROR(VLOOKUP(A692,IMPORT_DESISTENCIA!$A$2:$Q2273,14,0),"NÃO")</f>
        <v>0</v>
      </c>
      <c r="T692" s="35"/>
    </row>
    <row r="693" spans="1:20" ht="45" customHeight="1" x14ac:dyDescent="0.25">
      <c r="A693" s="2" t="str">
        <f t="shared" si="1"/>
        <v/>
      </c>
      <c r="B693" s="2"/>
      <c r="C693" s="43"/>
      <c r="D693" s="2"/>
      <c r="E693" s="2"/>
      <c r="F693" s="2"/>
      <c r="G693" s="11"/>
      <c r="H693" s="11"/>
      <c r="I693" s="2"/>
      <c r="J693" s="2"/>
      <c r="K693" s="2"/>
      <c r="L693" s="10"/>
      <c r="M693" s="9"/>
      <c r="N693" s="2"/>
      <c r="O693" s="2"/>
      <c r="P693" s="2"/>
      <c r="Q693" s="50"/>
      <c r="R693" s="50"/>
      <c r="S693" s="2">
        <f>IFERROR(VLOOKUP(A693,IMPORT_DESISTENCIA!$A$2:$Q2273,14,0),"NÃO")</f>
        <v>0</v>
      </c>
      <c r="T693" s="35"/>
    </row>
    <row r="694" spans="1:20" ht="45" customHeight="1" x14ac:dyDescent="0.25">
      <c r="A694" s="2" t="str">
        <f t="shared" si="1"/>
        <v/>
      </c>
      <c r="B694" s="2"/>
      <c r="C694" s="43"/>
      <c r="D694" s="2"/>
      <c r="E694" s="2"/>
      <c r="F694" s="2"/>
      <c r="G694" s="11"/>
      <c r="H694" s="11"/>
      <c r="I694" s="2"/>
      <c r="J694" s="2"/>
      <c r="K694" s="2"/>
      <c r="L694" s="10"/>
      <c r="M694" s="9"/>
      <c r="N694" s="2"/>
      <c r="O694" s="2"/>
      <c r="P694" s="2"/>
      <c r="Q694" s="50"/>
      <c r="R694" s="50"/>
      <c r="S694" s="2">
        <f>IFERROR(VLOOKUP(A694,IMPORT_DESISTENCIA!$A$2:$Q2273,14,0),"NÃO")</f>
        <v>0</v>
      </c>
      <c r="T694" s="35"/>
    </row>
    <row r="695" spans="1:20" ht="45" customHeight="1" x14ac:dyDescent="0.25">
      <c r="A695" s="2" t="str">
        <f t="shared" si="1"/>
        <v/>
      </c>
      <c r="B695" s="2"/>
      <c r="C695" s="43"/>
      <c r="D695" s="2"/>
      <c r="E695" s="2"/>
      <c r="F695" s="2"/>
      <c r="G695" s="11"/>
      <c r="H695" s="11"/>
      <c r="I695" s="2"/>
      <c r="J695" s="2"/>
      <c r="K695" s="2"/>
      <c r="L695" s="10"/>
      <c r="M695" s="9"/>
      <c r="N695" s="2"/>
      <c r="O695" s="2"/>
      <c r="P695" s="2"/>
      <c r="Q695" s="50"/>
      <c r="R695" s="50"/>
      <c r="S695" s="2">
        <f>IFERROR(VLOOKUP(A695,IMPORT_DESISTENCIA!$A$2:$Q2273,14,0),"NÃO")</f>
        <v>0</v>
      </c>
      <c r="T695" s="35"/>
    </row>
    <row r="696" spans="1:20" ht="45" customHeight="1" x14ac:dyDescent="0.25">
      <c r="A696" s="2" t="str">
        <f t="shared" si="1"/>
        <v/>
      </c>
      <c r="B696" s="2"/>
      <c r="C696" s="43"/>
      <c r="D696" s="2"/>
      <c r="E696" s="2"/>
      <c r="F696" s="2"/>
      <c r="G696" s="11"/>
      <c r="H696" s="11"/>
      <c r="I696" s="2"/>
      <c r="J696" s="2"/>
      <c r="K696" s="2"/>
      <c r="L696" s="10"/>
      <c r="M696" s="9"/>
      <c r="N696" s="2"/>
      <c r="O696" s="2"/>
      <c r="P696" s="2"/>
      <c r="Q696" s="50"/>
      <c r="R696" s="50"/>
      <c r="S696" s="2">
        <f>IFERROR(VLOOKUP(A696,IMPORT_DESISTENCIA!$A$2:$Q2273,14,0),"NÃO")</f>
        <v>0</v>
      </c>
      <c r="T696" s="35"/>
    </row>
    <row r="697" spans="1:20" ht="45" customHeight="1" x14ac:dyDescent="0.25">
      <c r="A697" s="2" t="str">
        <f t="shared" si="1"/>
        <v/>
      </c>
      <c r="B697" s="2"/>
      <c r="C697" s="43"/>
      <c r="D697" s="2"/>
      <c r="E697" s="2"/>
      <c r="F697" s="2"/>
      <c r="G697" s="11"/>
      <c r="H697" s="11"/>
      <c r="I697" s="2"/>
      <c r="J697" s="2"/>
      <c r="K697" s="2"/>
      <c r="L697" s="10"/>
      <c r="M697" s="9"/>
      <c r="N697" s="2"/>
      <c r="O697" s="2"/>
      <c r="P697" s="2"/>
      <c r="Q697" s="50"/>
      <c r="R697" s="50"/>
      <c r="S697" s="2">
        <f>IFERROR(VLOOKUP(A697,IMPORT_DESISTENCIA!$A$2:$Q2273,14,0),"NÃO")</f>
        <v>0</v>
      </c>
      <c r="T697" s="35"/>
    </row>
    <row r="698" spans="1:20" ht="45" customHeight="1" x14ac:dyDescent="0.25">
      <c r="A698" s="2" t="str">
        <f t="shared" si="1"/>
        <v/>
      </c>
      <c r="B698" s="2"/>
      <c r="C698" s="43"/>
      <c r="D698" s="2"/>
      <c r="E698" s="2"/>
      <c r="F698" s="2"/>
      <c r="G698" s="11"/>
      <c r="H698" s="11"/>
      <c r="I698" s="2"/>
      <c r="J698" s="2"/>
      <c r="K698" s="2"/>
      <c r="L698" s="10"/>
      <c r="M698" s="9"/>
      <c r="N698" s="2"/>
      <c r="O698" s="2"/>
      <c r="P698" s="2"/>
      <c r="Q698" s="50"/>
      <c r="R698" s="50"/>
      <c r="S698" s="2">
        <f>IFERROR(VLOOKUP(A698,IMPORT_DESISTENCIA!$A$2:$Q2273,14,0),"NÃO")</f>
        <v>0</v>
      </c>
      <c r="T698" s="35"/>
    </row>
    <row r="699" spans="1:20" ht="45" customHeight="1" x14ac:dyDescent="0.25">
      <c r="A699" s="2" t="str">
        <f t="shared" si="1"/>
        <v/>
      </c>
      <c r="B699" s="2"/>
      <c r="C699" s="43"/>
      <c r="D699" s="2"/>
      <c r="E699" s="2"/>
      <c r="F699" s="2"/>
      <c r="G699" s="11"/>
      <c r="H699" s="11"/>
      <c r="I699" s="2"/>
      <c r="J699" s="2"/>
      <c r="K699" s="2"/>
      <c r="L699" s="10"/>
      <c r="M699" s="9"/>
      <c r="N699" s="2"/>
      <c r="O699" s="2"/>
      <c r="P699" s="2"/>
      <c r="Q699" s="50"/>
      <c r="R699" s="50"/>
      <c r="S699" s="2">
        <f>IFERROR(VLOOKUP(A699,IMPORT_DESISTENCIA!$A$2:$Q2273,14,0),"NÃO")</f>
        <v>0</v>
      </c>
      <c r="T699" s="35"/>
    </row>
    <row r="700" spans="1:20" ht="45" customHeight="1" x14ac:dyDescent="0.25">
      <c r="A700" s="2" t="str">
        <f t="shared" si="1"/>
        <v/>
      </c>
      <c r="B700" s="2"/>
      <c r="C700" s="43"/>
      <c r="D700" s="2"/>
      <c r="E700" s="2"/>
      <c r="F700" s="2"/>
      <c r="G700" s="11"/>
      <c r="H700" s="11"/>
      <c r="I700" s="2"/>
      <c r="J700" s="2"/>
      <c r="K700" s="2"/>
      <c r="L700" s="10"/>
      <c r="M700" s="9"/>
      <c r="N700" s="2"/>
      <c r="O700" s="2"/>
      <c r="P700" s="2"/>
      <c r="Q700" s="50"/>
      <c r="R700" s="50"/>
      <c r="S700" s="2">
        <f>IFERROR(VLOOKUP(A700,IMPORT_DESISTENCIA!$A$2:$Q2273,14,0),"NÃO")</f>
        <v>0</v>
      </c>
      <c r="T700" s="35"/>
    </row>
    <row r="701" spans="1:20" ht="45" customHeight="1" x14ac:dyDescent="0.25">
      <c r="A701" s="2" t="str">
        <f t="shared" si="1"/>
        <v/>
      </c>
      <c r="B701" s="2"/>
      <c r="C701" s="43"/>
      <c r="D701" s="2"/>
      <c r="E701" s="2"/>
      <c r="F701" s="2"/>
      <c r="G701" s="11"/>
      <c r="H701" s="11"/>
      <c r="I701" s="2"/>
      <c r="J701" s="2"/>
      <c r="K701" s="2"/>
      <c r="L701" s="10"/>
      <c r="M701" s="9"/>
      <c r="N701" s="2"/>
      <c r="O701" s="2"/>
      <c r="P701" s="2"/>
      <c r="Q701" s="50"/>
      <c r="R701" s="50"/>
      <c r="S701" s="2">
        <f>IFERROR(VLOOKUP(A701,IMPORT_DESISTENCIA!$A$2:$Q2273,14,0),"NÃO")</f>
        <v>0</v>
      </c>
      <c r="T701" s="35"/>
    </row>
    <row r="702" spans="1:20" ht="45" customHeight="1" x14ac:dyDescent="0.25">
      <c r="A702" s="2" t="str">
        <f t="shared" si="1"/>
        <v/>
      </c>
      <c r="B702" s="2"/>
      <c r="C702" s="43"/>
      <c r="D702" s="2"/>
      <c r="E702" s="2"/>
      <c r="F702" s="2"/>
      <c r="G702" s="11"/>
      <c r="H702" s="11"/>
      <c r="I702" s="2"/>
      <c r="J702" s="2"/>
      <c r="K702" s="2"/>
      <c r="L702" s="10"/>
      <c r="M702" s="9"/>
      <c r="N702" s="2"/>
      <c r="O702" s="2"/>
      <c r="P702" s="2"/>
      <c r="Q702" s="50"/>
      <c r="R702" s="50"/>
      <c r="S702" s="2">
        <f>IFERROR(VLOOKUP(A702,IMPORT_DESISTENCIA!$A$2:$Q2273,14,0),"NÃO")</f>
        <v>0</v>
      </c>
      <c r="T702" s="35"/>
    </row>
    <row r="703" spans="1:20" ht="45" customHeight="1" x14ac:dyDescent="0.25">
      <c r="A703" s="2" t="str">
        <f t="shared" si="1"/>
        <v/>
      </c>
      <c r="B703" s="2"/>
      <c r="C703" s="43"/>
      <c r="D703" s="2"/>
      <c r="E703" s="2"/>
      <c r="F703" s="2"/>
      <c r="G703" s="11"/>
      <c r="H703" s="11"/>
      <c r="I703" s="2"/>
      <c r="J703" s="2"/>
      <c r="K703" s="2"/>
      <c r="L703" s="10"/>
      <c r="M703" s="9"/>
      <c r="N703" s="2"/>
      <c r="O703" s="2"/>
      <c r="P703" s="2"/>
      <c r="Q703" s="50"/>
      <c r="R703" s="50"/>
      <c r="S703" s="2">
        <f>IFERROR(VLOOKUP(A703,IMPORT_DESISTENCIA!$A$2:$Q2273,14,0),"NÃO")</f>
        <v>0</v>
      </c>
      <c r="T703" s="35"/>
    </row>
    <row r="704" spans="1:20" ht="45" customHeight="1" x14ac:dyDescent="0.25">
      <c r="A704" s="2" t="str">
        <f t="shared" si="1"/>
        <v/>
      </c>
      <c r="B704" s="2"/>
      <c r="C704" s="43"/>
      <c r="D704" s="2"/>
      <c r="E704" s="2"/>
      <c r="F704" s="2"/>
      <c r="G704" s="11"/>
      <c r="H704" s="11"/>
      <c r="I704" s="2"/>
      <c r="J704" s="2"/>
      <c r="K704" s="2"/>
      <c r="L704" s="10"/>
      <c r="M704" s="9"/>
      <c r="N704" s="2"/>
      <c r="O704" s="2"/>
      <c r="P704" s="2"/>
      <c r="Q704" s="50"/>
      <c r="R704" s="50"/>
      <c r="S704" s="2">
        <f>IFERROR(VLOOKUP(A704,IMPORT_DESISTENCIA!$A$2:$Q2273,14,0),"NÃO")</f>
        <v>0</v>
      </c>
      <c r="T704" s="35"/>
    </row>
    <row r="705" spans="1:20" ht="45" customHeight="1" x14ac:dyDescent="0.25">
      <c r="A705" s="2" t="str">
        <f t="shared" si="1"/>
        <v/>
      </c>
      <c r="B705" s="2"/>
      <c r="C705" s="43"/>
      <c r="D705" s="2"/>
      <c r="E705" s="2"/>
      <c r="F705" s="2"/>
      <c r="G705" s="11"/>
      <c r="H705" s="11"/>
      <c r="I705" s="2"/>
      <c r="J705" s="2"/>
      <c r="K705" s="2"/>
      <c r="L705" s="10"/>
      <c r="M705" s="9"/>
      <c r="N705" s="2"/>
      <c r="O705" s="2"/>
      <c r="P705" s="2"/>
      <c r="Q705" s="50"/>
      <c r="R705" s="50"/>
      <c r="S705" s="2">
        <f>IFERROR(VLOOKUP(A705,IMPORT_DESISTENCIA!$A$2:$Q2273,14,0),"NÃO")</f>
        <v>0</v>
      </c>
      <c r="T705" s="35"/>
    </row>
    <row r="706" spans="1:20" ht="45" customHeight="1" x14ac:dyDescent="0.25">
      <c r="A706" s="2" t="str">
        <f t="shared" si="1"/>
        <v/>
      </c>
      <c r="B706" s="2"/>
      <c r="C706" s="43"/>
      <c r="D706" s="2"/>
      <c r="E706" s="2"/>
      <c r="F706" s="2"/>
      <c r="G706" s="11"/>
      <c r="H706" s="11"/>
      <c r="I706" s="2"/>
      <c r="J706" s="2"/>
      <c r="K706" s="2"/>
      <c r="L706" s="10"/>
      <c r="M706" s="9"/>
      <c r="N706" s="2"/>
      <c r="O706" s="2"/>
      <c r="P706" s="2"/>
      <c r="Q706" s="50"/>
      <c r="R706" s="50"/>
      <c r="S706" s="2">
        <f>IFERROR(VLOOKUP(A706,IMPORT_DESISTENCIA!$A$2:$Q2273,14,0),"NÃO")</f>
        <v>0</v>
      </c>
      <c r="T706" s="35"/>
    </row>
    <row r="707" spans="1:20" ht="45" customHeight="1" x14ac:dyDescent="0.25">
      <c r="A707" s="2" t="str">
        <f t="shared" si="1"/>
        <v/>
      </c>
      <c r="B707" s="2"/>
      <c r="C707" s="43"/>
      <c r="D707" s="2"/>
      <c r="E707" s="2"/>
      <c r="F707" s="2"/>
      <c r="G707" s="11"/>
      <c r="H707" s="11"/>
      <c r="I707" s="2"/>
      <c r="J707" s="2"/>
      <c r="K707" s="2"/>
      <c r="L707" s="10"/>
      <c r="M707" s="9"/>
      <c r="N707" s="2"/>
      <c r="O707" s="2"/>
      <c r="P707" s="2"/>
      <c r="Q707" s="50"/>
      <c r="R707" s="50"/>
      <c r="S707" s="2">
        <f>IFERROR(VLOOKUP(A707,IMPORT_DESISTENCIA!$A$2:$Q2273,14,0),"NÃO")</f>
        <v>0</v>
      </c>
      <c r="T707" s="35"/>
    </row>
    <row r="708" spans="1:20" ht="45" customHeight="1" x14ac:dyDescent="0.25">
      <c r="A708" s="2" t="str">
        <f t="shared" si="1"/>
        <v/>
      </c>
      <c r="B708" s="2"/>
      <c r="C708" s="43"/>
      <c r="D708" s="2"/>
      <c r="E708" s="2"/>
      <c r="F708" s="2"/>
      <c r="G708" s="11"/>
      <c r="H708" s="11"/>
      <c r="I708" s="2"/>
      <c r="J708" s="2"/>
      <c r="K708" s="2"/>
      <c r="L708" s="10"/>
      <c r="M708" s="9"/>
      <c r="N708" s="2"/>
      <c r="O708" s="2"/>
      <c r="P708" s="2"/>
      <c r="Q708" s="50"/>
      <c r="R708" s="50"/>
      <c r="S708" s="2">
        <f>IFERROR(VLOOKUP(A708,IMPORT_DESISTENCIA!$A$2:$Q2273,14,0),"NÃO")</f>
        <v>0</v>
      </c>
      <c r="T708" s="35"/>
    </row>
    <row r="709" spans="1:20" ht="45" customHeight="1" x14ac:dyDescent="0.25">
      <c r="A709" s="2" t="str">
        <f t="shared" si="1"/>
        <v/>
      </c>
      <c r="B709" s="2"/>
      <c r="C709" s="43"/>
      <c r="D709" s="2"/>
      <c r="E709" s="2"/>
      <c r="F709" s="2"/>
      <c r="G709" s="11"/>
      <c r="H709" s="11"/>
      <c r="I709" s="2"/>
      <c r="J709" s="2"/>
      <c r="K709" s="2"/>
      <c r="L709" s="10"/>
      <c r="M709" s="9"/>
      <c r="N709" s="2"/>
      <c r="O709" s="2"/>
      <c r="P709" s="2"/>
      <c r="Q709" s="50"/>
      <c r="R709" s="50"/>
      <c r="S709" s="2">
        <f>IFERROR(VLOOKUP(A709,IMPORT_DESISTENCIA!$A$2:$Q2273,14,0),"NÃO")</f>
        <v>0</v>
      </c>
      <c r="T709" s="35"/>
    </row>
    <row r="710" spans="1:20" ht="45" customHeight="1" x14ac:dyDescent="0.25">
      <c r="A710" s="2" t="str">
        <f t="shared" si="1"/>
        <v/>
      </c>
      <c r="B710" s="2"/>
      <c r="C710" s="43"/>
      <c r="D710" s="2"/>
      <c r="E710" s="2"/>
      <c r="F710" s="2"/>
      <c r="G710" s="11"/>
      <c r="H710" s="11"/>
      <c r="I710" s="2"/>
      <c r="J710" s="2"/>
      <c r="K710" s="2"/>
      <c r="L710" s="10"/>
      <c r="M710" s="9"/>
      <c r="N710" s="2"/>
      <c r="O710" s="2"/>
      <c r="P710" s="2"/>
      <c r="Q710" s="50"/>
      <c r="R710" s="50"/>
      <c r="S710" s="2">
        <f>IFERROR(VLOOKUP(A710,IMPORT_DESISTENCIA!$A$2:$Q2273,14,0),"NÃO")</f>
        <v>0</v>
      </c>
      <c r="T710" s="35"/>
    </row>
    <row r="711" spans="1:20" ht="45" customHeight="1" x14ac:dyDescent="0.25">
      <c r="A711" s="2" t="str">
        <f t="shared" si="1"/>
        <v/>
      </c>
      <c r="B711" s="2"/>
      <c r="C711" s="43"/>
      <c r="D711" s="2"/>
      <c r="E711" s="2"/>
      <c r="F711" s="2"/>
      <c r="G711" s="11"/>
      <c r="H711" s="11"/>
      <c r="I711" s="2"/>
      <c r="J711" s="2"/>
      <c r="K711" s="2"/>
      <c r="L711" s="10"/>
      <c r="M711" s="9"/>
      <c r="N711" s="2"/>
      <c r="O711" s="2"/>
      <c r="P711" s="2"/>
      <c r="Q711" s="50"/>
      <c r="R711" s="50"/>
      <c r="S711" s="2">
        <f>IFERROR(VLOOKUP(A711,IMPORT_DESISTENCIA!$A$2:$Q2273,14,0),"NÃO")</f>
        <v>0</v>
      </c>
      <c r="T711" s="35"/>
    </row>
    <row r="712" spans="1:20" ht="45" customHeight="1" x14ac:dyDescent="0.25">
      <c r="A712" s="2" t="str">
        <f t="shared" si="1"/>
        <v/>
      </c>
      <c r="B712" s="2"/>
      <c r="C712" s="43"/>
      <c r="D712" s="2"/>
      <c r="E712" s="2"/>
      <c r="F712" s="2"/>
      <c r="G712" s="11"/>
      <c r="H712" s="11"/>
      <c r="I712" s="2"/>
      <c r="J712" s="2"/>
      <c r="K712" s="2"/>
      <c r="L712" s="10"/>
      <c r="M712" s="9"/>
      <c r="N712" s="2"/>
      <c r="O712" s="2"/>
      <c r="P712" s="2"/>
      <c r="Q712" s="50"/>
      <c r="R712" s="50"/>
      <c r="S712" s="2">
        <f>IFERROR(VLOOKUP(A712,IMPORT_DESISTENCIA!$A$2:$Q2273,14,0),"NÃO")</f>
        <v>0</v>
      </c>
      <c r="T712" s="35"/>
    </row>
    <row r="713" spans="1:20" ht="45" customHeight="1" x14ac:dyDescent="0.25">
      <c r="A713" s="2" t="str">
        <f t="shared" si="1"/>
        <v/>
      </c>
      <c r="B713" s="2"/>
      <c r="C713" s="43"/>
      <c r="D713" s="2"/>
      <c r="E713" s="2"/>
      <c r="F713" s="2"/>
      <c r="G713" s="11"/>
      <c r="H713" s="11"/>
      <c r="I713" s="2"/>
      <c r="J713" s="2"/>
      <c r="K713" s="2"/>
      <c r="L713" s="10"/>
      <c r="M713" s="9"/>
      <c r="N713" s="2"/>
      <c r="O713" s="2"/>
      <c r="P713" s="2"/>
      <c r="Q713" s="50"/>
      <c r="R713" s="50"/>
      <c r="S713" s="2">
        <f>IFERROR(VLOOKUP(A713,IMPORT_DESISTENCIA!$A$2:$Q2273,14,0),"NÃO")</f>
        <v>0</v>
      </c>
      <c r="T713" s="35"/>
    </row>
    <row r="714" spans="1:20" ht="45" customHeight="1" x14ac:dyDescent="0.25">
      <c r="A714" s="2" t="str">
        <f t="shared" si="1"/>
        <v/>
      </c>
      <c r="B714" s="2"/>
      <c r="C714" s="43"/>
      <c r="D714" s="2"/>
      <c r="E714" s="2"/>
      <c r="F714" s="2"/>
      <c r="G714" s="11"/>
      <c r="H714" s="11"/>
      <c r="I714" s="2"/>
      <c r="J714" s="2"/>
      <c r="K714" s="2"/>
      <c r="L714" s="10"/>
      <c r="M714" s="9"/>
      <c r="N714" s="2"/>
      <c r="O714" s="2"/>
      <c r="P714" s="2"/>
      <c r="Q714" s="50"/>
      <c r="R714" s="50"/>
      <c r="S714" s="2">
        <f>IFERROR(VLOOKUP(A714,IMPORT_DESISTENCIA!$A$2:$Q2273,14,0),"NÃO")</f>
        <v>0</v>
      </c>
      <c r="T714" s="35"/>
    </row>
    <row r="715" spans="1:20" ht="45" customHeight="1" x14ac:dyDescent="0.25">
      <c r="A715" s="2" t="str">
        <f t="shared" si="1"/>
        <v/>
      </c>
      <c r="B715" s="2"/>
      <c r="C715" s="43"/>
      <c r="D715" s="2"/>
      <c r="E715" s="2"/>
      <c r="F715" s="2"/>
      <c r="G715" s="11"/>
      <c r="H715" s="11"/>
      <c r="I715" s="2"/>
      <c r="J715" s="2"/>
      <c r="K715" s="2"/>
      <c r="L715" s="10"/>
      <c r="M715" s="9"/>
      <c r="N715" s="2"/>
      <c r="O715" s="2"/>
      <c r="P715" s="2"/>
      <c r="Q715" s="50"/>
      <c r="R715" s="50"/>
      <c r="S715" s="2">
        <f>IFERROR(VLOOKUP(A715,IMPORT_DESISTENCIA!$A$2:$Q2273,14,0),"NÃO")</f>
        <v>0</v>
      </c>
      <c r="T715" s="35"/>
    </row>
    <row r="716" spans="1:20" ht="45" customHeight="1" x14ac:dyDescent="0.25">
      <c r="A716" s="2" t="str">
        <f t="shared" si="1"/>
        <v/>
      </c>
      <c r="B716" s="2"/>
      <c r="C716" s="43"/>
      <c r="D716" s="2"/>
      <c r="E716" s="2"/>
      <c r="F716" s="2"/>
      <c r="G716" s="11"/>
      <c r="H716" s="11"/>
      <c r="I716" s="2"/>
      <c r="J716" s="2"/>
      <c r="K716" s="2"/>
      <c r="L716" s="10"/>
      <c r="M716" s="9"/>
      <c r="N716" s="2"/>
      <c r="O716" s="2"/>
      <c r="P716" s="2"/>
      <c r="Q716" s="50"/>
      <c r="R716" s="50"/>
      <c r="S716" s="2">
        <f>IFERROR(VLOOKUP(A716,IMPORT_DESISTENCIA!$A$2:$Q2273,14,0),"NÃO")</f>
        <v>0</v>
      </c>
      <c r="T716" s="35"/>
    </row>
    <row r="717" spans="1:20" ht="45" customHeight="1" x14ac:dyDescent="0.25">
      <c r="A717" s="2" t="str">
        <f t="shared" si="1"/>
        <v/>
      </c>
      <c r="B717" s="2"/>
      <c r="C717" s="43"/>
      <c r="D717" s="2"/>
      <c r="E717" s="2"/>
      <c r="F717" s="2"/>
      <c r="G717" s="11"/>
      <c r="H717" s="11"/>
      <c r="I717" s="2"/>
      <c r="J717" s="2"/>
      <c r="K717" s="2"/>
      <c r="L717" s="10"/>
      <c r="M717" s="9"/>
      <c r="N717" s="2"/>
      <c r="O717" s="2"/>
      <c r="P717" s="2"/>
      <c r="Q717" s="50"/>
      <c r="R717" s="50"/>
      <c r="S717" s="2">
        <f>IFERROR(VLOOKUP(A717,IMPORT_DESISTENCIA!$A$2:$Q2273,14,0),"NÃO")</f>
        <v>0</v>
      </c>
      <c r="T717" s="35"/>
    </row>
    <row r="718" spans="1:20" ht="45" customHeight="1" x14ac:dyDescent="0.25">
      <c r="A718" s="2" t="str">
        <f t="shared" si="1"/>
        <v/>
      </c>
      <c r="B718" s="2"/>
      <c r="C718" s="43"/>
      <c r="D718" s="2"/>
      <c r="E718" s="2"/>
      <c r="F718" s="2"/>
      <c r="G718" s="11"/>
      <c r="H718" s="11"/>
      <c r="I718" s="2"/>
      <c r="J718" s="2"/>
      <c r="K718" s="2"/>
      <c r="L718" s="10"/>
      <c r="M718" s="9"/>
      <c r="N718" s="2"/>
      <c r="O718" s="2"/>
      <c r="P718" s="2"/>
      <c r="Q718" s="50"/>
      <c r="R718" s="50"/>
      <c r="S718" s="2">
        <f>IFERROR(VLOOKUP(A718,IMPORT_DESISTENCIA!$A$2:$Q2273,14,0),"NÃO")</f>
        <v>0</v>
      </c>
      <c r="T718" s="35"/>
    </row>
    <row r="719" spans="1:20" ht="45" customHeight="1" x14ac:dyDescent="0.25">
      <c r="A719" s="2" t="str">
        <f t="shared" si="1"/>
        <v/>
      </c>
      <c r="B719" s="2"/>
      <c r="C719" s="43"/>
      <c r="D719" s="2"/>
      <c r="E719" s="2"/>
      <c r="F719" s="2"/>
      <c r="G719" s="11"/>
      <c r="H719" s="11"/>
      <c r="I719" s="2"/>
      <c r="J719" s="2"/>
      <c r="K719" s="2"/>
      <c r="L719" s="10"/>
      <c r="M719" s="9"/>
      <c r="N719" s="2"/>
      <c r="O719" s="2"/>
      <c r="P719" s="2"/>
      <c r="Q719" s="50"/>
      <c r="R719" s="50"/>
      <c r="S719" s="2">
        <f>IFERROR(VLOOKUP(A719,IMPORT_DESISTENCIA!$A$2:$Q2273,14,0),"NÃO")</f>
        <v>0</v>
      </c>
      <c r="T719" s="35"/>
    </row>
    <row r="720" spans="1:20" ht="45" customHeight="1" x14ac:dyDescent="0.25">
      <c r="A720" s="2" t="str">
        <f t="shared" si="1"/>
        <v/>
      </c>
      <c r="B720" s="2"/>
      <c r="C720" s="43"/>
      <c r="D720" s="2"/>
      <c r="E720" s="2"/>
      <c r="F720" s="2"/>
      <c r="G720" s="11"/>
      <c r="H720" s="11"/>
      <c r="I720" s="2"/>
      <c r="J720" s="2"/>
      <c r="K720" s="2"/>
      <c r="L720" s="10"/>
      <c r="M720" s="9"/>
      <c r="N720" s="2"/>
      <c r="O720" s="2"/>
      <c r="P720" s="2"/>
      <c r="Q720" s="50"/>
      <c r="R720" s="50"/>
      <c r="S720" s="2">
        <f>IFERROR(VLOOKUP(A720,IMPORT_DESISTENCIA!$A$2:$Q2273,14,0),"NÃO")</f>
        <v>0</v>
      </c>
      <c r="T720" s="35"/>
    </row>
    <row r="721" spans="1:20" ht="45" customHeight="1" x14ac:dyDescent="0.25">
      <c r="A721" s="2" t="str">
        <f t="shared" si="1"/>
        <v/>
      </c>
      <c r="B721" s="2"/>
      <c r="C721" s="43"/>
      <c r="D721" s="2"/>
      <c r="E721" s="2"/>
      <c r="F721" s="2"/>
      <c r="G721" s="11"/>
      <c r="H721" s="11"/>
      <c r="I721" s="2"/>
      <c r="J721" s="2"/>
      <c r="K721" s="2"/>
      <c r="L721" s="10"/>
      <c r="M721" s="9"/>
      <c r="N721" s="2"/>
      <c r="O721" s="2"/>
      <c r="P721" s="2"/>
      <c r="Q721" s="50"/>
      <c r="R721" s="50"/>
      <c r="S721" s="2">
        <f>IFERROR(VLOOKUP(A721,IMPORT_DESISTENCIA!$A$2:$Q2273,14,0),"NÃO")</f>
        <v>0</v>
      </c>
      <c r="T721" s="35"/>
    </row>
    <row r="722" spans="1:20" ht="45" customHeight="1" x14ac:dyDescent="0.25">
      <c r="A722" s="2" t="str">
        <f t="shared" si="1"/>
        <v/>
      </c>
      <c r="B722" s="2"/>
      <c r="C722" s="43"/>
      <c r="D722" s="2"/>
      <c r="E722" s="2"/>
      <c r="F722" s="2"/>
      <c r="G722" s="11"/>
      <c r="H722" s="11"/>
      <c r="I722" s="2"/>
      <c r="J722" s="2"/>
      <c r="K722" s="2"/>
      <c r="L722" s="10"/>
      <c r="M722" s="9"/>
      <c r="N722" s="2"/>
      <c r="O722" s="2"/>
      <c r="P722" s="2"/>
      <c r="Q722" s="50"/>
      <c r="R722" s="50"/>
      <c r="S722" s="2">
        <f>IFERROR(VLOOKUP(A722,IMPORT_DESISTENCIA!$A$2:$Q2273,14,0),"NÃO")</f>
        <v>0</v>
      </c>
      <c r="T722" s="35"/>
    </row>
    <row r="723" spans="1:20" ht="45" customHeight="1" x14ac:dyDescent="0.25">
      <c r="A723" s="2" t="str">
        <f t="shared" si="1"/>
        <v/>
      </c>
      <c r="B723" s="2"/>
      <c r="C723" s="43"/>
      <c r="D723" s="2"/>
      <c r="E723" s="2"/>
      <c r="F723" s="2"/>
      <c r="G723" s="11"/>
      <c r="H723" s="11"/>
      <c r="I723" s="2"/>
      <c r="J723" s="2"/>
      <c r="K723" s="2"/>
      <c r="L723" s="10"/>
      <c r="M723" s="9"/>
      <c r="N723" s="2"/>
      <c r="O723" s="2"/>
      <c r="P723" s="2"/>
      <c r="Q723" s="50"/>
      <c r="R723" s="50"/>
      <c r="S723" s="2">
        <f>IFERROR(VLOOKUP(A723,IMPORT_DESISTENCIA!$A$2:$Q2273,14,0),"NÃO")</f>
        <v>0</v>
      </c>
      <c r="T723" s="35"/>
    </row>
    <row r="724" spans="1:20" ht="45" customHeight="1" x14ac:dyDescent="0.25">
      <c r="A724" s="2" t="str">
        <f t="shared" si="1"/>
        <v/>
      </c>
      <c r="B724" s="2"/>
      <c r="C724" s="43"/>
      <c r="D724" s="2"/>
      <c r="E724" s="2"/>
      <c r="F724" s="2"/>
      <c r="G724" s="11"/>
      <c r="H724" s="11"/>
      <c r="I724" s="2"/>
      <c r="J724" s="2"/>
      <c r="K724" s="2"/>
      <c r="L724" s="10"/>
      <c r="M724" s="9"/>
      <c r="N724" s="2"/>
      <c r="O724" s="2"/>
      <c r="P724" s="2"/>
      <c r="Q724" s="50"/>
      <c r="R724" s="50"/>
      <c r="S724" s="2">
        <f>IFERROR(VLOOKUP(A724,IMPORT_DESISTENCIA!$A$2:$Q2273,14,0),"NÃO")</f>
        <v>0</v>
      </c>
      <c r="T724" s="35"/>
    </row>
    <row r="725" spans="1:20" ht="45" customHeight="1" x14ac:dyDescent="0.25">
      <c r="A725" s="2" t="str">
        <f t="shared" si="1"/>
        <v/>
      </c>
      <c r="B725" s="2"/>
      <c r="C725" s="43"/>
      <c r="D725" s="2"/>
      <c r="E725" s="2"/>
      <c r="F725" s="2"/>
      <c r="G725" s="11"/>
      <c r="H725" s="11"/>
      <c r="I725" s="2"/>
      <c r="J725" s="2"/>
      <c r="K725" s="2"/>
      <c r="L725" s="10"/>
      <c r="M725" s="9"/>
      <c r="N725" s="2"/>
      <c r="O725" s="2"/>
      <c r="P725" s="2"/>
      <c r="Q725" s="50"/>
      <c r="R725" s="50"/>
      <c r="S725" s="2">
        <f>IFERROR(VLOOKUP(A725,IMPORT_DESISTENCIA!$A$2:$Q2273,14,0),"NÃO")</f>
        <v>0</v>
      </c>
      <c r="T725" s="35"/>
    </row>
    <row r="726" spans="1:20" ht="45" customHeight="1" x14ac:dyDescent="0.25">
      <c r="A726" s="2" t="str">
        <f t="shared" si="1"/>
        <v/>
      </c>
      <c r="B726" s="2"/>
      <c r="C726" s="43"/>
      <c r="D726" s="2"/>
      <c r="E726" s="2"/>
      <c r="F726" s="2"/>
      <c r="G726" s="11"/>
      <c r="H726" s="11"/>
      <c r="I726" s="2"/>
      <c r="J726" s="2"/>
      <c r="K726" s="2"/>
      <c r="L726" s="10"/>
      <c r="M726" s="9"/>
      <c r="N726" s="2"/>
      <c r="O726" s="2"/>
      <c r="P726" s="2"/>
      <c r="Q726" s="50"/>
      <c r="R726" s="50"/>
      <c r="S726" s="2">
        <f>IFERROR(VLOOKUP(A726,IMPORT_DESISTENCIA!$A$2:$Q2273,14,0),"NÃO")</f>
        <v>0</v>
      </c>
      <c r="T726" s="35"/>
    </row>
    <row r="727" spans="1:20" ht="45" customHeight="1" x14ac:dyDescent="0.25">
      <c r="A727" s="2" t="str">
        <f t="shared" si="1"/>
        <v/>
      </c>
      <c r="B727" s="2"/>
      <c r="C727" s="43"/>
      <c r="D727" s="2"/>
      <c r="E727" s="2"/>
      <c r="F727" s="2"/>
      <c r="G727" s="11"/>
      <c r="H727" s="11"/>
      <c r="I727" s="2"/>
      <c r="J727" s="2"/>
      <c r="K727" s="2"/>
      <c r="L727" s="10"/>
      <c r="M727" s="9"/>
      <c r="N727" s="2"/>
      <c r="O727" s="2"/>
      <c r="P727" s="2"/>
      <c r="Q727" s="50"/>
      <c r="R727" s="50"/>
      <c r="S727" s="2">
        <f>IFERROR(VLOOKUP(A727,IMPORT_DESISTENCIA!$A$2:$Q2273,14,0),"NÃO")</f>
        <v>0</v>
      </c>
      <c r="T727" s="35"/>
    </row>
    <row r="728" spans="1:20" ht="45" customHeight="1" x14ac:dyDescent="0.25">
      <c r="A728" s="2" t="str">
        <f t="shared" si="1"/>
        <v/>
      </c>
      <c r="B728" s="2"/>
      <c r="C728" s="43"/>
      <c r="D728" s="2"/>
      <c r="E728" s="2"/>
      <c r="F728" s="2"/>
      <c r="G728" s="11"/>
      <c r="H728" s="11"/>
      <c r="I728" s="2"/>
      <c r="J728" s="2"/>
      <c r="K728" s="2"/>
      <c r="L728" s="10"/>
      <c r="M728" s="9"/>
      <c r="N728" s="2"/>
      <c r="O728" s="2"/>
      <c r="P728" s="2"/>
      <c r="Q728" s="50"/>
      <c r="R728" s="50"/>
      <c r="S728" s="2">
        <f>IFERROR(VLOOKUP(A728,IMPORT_DESISTENCIA!$A$2:$Q2273,14,0),"NÃO")</f>
        <v>0</v>
      </c>
      <c r="T728" s="35"/>
    </row>
    <row r="729" spans="1:20" ht="45" customHeight="1" x14ac:dyDescent="0.25">
      <c r="A729" s="2" t="str">
        <f t="shared" si="1"/>
        <v/>
      </c>
      <c r="B729" s="2"/>
      <c r="C729" s="43"/>
      <c r="D729" s="2"/>
      <c r="E729" s="2"/>
      <c r="F729" s="2"/>
      <c r="G729" s="11"/>
      <c r="H729" s="11"/>
      <c r="I729" s="2"/>
      <c r="J729" s="2"/>
      <c r="K729" s="2"/>
      <c r="L729" s="10"/>
      <c r="M729" s="9"/>
      <c r="N729" s="2"/>
      <c r="O729" s="2"/>
      <c r="P729" s="2"/>
      <c r="Q729" s="50"/>
      <c r="R729" s="50"/>
      <c r="S729" s="2">
        <f>IFERROR(VLOOKUP(A729,IMPORT_DESISTENCIA!$A$2:$Q2273,14,0),"NÃO")</f>
        <v>0</v>
      </c>
      <c r="T729" s="35"/>
    </row>
    <row r="730" spans="1:20" ht="45" customHeight="1" x14ac:dyDescent="0.25">
      <c r="A730" s="2" t="str">
        <f t="shared" si="1"/>
        <v/>
      </c>
      <c r="B730" s="2"/>
      <c r="C730" s="43"/>
      <c r="D730" s="2"/>
      <c r="E730" s="2"/>
      <c r="F730" s="2"/>
      <c r="G730" s="11"/>
      <c r="H730" s="11"/>
      <c r="I730" s="2"/>
      <c r="J730" s="2"/>
      <c r="K730" s="2"/>
      <c r="L730" s="10"/>
      <c r="M730" s="9"/>
      <c r="N730" s="2"/>
      <c r="O730" s="2"/>
      <c r="P730" s="2"/>
      <c r="Q730" s="50"/>
      <c r="R730" s="50"/>
      <c r="S730" s="2">
        <f>IFERROR(VLOOKUP(A730,IMPORT_DESISTENCIA!$A$2:$Q2273,14,0),"NÃO")</f>
        <v>0</v>
      </c>
      <c r="T730" s="35"/>
    </row>
    <row r="731" spans="1:20" ht="45" customHeight="1" x14ac:dyDescent="0.25">
      <c r="A731" s="2" t="str">
        <f t="shared" si="1"/>
        <v/>
      </c>
      <c r="B731" s="2"/>
      <c r="C731" s="43"/>
      <c r="D731" s="2"/>
      <c r="E731" s="2"/>
      <c r="F731" s="2"/>
      <c r="G731" s="11"/>
      <c r="H731" s="11"/>
      <c r="I731" s="2"/>
      <c r="J731" s="2"/>
      <c r="K731" s="2"/>
      <c r="L731" s="10"/>
      <c r="M731" s="9"/>
      <c r="N731" s="2"/>
      <c r="O731" s="2"/>
      <c r="P731" s="2"/>
      <c r="Q731" s="50"/>
      <c r="R731" s="50"/>
      <c r="S731" s="2">
        <f>IFERROR(VLOOKUP(A731,IMPORT_DESISTENCIA!$A$2:$Q2273,14,0),"NÃO")</f>
        <v>0</v>
      </c>
      <c r="T731" s="35"/>
    </row>
    <row r="732" spans="1:20" ht="45" customHeight="1" x14ac:dyDescent="0.25">
      <c r="A732" s="2" t="str">
        <f t="shared" si="1"/>
        <v/>
      </c>
      <c r="B732" s="2"/>
      <c r="C732" s="43"/>
      <c r="D732" s="2"/>
      <c r="E732" s="2"/>
      <c r="F732" s="2"/>
      <c r="G732" s="11"/>
      <c r="H732" s="11"/>
      <c r="I732" s="2"/>
      <c r="J732" s="2"/>
      <c r="K732" s="2"/>
      <c r="L732" s="10"/>
      <c r="M732" s="9"/>
      <c r="N732" s="2"/>
      <c r="O732" s="2"/>
      <c r="P732" s="2"/>
      <c r="Q732" s="50"/>
      <c r="R732" s="50"/>
      <c r="S732" s="2">
        <f>IFERROR(VLOOKUP(A732,IMPORT_DESISTENCIA!$A$2:$Q2273,14,0),"NÃO")</f>
        <v>0</v>
      </c>
      <c r="T732" s="35"/>
    </row>
    <row r="733" spans="1:20" ht="45" customHeight="1" x14ac:dyDescent="0.25">
      <c r="A733" s="2" t="str">
        <f t="shared" si="1"/>
        <v/>
      </c>
      <c r="B733" s="2"/>
      <c r="C733" s="43"/>
      <c r="D733" s="2"/>
      <c r="E733" s="2"/>
      <c r="F733" s="2"/>
      <c r="G733" s="11"/>
      <c r="H733" s="11"/>
      <c r="I733" s="2"/>
      <c r="J733" s="2"/>
      <c r="K733" s="2"/>
      <c r="L733" s="10"/>
      <c r="M733" s="9"/>
      <c r="N733" s="2"/>
      <c r="O733" s="2"/>
      <c r="P733" s="2"/>
      <c r="Q733" s="50"/>
      <c r="R733" s="50"/>
      <c r="S733" s="2">
        <f>IFERROR(VLOOKUP(A733,IMPORT_DESISTENCIA!$A$2:$Q2273,14,0),"NÃO")</f>
        <v>0</v>
      </c>
      <c r="T733" s="35"/>
    </row>
    <row r="734" spans="1:20" ht="45" customHeight="1" x14ac:dyDescent="0.25">
      <c r="A734" s="2" t="str">
        <f t="shared" si="1"/>
        <v/>
      </c>
      <c r="B734" s="2"/>
      <c r="C734" s="43"/>
      <c r="D734" s="2"/>
      <c r="E734" s="2"/>
      <c r="F734" s="2"/>
      <c r="G734" s="11"/>
      <c r="H734" s="11"/>
      <c r="I734" s="2"/>
      <c r="J734" s="2"/>
      <c r="K734" s="2"/>
      <c r="L734" s="10"/>
      <c r="M734" s="9"/>
      <c r="N734" s="2"/>
      <c r="O734" s="2"/>
      <c r="P734" s="2"/>
      <c r="Q734" s="50"/>
      <c r="R734" s="50"/>
      <c r="S734" s="2">
        <f>IFERROR(VLOOKUP(A734,IMPORT_DESISTENCIA!$A$2:$Q2273,14,0),"NÃO")</f>
        <v>0</v>
      </c>
      <c r="T734" s="35"/>
    </row>
    <row r="735" spans="1:20" ht="45" customHeight="1" x14ac:dyDescent="0.25">
      <c r="A735" s="2" t="str">
        <f t="shared" si="1"/>
        <v/>
      </c>
      <c r="B735" s="2"/>
      <c r="C735" s="43"/>
      <c r="D735" s="2"/>
      <c r="E735" s="2"/>
      <c r="F735" s="2"/>
      <c r="G735" s="11"/>
      <c r="H735" s="11"/>
      <c r="I735" s="2"/>
      <c r="J735" s="2"/>
      <c r="K735" s="2"/>
      <c r="L735" s="10"/>
      <c r="M735" s="9"/>
      <c r="N735" s="2"/>
      <c r="O735" s="2"/>
      <c r="P735" s="2"/>
      <c r="Q735" s="50"/>
      <c r="R735" s="50"/>
      <c r="S735" s="2">
        <f>IFERROR(VLOOKUP(A735,IMPORT_DESISTENCIA!$A$2:$Q2273,14,0),"NÃO")</f>
        <v>0</v>
      </c>
      <c r="T735" s="35"/>
    </row>
    <row r="736" spans="1:20" ht="45" customHeight="1" x14ac:dyDescent="0.25">
      <c r="A736" s="2" t="str">
        <f t="shared" si="1"/>
        <v/>
      </c>
      <c r="B736" s="2"/>
      <c r="C736" s="43"/>
      <c r="D736" s="2"/>
      <c r="E736" s="2"/>
      <c r="F736" s="2"/>
      <c r="G736" s="11"/>
      <c r="H736" s="11"/>
      <c r="I736" s="2"/>
      <c r="J736" s="2"/>
      <c r="K736" s="2"/>
      <c r="L736" s="10"/>
      <c r="M736" s="9"/>
      <c r="N736" s="2"/>
      <c r="O736" s="2"/>
      <c r="P736" s="2"/>
      <c r="Q736" s="50"/>
      <c r="R736" s="50"/>
      <c r="S736" s="2">
        <f>IFERROR(VLOOKUP(A736,IMPORT_DESISTENCIA!$A$2:$Q2273,14,0),"NÃO")</f>
        <v>0</v>
      </c>
      <c r="T736" s="35"/>
    </row>
    <row r="737" spans="1:20" ht="45" customHeight="1" x14ac:dyDescent="0.25">
      <c r="A737" s="2" t="str">
        <f t="shared" si="1"/>
        <v/>
      </c>
      <c r="B737" s="2"/>
      <c r="C737" s="43"/>
      <c r="D737" s="2"/>
      <c r="E737" s="2"/>
      <c r="F737" s="2"/>
      <c r="G737" s="11"/>
      <c r="H737" s="11"/>
      <c r="I737" s="2"/>
      <c r="J737" s="2"/>
      <c r="K737" s="2"/>
      <c r="L737" s="10"/>
      <c r="M737" s="9"/>
      <c r="N737" s="2"/>
      <c r="O737" s="2"/>
      <c r="P737" s="2"/>
      <c r="Q737" s="50"/>
      <c r="R737" s="50"/>
      <c r="S737" s="2">
        <f>IFERROR(VLOOKUP(A737,IMPORT_DESISTENCIA!$A$2:$Q2273,14,0),"NÃO")</f>
        <v>0</v>
      </c>
      <c r="T737" s="35"/>
    </row>
    <row r="738" spans="1:20" ht="45" customHeight="1" x14ac:dyDescent="0.25">
      <c r="A738" s="2" t="str">
        <f t="shared" si="1"/>
        <v/>
      </c>
      <c r="B738" s="2"/>
      <c r="C738" s="43"/>
      <c r="D738" s="2"/>
      <c r="E738" s="2"/>
      <c r="F738" s="2"/>
      <c r="G738" s="11"/>
      <c r="H738" s="11"/>
      <c r="I738" s="2"/>
      <c r="J738" s="2"/>
      <c r="K738" s="2"/>
      <c r="L738" s="10"/>
      <c r="M738" s="9"/>
      <c r="N738" s="2"/>
      <c r="O738" s="2"/>
      <c r="P738" s="2"/>
      <c r="Q738" s="50"/>
      <c r="R738" s="50"/>
      <c r="S738" s="2">
        <f>IFERROR(VLOOKUP(A738,IMPORT_DESISTENCIA!$A$2:$Q2273,14,0),"NÃO")</f>
        <v>0</v>
      </c>
      <c r="T738" s="35"/>
    </row>
    <row r="739" spans="1:20" ht="45" customHeight="1" x14ac:dyDescent="0.25">
      <c r="A739" s="2" t="str">
        <f t="shared" si="1"/>
        <v/>
      </c>
      <c r="B739" s="2"/>
      <c r="C739" s="43"/>
      <c r="D739" s="2"/>
      <c r="E739" s="2"/>
      <c r="F739" s="2"/>
      <c r="G739" s="11"/>
      <c r="H739" s="11"/>
      <c r="I739" s="2"/>
      <c r="J739" s="2"/>
      <c r="K739" s="2"/>
      <c r="L739" s="10"/>
      <c r="M739" s="9"/>
      <c r="N739" s="2"/>
      <c r="O739" s="2"/>
      <c r="P739" s="2"/>
      <c r="Q739" s="50"/>
      <c r="R739" s="50"/>
      <c r="S739" s="2">
        <f>IFERROR(VLOOKUP(A739,IMPORT_DESISTENCIA!$A$2:$Q2273,14,0),"NÃO")</f>
        <v>0</v>
      </c>
      <c r="T739" s="35"/>
    </row>
    <row r="740" spans="1:20" ht="45" customHeight="1" x14ac:dyDescent="0.25">
      <c r="A740" s="2" t="str">
        <f t="shared" si="1"/>
        <v/>
      </c>
      <c r="B740" s="2"/>
      <c r="C740" s="43"/>
      <c r="D740" s="2"/>
      <c r="E740" s="2"/>
      <c r="F740" s="2"/>
      <c r="G740" s="11"/>
      <c r="H740" s="11"/>
      <c r="I740" s="2"/>
      <c r="J740" s="2"/>
      <c r="K740" s="2"/>
      <c r="L740" s="10"/>
      <c r="M740" s="9"/>
      <c r="N740" s="2"/>
      <c r="O740" s="2"/>
      <c r="P740" s="2"/>
      <c r="Q740" s="50"/>
      <c r="R740" s="50"/>
      <c r="S740" s="2">
        <f>IFERROR(VLOOKUP(A740,IMPORT_DESISTENCIA!$A$2:$Q2273,14,0),"NÃO")</f>
        <v>0</v>
      </c>
      <c r="T740" s="35"/>
    </row>
    <row r="741" spans="1:20" ht="45" customHeight="1" x14ac:dyDescent="0.25">
      <c r="A741" s="2" t="str">
        <f t="shared" si="1"/>
        <v/>
      </c>
      <c r="B741" s="2"/>
      <c r="C741" s="43"/>
      <c r="D741" s="2"/>
      <c r="E741" s="2"/>
      <c r="F741" s="2"/>
      <c r="G741" s="11"/>
      <c r="H741" s="11"/>
      <c r="I741" s="2"/>
      <c r="J741" s="2"/>
      <c r="K741" s="2"/>
      <c r="L741" s="10"/>
      <c r="M741" s="9"/>
      <c r="N741" s="2"/>
      <c r="O741" s="2"/>
      <c r="P741" s="2"/>
      <c r="Q741" s="50"/>
      <c r="R741" s="50"/>
      <c r="S741" s="2">
        <f>IFERROR(VLOOKUP(A741,IMPORT_DESISTENCIA!$A$2:$Q2273,14,0),"NÃO")</f>
        <v>0</v>
      </c>
      <c r="T741" s="35"/>
    </row>
    <row r="742" spans="1:20" ht="45" customHeight="1" x14ac:dyDescent="0.25">
      <c r="A742" s="2" t="str">
        <f t="shared" si="1"/>
        <v/>
      </c>
      <c r="B742" s="2"/>
      <c r="C742" s="43"/>
      <c r="D742" s="2"/>
      <c r="E742" s="2"/>
      <c r="F742" s="2"/>
      <c r="G742" s="11"/>
      <c r="H742" s="11"/>
      <c r="I742" s="2"/>
      <c r="J742" s="2"/>
      <c r="K742" s="2"/>
      <c r="L742" s="10"/>
      <c r="M742" s="9"/>
      <c r="N742" s="2"/>
      <c r="O742" s="2"/>
      <c r="P742" s="2"/>
      <c r="Q742" s="50"/>
      <c r="R742" s="50"/>
      <c r="S742" s="2">
        <f>IFERROR(VLOOKUP(A742,IMPORT_DESISTENCIA!$A$2:$Q2273,14,0),"NÃO")</f>
        <v>0</v>
      </c>
      <c r="T742" s="35"/>
    </row>
    <row r="743" spans="1:20" ht="45" customHeight="1" x14ac:dyDescent="0.25">
      <c r="A743" s="2" t="str">
        <f t="shared" si="1"/>
        <v/>
      </c>
      <c r="B743" s="2"/>
      <c r="C743" s="43"/>
      <c r="D743" s="2"/>
      <c r="E743" s="2"/>
      <c r="F743" s="2"/>
      <c r="G743" s="11"/>
      <c r="H743" s="11"/>
      <c r="I743" s="2"/>
      <c r="J743" s="2"/>
      <c r="K743" s="2"/>
      <c r="L743" s="10"/>
      <c r="M743" s="9"/>
      <c r="N743" s="2"/>
      <c r="O743" s="2"/>
      <c r="P743" s="2"/>
      <c r="Q743" s="50"/>
      <c r="R743" s="50"/>
      <c r="S743" s="2">
        <f>IFERROR(VLOOKUP(A743,IMPORT_DESISTENCIA!$A$2:$Q2273,14,0),"NÃO")</f>
        <v>0</v>
      </c>
      <c r="T743" s="35"/>
    </row>
    <row r="744" spans="1:20" ht="45" customHeight="1" x14ac:dyDescent="0.25">
      <c r="A744" s="2" t="str">
        <f t="shared" si="1"/>
        <v/>
      </c>
      <c r="B744" s="2"/>
      <c r="C744" s="43"/>
      <c r="D744" s="2"/>
      <c r="E744" s="2"/>
      <c r="F744" s="2"/>
      <c r="G744" s="11"/>
      <c r="H744" s="11"/>
      <c r="I744" s="2"/>
      <c r="J744" s="2"/>
      <c r="K744" s="2"/>
      <c r="L744" s="10"/>
      <c r="M744" s="9"/>
      <c r="N744" s="2"/>
      <c r="O744" s="2"/>
      <c r="P744" s="2"/>
      <c r="Q744" s="50"/>
      <c r="R744" s="50"/>
      <c r="S744" s="2">
        <f>IFERROR(VLOOKUP(A744,IMPORT_DESISTENCIA!$A$2:$Q2273,14,0),"NÃO")</f>
        <v>0</v>
      </c>
      <c r="T744" s="35"/>
    </row>
    <row r="745" spans="1:20" ht="45" customHeight="1" x14ac:dyDescent="0.25">
      <c r="A745" s="2" t="str">
        <f t="shared" si="1"/>
        <v/>
      </c>
      <c r="B745" s="2"/>
      <c r="C745" s="43"/>
      <c r="D745" s="2"/>
      <c r="E745" s="2"/>
      <c r="F745" s="2"/>
      <c r="G745" s="11"/>
      <c r="H745" s="11"/>
      <c r="I745" s="2"/>
      <c r="J745" s="2"/>
      <c r="K745" s="2"/>
      <c r="L745" s="10"/>
      <c r="M745" s="9"/>
      <c r="N745" s="2"/>
      <c r="O745" s="2"/>
      <c r="P745" s="2"/>
      <c r="Q745" s="50"/>
      <c r="R745" s="50"/>
      <c r="S745" s="2">
        <f>IFERROR(VLOOKUP(A745,IMPORT_DESISTENCIA!$A$2:$Q2273,14,0),"NÃO")</f>
        <v>0</v>
      </c>
      <c r="T745" s="35"/>
    </row>
    <row r="746" spans="1:20" ht="45" customHeight="1" x14ac:dyDescent="0.25">
      <c r="A746" s="2" t="str">
        <f t="shared" si="1"/>
        <v/>
      </c>
      <c r="B746" s="2"/>
      <c r="C746" s="43"/>
      <c r="D746" s="2"/>
      <c r="E746" s="2"/>
      <c r="F746" s="2"/>
      <c r="G746" s="11"/>
      <c r="H746" s="11"/>
      <c r="I746" s="2"/>
      <c r="J746" s="2"/>
      <c r="K746" s="2"/>
      <c r="L746" s="10"/>
      <c r="M746" s="9"/>
      <c r="N746" s="2"/>
      <c r="O746" s="2"/>
      <c r="P746" s="2"/>
      <c r="Q746" s="50"/>
      <c r="R746" s="50"/>
      <c r="S746" s="2">
        <f>IFERROR(VLOOKUP(A746,IMPORT_DESISTENCIA!$A$2:$Q2273,14,0),"NÃO")</f>
        <v>0</v>
      </c>
      <c r="T746" s="35"/>
    </row>
    <row r="747" spans="1:20" ht="45" customHeight="1" x14ac:dyDescent="0.25">
      <c r="A747" s="2" t="str">
        <f t="shared" si="1"/>
        <v/>
      </c>
      <c r="B747" s="2"/>
      <c r="C747" s="43"/>
      <c r="D747" s="2"/>
      <c r="E747" s="2"/>
      <c r="F747" s="2"/>
      <c r="G747" s="11"/>
      <c r="H747" s="11"/>
      <c r="I747" s="2"/>
      <c r="J747" s="2"/>
      <c r="K747" s="2"/>
      <c r="L747" s="10"/>
      <c r="M747" s="9"/>
      <c r="N747" s="2"/>
      <c r="O747" s="2"/>
      <c r="P747" s="2"/>
      <c r="Q747" s="50"/>
      <c r="R747" s="50"/>
      <c r="S747" s="2">
        <f>IFERROR(VLOOKUP(A747,IMPORT_DESISTENCIA!$A$2:$Q2273,14,0),"NÃO")</f>
        <v>0</v>
      </c>
      <c r="T747" s="35"/>
    </row>
    <row r="748" spans="1:20" ht="45" customHeight="1" x14ac:dyDescent="0.25">
      <c r="A748" s="2" t="str">
        <f t="shared" si="1"/>
        <v/>
      </c>
      <c r="B748" s="2"/>
      <c r="C748" s="43"/>
      <c r="D748" s="2"/>
      <c r="E748" s="2"/>
      <c r="F748" s="2"/>
      <c r="G748" s="11"/>
      <c r="H748" s="11"/>
      <c r="I748" s="2"/>
      <c r="J748" s="2"/>
      <c r="K748" s="2"/>
      <c r="L748" s="10"/>
      <c r="M748" s="9"/>
      <c r="N748" s="2"/>
      <c r="O748" s="2"/>
      <c r="P748" s="2"/>
      <c r="Q748" s="50"/>
      <c r="R748" s="50"/>
      <c r="S748" s="2">
        <f>IFERROR(VLOOKUP(A748,IMPORT_DESISTENCIA!$A$2:$Q2273,14,0),"NÃO")</f>
        <v>0</v>
      </c>
      <c r="T748" s="35"/>
    </row>
    <row r="749" spans="1:20" ht="45" customHeight="1" x14ac:dyDescent="0.25">
      <c r="A749" s="2" t="str">
        <f t="shared" si="1"/>
        <v/>
      </c>
      <c r="B749" s="2"/>
      <c r="C749" s="43"/>
      <c r="D749" s="2"/>
      <c r="E749" s="2"/>
      <c r="F749" s="2"/>
      <c r="G749" s="11"/>
      <c r="H749" s="11"/>
      <c r="I749" s="2"/>
      <c r="J749" s="2"/>
      <c r="K749" s="2"/>
      <c r="L749" s="10"/>
      <c r="M749" s="9"/>
      <c r="N749" s="2"/>
      <c r="O749" s="2"/>
      <c r="P749" s="2"/>
      <c r="Q749" s="50"/>
      <c r="R749" s="50"/>
      <c r="S749" s="2">
        <f>IFERROR(VLOOKUP(A749,IMPORT_DESISTENCIA!$A$2:$Q2273,14,0),"NÃO")</f>
        <v>0</v>
      </c>
      <c r="T749" s="35"/>
    </row>
    <row r="750" spans="1:20" ht="45" customHeight="1" x14ac:dyDescent="0.25">
      <c r="A750" s="2" t="str">
        <f t="shared" si="1"/>
        <v/>
      </c>
      <c r="B750" s="2"/>
      <c r="C750" s="43"/>
      <c r="D750" s="2"/>
      <c r="E750" s="2"/>
      <c r="F750" s="2"/>
      <c r="G750" s="11"/>
      <c r="H750" s="11"/>
      <c r="I750" s="2"/>
      <c r="J750" s="2"/>
      <c r="K750" s="2"/>
      <c r="L750" s="10"/>
      <c r="M750" s="9"/>
      <c r="N750" s="2"/>
      <c r="O750" s="2"/>
      <c r="P750" s="2"/>
      <c r="Q750" s="50"/>
      <c r="R750" s="50"/>
      <c r="S750" s="2">
        <f>IFERROR(VLOOKUP(A750,IMPORT_DESISTENCIA!$A$2:$Q2273,14,0),"NÃO")</f>
        <v>0</v>
      </c>
      <c r="T750" s="35"/>
    </row>
    <row r="751" spans="1:20" ht="45" customHeight="1" x14ac:dyDescent="0.25">
      <c r="A751" s="2" t="str">
        <f t="shared" si="1"/>
        <v/>
      </c>
      <c r="B751" s="2"/>
      <c r="C751" s="43"/>
      <c r="D751" s="2"/>
      <c r="E751" s="2"/>
      <c r="F751" s="2"/>
      <c r="G751" s="11"/>
      <c r="H751" s="11"/>
      <c r="I751" s="2"/>
      <c r="J751" s="2"/>
      <c r="K751" s="2"/>
      <c r="L751" s="10"/>
      <c r="M751" s="9"/>
      <c r="N751" s="2"/>
      <c r="O751" s="2"/>
      <c r="P751" s="2"/>
      <c r="Q751" s="50"/>
      <c r="R751" s="50"/>
      <c r="S751" s="2">
        <f>IFERROR(VLOOKUP(A751,IMPORT_DESISTENCIA!$A$2:$Q2273,14,0),"NÃO")</f>
        <v>0</v>
      </c>
      <c r="T751" s="35"/>
    </row>
    <row r="752" spans="1:20" ht="45" customHeight="1" x14ac:dyDescent="0.25">
      <c r="A752" s="2" t="str">
        <f t="shared" si="1"/>
        <v/>
      </c>
      <c r="B752" s="2"/>
      <c r="C752" s="43"/>
      <c r="D752" s="2"/>
      <c r="E752" s="2"/>
      <c r="F752" s="2"/>
      <c r="G752" s="11"/>
      <c r="H752" s="11"/>
      <c r="I752" s="2"/>
      <c r="J752" s="2"/>
      <c r="K752" s="2"/>
      <c r="L752" s="10"/>
      <c r="M752" s="9"/>
      <c r="N752" s="2"/>
      <c r="O752" s="2"/>
      <c r="P752" s="2"/>
      <c r="Q752" s="50"/>
      <c r="R752" s="50"/>
      <c r="S752" s="2">
        <f>IFERROR(VLOOKUP(A752,IMPORT_DESISTENCIA!$A$2:$Q2273,14,0),"NÃO")</f>
        <v>0</v>
      </c>
      <c r="T752" s="35"/>
    </row>
    <row r="753" spans="1:20" ht="45" customHeight="1" x14ac:dyDescent="0.25">
      <c r="A753" s="2" t="str">
        <f t="shared" si="1"/>
        <v/>
      </c>
      <c r="B753" s="2"/>
      <c r="C753" s="43"/>
      <c r="D753" s="2"/>
      <c r="E753" s="2"/>
      <c r="F753" s="2"/>
      <c r="G753" s="11"/>
      <c r="H753" s="11"/>
      <c r="I753" s="2"/>
      <c r="J753" s="2"/>
      <c r="K753" s="2"/>
      <c r="L753" s="10"/>
      <c r="M753" s="9"/>
      <c r="N753" s="2"/>
      <c r="O753" s="2"/>
      <c r="P753" s="2"/>
      <c r="Q753" s="50"/>
      <c r="R753" s="50"/>
      <c r="S753" s="2">
        <f>IFERROR(VLOOKUP(A753,IMPORT_DESISTENCIA!$A$2:$Q2273,14,0),"NÃO")</f>
        <v>0</v>
      </c>
      <c r="T753" s="35"/>
    </row>
    <row r="754" spans="1:20" ht="45" customHeight="1" x14ac:dyDescent="0.25">
      <c r="A754" s="2" t="str">
        <f t="shared" si="1"/>
        <v/>
      </c>
      <c r="B754" s="2"/>
      <c r="C754" s="43"/>
      <c r="D754" s="2"/>
      <c r="E754" s="2"/>
      <c r="F754" s="2"/>
      <c r="G754" s="11"/>
      <c r="H754" s="11"/>
      <c r="I754" s="2"/>
      <c r="J754" s="2"/>
      <c r="K754" s="2"/>
      <c r="L754" s="10"/>
      <c r="M754" s="9"/>
      <c r="N754" s="2"/>
      <c r="O754" s="2"/>
      <c r="P754" s="2"/>
      <c r="Q754" s="50"/>
      <c r="R754" s="50"/>
      <c r="S754" s="2">
        <f>IFERROR(VLOOKUP(A754,IMPORT_DESISTENCIA!$A$2:$Q2273,14,0),"NÃO")</f>
        <v>0</v>
      </c>
      <c r="T754" s="35"/>
    </row>
    <row r="755" spans="1:20" ht="45" customHeight="1" x14ac:dyDescent="0.25">
      <c r="A755" s="2" t="str">
        <f t="shared" si="1"/>
        <v/>
      </c>
      <c r="B755" s="2"/>
      <c r="C755" s="43"/>
      <c r="D755" s="2"/>
      <c r="E755" s="2"/>
      <c r="F755" s="2"/>
      <c r="G755" s="11"/>
      <c r="H755" s="11"/>
      <c r="I755" s="2"/>
      <c r="J755" s="2"/>
      <c r="K755" s="2"/>
      <c r="L755" s="10"/>
      <c r="M755" s="9"/>
      <c r="N755" s="2"/>
      <c r="O755" s="2"/>
      <c r="P755" s="2"/>
      <c r="Q755" s="50"/>
      <c r="R755" s="50"/>
      <c r="S755" s="2">
        <f>IFERROR(VLOOKUP(A755,IMPORT_DESISTENCIA!$A$2:$Q2273,14,0),"NÃO")</f>
        <v>0</v>
      </c>
      <c r="T755" s="35"/>
    </row>
    <row r="756" spans="1:20" ht="45" customHeight="1" x14ac:dyDescent="0.25">
      <c r="A756" s="2" t="str">
        <f t="shared" si="1"/>
        <v/>
      </c>
      <c r="B756" s="2"/>
      <c r="C756" s="43"/>
      <c r="D756" s="2"/>
      <c r="E756" s="2"/>
      <c r="F756" s="2"/>
      <c r="G756" s="11"/>
      <c r="H756" s="11"/>
      <c r="I756" s="2"/>
      <c r="J756" s="2"/>
      <c r="K756" s="2"/>
      <c r="L756" s="10"/>
      <c r="M756" s="9"/>
      <c r="N756" s="2"/>
      <c r="O756" s="2"/>
      <c r="P756" s="2"/>
      <c r="Q756" s="50"/>
      <c r="R756" s="50"/>
      <c r="S756" s="2">
        <f>IFERROR(VLOOKUP(A756,IMPORT_DESISTENCIA!$A$2:$Q2273,14,0),"NÃO")</f>
        <v>0</v>
      </c>
      <c r="T756" s="35"/>
    </row>
    <row r="757" spans="1:20" ht="45" customHeight="1" x14ac:dyDescent="0.25">
      <c r="A757" s="2" t="str">
        <f t="shared" si="1"/>
        <v/>
      </c>
      <c r="B757" s="2"/>
      <c r="C757" s="43"/>
      <c r="D757" s="2"/>
      <c r="E757" s="2"/>
      <c r="F757" s="2"/>
      <c r="G757" s="11"/>
      <c r="H757" s="11"/>
      <c r="I757" s="2"/>
      <c r="J757" s="2"/>
      <c r="K757" s="2"/>
      <c r="L757" s="10"/>
      <c r="M757" s="9"/>
      <c r="N757" s="2"/>
      <c r="O757" s="2"/>
      <c r="P757" s="2"/>
      <c r="Q757" s="50"/>
      <c r="R757" s="50"/>
      <c r="S757" s="2">
        <f>IFERROR(VLOOKUP(A757,IMPORT_DESISTENCIA!$A$2:$Q2273,14,0),"NÃO")</f>
        <v>0</v>
      </c>
      <c r="T757" s="35"/>
    </row>
    <row r="758" spans="1:20" ht="45" customHeight="1" x14ac:dyDescent="0.25">
      <c r="A758" s="2" t="str">
        <f t="shared" si="1"/>
        <v/>
      </c>
      <c r="B758" s="2"/>
      <c r="C758" s="43"/>
      <c r="D758" s="2"/>
      <c r="E758" s="2"/>
      <c r="F758" s="2"/>
      <c r="G758" s="11"/>
      <c r="H758" s="11"/>
      <c r="I758" s="2"/>
      <c r="J758" s="2"/>
      <c r="K758" s="2"/>
      <c r="L758" s="10"/>
      <c r="M758" s="9"/>
      <c r="N758" s="2"/>
      <c r="O758" s="2"/>
      <c r="P758" s="2"/>
      <c r="Q758" s="50"/>
      <c r="R758" s="50"/>
      <c r="S758" s="2">
        <f>IFERROR(VLOOKUP(A758,IMPORT_DESISTENCIA!$A$2:$Q2273,14,0),"NÃO")</f>
        <v>0</v>
      </c>
      <c r="T758" s="35"/>
    </row>
    <row r="759" spans="1:20" ht="45" customHeight="1" x14ac:dyDescent="0.25">
      <c r="A759" s="2" t="str">
        <f t="shared" si="1"/>
        <v/>
      </c>
      <c r="B759" s="2"/>
      <c r="C759" s="43"/>
      <c r="D759" s="2"/>
      <c r="E759" s="2"/>
      <c r="F759" s="2"/>
      <c r="G759" s="11"/>
      <c r="H759" s="11"/>
      <c r="I759" s="2"/>
      <c r="J759" s="2"/>
      <c r="K759" s="2"/>
      <c r="L759" s="10"/>
      <c r="M759" s="9"/>
      <c r="N759" s="2"/>
      <c r="O759" s="2"/>
      <c r="P759" s="2"/>
      <c r="Q759" s="50"/>
      <c r="R759" s="50"/>
      <c r="S759" s="2">
        <f>IFERROR(VLOOKUP(A759,IMPORT_DESISTENCIA!$A$2:$Q2273,14,0),"NÃO")</f>
        <v>0</v>
      </c>
      <c r="T759" s="35"/>
    </row>
    <row r="760" spans="1:20" ht="45" customHeight="1" x14ac:dyDescent="0.25">
      <c r="A760" s="2" t="str">
        <f t="shared" si="1"/>
        <v/>
      </c>
      <c r="B760" s="2"/>
      <c r="C760" s="43"/>
      <c r="D760" s="2"/>
      <c r="E760" s="2"/>
      <c r="F760" s="2"/>
      <c r="G760" s="11"/>
      <c r="H760" s="11"/>
      <c r="I760" s="2"/>
      <c r="J760" s="2"/>
      <c r="K760" s="2"/>
      <c r="L760" s="10"/>
      <c r="M760" s="9"/>
      <c r="N760" s="2"/>
      <c r="O760" s="2"/>
      <c r="P760" s="2"/>
      <c r="Q760" s="50"/>
      <c r="R760" s="50"/>
      <c r="S760" s="2">
        <f>IFERROR(VLOOKUP(A760,IMPORT_DESISTENCIA!$A$2:$Q2273,14,0),"NÃO")</f>
        <v>0</v>
      </c>
      <c r="T760" s="35"/>
    </row>
    <row r="761" spans="1:20" ht="45" customHeight="1" x14ac:dyDescent="0.25">
      <c r="A761" s="2" t="str">
        <f t="shared" si="1"/>
        <v/>
      </c>
      <c r="B761" s="2"/>
      <c r="C761" s="43"/>
      <c r="D761" s="2"/>
      <c r="E761" s="2"/>
      <c r="F761" s="2"/>
      <c r="G761" s="11"/>
      <c r="H761" s="11"/>
      <c r="I761" s="2"/>
      <c r="J761" s="2"/>
      <c r="K761" s="2"/>
      <c r="L761" s="10"/>
      <c r="M761" s="9"/>
      <c r="N761" s="2"/>
      <c r="O761" s="2"/>
      <c r="P761" s="2"/>
      <c r="Q761" s="50"/>
      <c r="R761" s="50"/>
      <c r="S761" s="2">
        <f>IFERROR(VLOOKUP(A761,IMPORT_DESISTENCIA!$A$2:$Q2273,14,0),"NÃO")</f>
        <v>0</v>
      </c>
      <c r="T761" s="35"/>
    </row>
    <row r="762" spans="1:20" ht="45" customHeight="1" x14ac:dyDescent="0.25">
      <c r="A762" s="2" t="str">
        <f t="shared" si="1"/>
        <v/>
      </c>
      <c r="B762" s="2"/>
      <c r="C762" s="43"/>
      <c r="D762" s="2"/>
      <c r="E762" s="2"/>
      <c r="F762" s="2"/>
      <c r="G762" s="11"/>
      <c r="H762" s="11"/>
      <c r="I762" s="2"/>
      <c r="J762" s="2"/>
      <c r="K762" s="2"/>
      <c r="L762" s="10"/>
      <c r="M762" s="9"/>
      <c r="N762" s="2"/>
      <c r="O762" s="2"/>
      <c r="P762" s="2"/>
      <c r="Q762" s="50"/>
      <c r="R762" s="50"/>
      <c r="S762" s="2">
        <f>IFERROR(VLOOKUP(A762,IMPORT_DESISTENCIA!$A$2:$Q2273,14,0),"NÃO")</f>
        <v>0</v>
      </c>
      <c r="T762" s="35"/>
    </row>
    <row r="763" spans="1:20" ht="45" customHeight="1" x14ac:dyDescent="0.25">
      <c r="A763" s="2" t="str">
        <f t="shared" si="1"/>
        <v/>
      </c>
      <c r="B763" s="2"/>
      <c r="C763" s="43"/>
      <c r="D763" s="2"/>
      <c r="E763" s="2"/>
      <c r="F763" s="2"/>
      <c r="G763" s="11"/>
      <c r="H763" s="11"/>
      <c r="I763" s="2"/>
      <c r="J763" s="2"/>
      <c r="K763" s="2"/>
      <c r="L763" s="10"/>
      <c r="M763" s="9"/>
      <c r="N763" s="2"/>
      <c r="O763" s="2"/>
      <c r="P763" s="2"/>
      <c r="Q763" s="50"/>
      <c r="R763" s="50"/>
      <c r="S763" s="2">
        <f>IFERROR(VLOOKUP(A763,IMPORT_DESISTENCIA!$A$2:$Q2273,14,0),"NÃO")</f>
        <v>0</v>
      </c>
      <c r="T763" s="35"/>
    </row>
    <row r="764" spans="1:20" ht="45" customHeight="1" x14ac:dyDescent="0.25">
      <c r="A764" s="2" t="str">
        <f t="shared" si="1"/>
        <v/>
      </c>
      <c r="B764" s="2"/>
      <c r="C764" s="43"/>
      <c r="D764" s="2"/>
      <c r="E764" s="2"/>
      <c r="F764" s="2"/>
      <c r="G764" s="11"/>
      <c r="H764" s="11"/>
      <c r="I764" s="2"/>
      <c r="J764" s="2"/>
      <c r="K764" s="2"/>
      <c r="L764" s="10"/>
      <c r="M764" s="9"/>
      <c r="N764" s="2"/>
      <c r="O764" s="2"/>
      <c r="P764" s="2"/>
      <c r="Q764" s="50"/>
      <c r="R764" s="50"/>
      <c r="S764" s="2">
        <f>IFERROR(VLOOKUP(A764,IMPORT_DESISTENCIA!$A$2:$Q2273,14,0),"NÃO")</f>
        <v>0</v>
      </c>
      <c r="T764" s="35"/>
    </row>
    <row r="765" spans="1:20" ht="45" customHeight="1" x14ac:dyDescent="0.25">
      <c r="A765" s="2" t="str">
        <f t="shared" si="1"/>
        <v/>
      </c>
      <c r="B765" s="2"/>
      <c r="C765" s="43"/>
      <c r="D765" s="2"/>
      <c r="E765" s="2"/>
      <c r="F765" s="2"/>
      <c r="G765" s="11"/>
      <c r="H765" s="11"/>
      <c r="I765" s="2"/>
      <c r="J765" s="2"/>
      <c r="K765" s="2"/>
      <c r="L765" s="10"/>
      <c r="M765" s="9"/>
      <c r="N765" s="2"/>
      <c r="O765" s="2"/>
      <c r="P765" s="2"/>
      <c r="Q765" s="50"/>
      <c r="R765" s="50"/>
      <c r="S765" s="2">
        <f>IFERROR(VLOOKUP(A765,IMPORT_DESISTENCIA!$A$2:$Q2273,14,0),"NÃO")</f>
        <v>0</v>
      </c>
      <c r="T765" s="35"/>
    </row>
    <row r="766" spans="1:20" ht="45" customHeight="1" x14ac:dyDescent="0.25">
      <c r="A766" s="2" t="str">
        <f t="shared" si="1"/>
        <v/>
      </c>
      <c r="B766" s="2"/>
      <c r="C766" s="43"/>
      <c r="D766" s="2"/>
      <c r="E766" s="2"/>
      <c r="F766" s="2"/>
      <c r="G766" s="11"/>
      <c r="H766" s="11"/>
      <c r="I766" s="2"/>
      <c r="J766" s="2"/>
      <c r="K766" s="2"/>
      <c r="L766" s="10"/>
      <c r="M766" s="9"/>
      <c r="N766" s="2"/>
      <c r="O766" s="2"/>
      <c r="P766" s="2"/>
      <c r="Q766" s="50"/>
      <c r="R766" s="50"/>
      <c r="S766" s="2">
        <f>IFERROR(VLOOKUP(A766,IMPORT_DESISTENCIA!$A$2:$Q2273,14,0),"NÃO")</f>
        <v>0</v>
      </c>
      <c r="T766" s="35"/>
    </row>
    <row r="767" spans="1:20" ht="45" customHeight="1" x14ac:dyDescent="0.25">
      <c r="A767" s="2" t="str">
        <f t="shared" si="1"/>
        <v/>
      </c>
      <c r="B767" s="2"/>
      <c r="C767" s="43"/>
      <c r="D767" s="2"/>
      <c r="E767" s="2"/>
      <c r="F767" s="2"/>
      <c r="G767" s="11"/>
      <c r="H767" s="11"/>
      <c r="I767" s="2"/>
      <c r="J767" s="2"/>
      <c r="K767" s="2"/>
      <c r="L767" s="10"/>
      <c r="M767" s="9"/>
      <c r="N767" s="2"/>
      <c r="O767" s="2"/>
      <c r="P767" s="2"/>
      <c r="Q767" s="50"/>
      <c r="R767" s="50"/>
      <c r="S767" s="2">
        <f>IFERROR(VLOOKUP(A767,IMPORT_DESISTENCIA!$A$2:$Q2273,14,0),"NÃO")</f>
        <v>0</v>
      </c>
      <c r="T767" s="35"/>
    </row>
    <row r="768" spans="1:20" ht="45" customHeight="1" x14ac:dyDescent="0.25">
      <c r="A768" s="2" t="str">
        <f t="shared" si="1"/>
        <v/>
      </c>
      <c r="B768" s="2"/>
      <c r="C768" s="43"/>
      <c r="D768" s="2"/>
      <c r="E768" s="2"/>
      <c r="F768" s="2"/>
      <c r="G768" s="11"/>
      <c r="H768" s="11"/>
      <c r="I768" s="2"/>
      <c r="J768" s="2"/>
      <c r="K768" s="2"/>
      <c r="L768" s="10"/>
      <c r="M768" s="9"/>
      <c r="N768" s="2"/>
      <c r="O768" s="2"/>
      <c r="P768" s="2"/>
      <c r="Q768" s="50"/>
      <c r="R768" s="50"/>
      <c r="S768" s="2">
        <f>IFERROR(VLOOKUP(A768,IMPORT_DESISTENCIA!$A$2:$Q2273,14,0),"NÃO")</f>
        <v>0</v>
      </c>
      <c r="T768" s="35"/>
    </row>
    <row r="769" spans="1:20" ht="45" customHeight="1" x14ac:dyDescent="0.25">
      <c r="A769" s="2" t="str">
        <f t="shared" si="1"/>
        <v/>
      </c>
      <c r="B769" s="2"/>
      <c r="C769" s="43"/>
      <c r="D769" s="2"/>
      <c r="E769" s="2"/>
      <c r="F769" s="2"/>
      <c r="G769" s="11"/>
      <c r="H769" s="11"/>
      <c r="I769" s="2"/>
      <c r="J769" s="2"/>
      <c r="K769" s="2"/>
      <c r="L769" s="10"/>
      <c r="M769" s="9"/>
      <c r="N769" s="2"/>
      <c r="O769" s="2"/>
      <c r="P769" s="2"/>
      <c r="Q769" s="50"/>
      <c r="R769" s="50"/>
      <c r="S769" s="2">
        <f>IFERROR(VLOOKUP(A769,IMPORT_DESISTENCIA!$A$2:$Q2273,14,0),"NÃO")</f>
        <v>0</v>
      </c>
      <c r="T769" s="35"/>
    </row>
    <row r="770" spans="1:20" ht="45" customHeight="1" x14ac:dyDescent="0.25">
      <c r="A770" s="2" t="str">
        <f t="shared" si="1"/>
        <v/>
      </c>
      <c r="B770" s="2"/>
      <c r="C770" s="43"/>
      <c r="D770" s="2"/>
      <c r="E770" s="2"/>
      <c r="F770" s="2"/>
      <c r="G770" s="11"/>
      <c r="H770" s="11"/>
      <c r="I770" s="2"/>
      <c r="J770" s="2"/>
      <c r="K770" s="2"/>
      <c r="L770" s="10"/>
      <c r="M770" s="9"/>
      <c r="N770" s="2"/>
      <c r="O770" s="2"/>
      <c r="P770" s="2"/>
      <c r="Q770" s="50"/>
      <c r="R770" s="50"/>
      <c r="S770" s="2">
        <f>IFERROR(VLOOKUP(A770,IMPORT_DESISTENCIA!$A$2:$Q2273,14,0),"NÃO")</f>
        <v>0</v>
      </c>
      <c r="T770" s="35"/>
    </row>
    <row r="771" spans="1:20" ht="45" customHeight="1" x14ac:dyDescent="0.25">
      <c r="A771" s="2" t="str">
        <f t="shared" si="1"/>
        <v/>
      </c>
      <c r="B771" s="2"/>
      <c r="C771" s="43"/>
      <c r="D771" s="2"/>
      <c r="E771" s="2"/>
      <c r="F771" s="2"/>
      <c r="G771" s="11"/>
      <c r="H771" s="11"/>
      <c r="I771" s="2"/>
      <c r="J771" s="2"/>
      <c r="K771" s="2"/>
      <c r="L771" s="10"/>
      <c r="M771" s="9"/>
      <c r="N771" s="2"/>
      <c r="O771" s="2"/>
      <c r="P771" s="2"/>
      <c r="Q771" s="50"/>
      <c r="R771" s="50"/>
      <c r="S771" s="2">
        <f>IFERROR(VLOOKUP(A771,IMPORT_DESISTENCIA!$A$2:$Q2273,14,0),"NÃO")</f>
        <v>0</v>
      </c>
      <c r="T771" s="35"/>
    </row>
    <row r="772" spans="1:20" ht="45" customHeight="1" x14ac:dyDescent="0.25">
      <c r="A772" s="2" t="str">
        <f t="shared" si="1"/>
        <v/>
      </c>
      <c r="B772" s="2"/>
      <c r="C772" s="43"/>
      <c r="D772" s="2"/>
      <c r="E772" s="2"/>
      <c r="F772" s="2"/>
      <c r="G772" s="11"/>
      <c r="H772" s="11"/>
      <c r="I772" s="2"/>
      <c r="J772" s="2"/>
      <c r="K772" s="2"/>
      <c r="L772" s="10"/>
      <c r="M772" s="9"/>
      <c r="N772" s="2"/>
      <c r="O772" s="2"/>
      <c r="P772" s="2"/>
      <c r="Q772" s="50"/>
      <c r="R772" s="50"/>
      <c r="S772" s="2">
        <f>IFERROR(VLOOKUP(A772,IMPORT_DESISTENCIA!$A$2:$Q2273,14,0),"NÃO")</f>
        <v>0</v>
      </c>
      <c r="T772" s="35"/>
    </row>
    <row r="773" spans="1:20" ht="45" customHeight="1" x14ac:dyDescent="0.25">
      <c r="A773" s="2" t="str">
        <f t="shared" si="1"/>
        <v/>
      </c>
      <c r="B773" s="2"/>
      <c r="C773" s="43"/>
      <c r="D773" s="2"/>
      <c r="E773" s="2"/>
      <c r="F773" s="2"/>
      <c r="G773" s="11"/>
      <c r="H773" s="11"/>
      <c r="I773" s="2"/>
      <c r="J773" s="2"/>
      <c r="K773" s="2"/>
      <c r="L773" s="10"/>
      <c r="M773" s="9"/>
      <c r="N773" s="2"/>
      <c r="O773" s="2"/>
      <c r="P773" s="2"/>
      <c r="Q773" s="50"/>
      <c r="R773" s="50"/>
      <c r="S773" s="2">
        <f>IFERROR(VLOOKUP(A773,IMPORT_DESISTENCIA!$A$2:$Q2273,14,0),"NÃO")</f>
        <v>0</v>
      </c>
      <c r="T773" s="35"/>
    </row>
    <row r="774" spans="1:20" ht="45" customHeight="1" x14ac:dyDescent="0.25">
      <c r="A774" s="2" t="str">
        <f t="shared" si="1"/>
        <v/>
      </c>
      <c r="B774" s="2"/>
      <c r="C774" s="43"/>
      <c r="D774" s="2"/>
      <c r="E774" s="2"/>
      <c r="F774" s="2"/>
      <c r="G774" s="11"/>
      <c r="H774" s="11"/>
      <c r="I774" s="2"/>
      <c r="J774" s="2"/>
      <c r="K774" s="2"/>
      <c r="L774" s="10"/>
      <c r="M774" s="9"/>
      <c r="N774" s="2"/>
      <c r="O774" s="2"/>
      <c r="P774" s="2"/>
      <c r="Q774" s="50"/>
      <c r="R774" s="50"/>
      <c r="S774" s="2">
        <f>IFERROR(VLOOKUP(A774,IMPORT_DESISTENCIA!$A$2:$Q2273,14,0),"NÃO")</f>
        <v>0</v>
      </c>
      <c r="T774" s="35"/>
    </row>
    <row r="775" spans="1:20" ht="45" customHeight="1" x14ac:dyDescent="0.25">
      <c r="A775" s="2" t="str">
        <f t="shared" si="1"/>
        <v/>
      </c>
      <c r="B775" s="2"/>
      <c r="C775" s="43"/>
      <c r="D775" s="2"/>
      <c r="E775" s="2"/>
      <c r="F775" s="2"/>
      <c r="G775" s="11"/>
      <c r="H775" s="11"/>
      <c r="I775" s="2"/>
      <c r="J775" s="2"/>
      <c r="K775" s="2"/>
      <c r="L775" s="10"/>
      <c r="M775" s="9"/>
      <c r="N775" s="2"/>
      <c r="O775" s="2"/>
      <c r="P775" s="2"/>
      <c r="Q775" s="50"/>
      <c r="R775" s="50"/>
      <c r="S775" s="2">
        <f>IFERROR(VLOOKUP(A775,IMPORT_DESISTENCIA!$A$2:$Q2273,14,0),"NÃO")</f>
        <v>0</v>
      </c>
      <c r="T775" s="35"/>
    </row>
    <row r="776" spans="1:20" ht="45" customHeight="1" x14ac:dyDescent="0.25">
      <c r="A776" s="2" t="str">
        <f t="shared" si="1"/>
        <v/>
      </c>
      <c r="B776" s="2"/>
      <c r="C776" s="43"/>
      <c r="D776" s="2"/>
      <c r="E776" s="2"/>
      <c r="F776" s="2"/>
      <c r="G776" s="11"/>
      <c r="H776" s="11"/>
      <c r="I776" s="2"/>
      <c r="J776" s="2"/>
      <c r="K776" s="2"/>
      <c r="L776" s="10"/>
      <c r="M776" s="9"/>
      <c r="N776" s="2"/>
      <c r="O776" s="2"/>
      <c r="P776" s="2"/>
      <c r="Q776" s="50"/>
      <c r="R776" s="50"/>
      <c r="S776" s="2">
        <f>IFERROR(VLOOKUP(A776,IMPORT_DESISTENCIA!$A$2:$Q2273,14,0),"NÃO")</f>
        <v>0</v>
      </c>
      <c r="T776" s="35"/>
    </row>
    <row r="777" spans="1:20" ht="45" customHeight="1" x14ac:dyDescent="0.25">
      <c r="A777" s="2" t="str">
        <f t="shared" si="1"/>
        <v/>
      </c>
      <c r="B777" s="2"/>
      <c r="C777" s="43"/>
      <c r="D777" s="2"/>
      <c r="E777" s="2"/>
      <c r="F777" s="2"/>
      <c r="G777" s="11"/>
      <c r="H777" s="11"/>
      <c r="I777" s="2"/>
      <c r="J777" s="2"/>
      <c r="K777" s="2"/>
      <c r="L777" s="10"/>
      <c r="M777" s="9"/>
      <c r="N777" s="2"/>
      <c r="O777" s="2"/>
      <c r="P777" s="2"/>
      <c r="Q777" s="50"/>
      <c r="R777" s="50"/>
      <c r="S777" s="2">
        <f>IFERROR(VLOOKUP(A777,IMPORT_DESISTENCIA!$A$2:$Q2273,14,0),"NÃO")</f>
        <v>0</v>
      </c>
      <c r="T777" s="35"/>
    </row>
    <row r="778" spans="1:20" ht="45" customHeight="1" x14ac:dyDescent="0.25">
      <c r="A778" s="2" t="str">
        <f t="shared" si="1"/>
        <v/>
      </c>
      <c r="B778" s="2"/>
      <c r="C778" s="43"/>
      <c r="D778" s="2"/>
      <c r="E778" s="2"/>
      <c r="F778" s="2"/>
      <c r="G778" s="11"/>
      <c r="H778" s="11"/>
      <c r="I778" s="2"/>
      <c r="J778" s="2"/>
      <c r="K778" s="2"/>
      <c r="L778" s="10"/>
      <c r="M778" s="9"/>
      <c r="N778" s="2"/>
      <c r="O778" s="2"/>
      <c r="P778" s="2"/>
      <c r="Q778" s="50"/>
      <c r="R778" s="50"/>
      <c r="S778" s="2">
        <f>IFERROR(VLOOKUP(A778,IMPORT_DESISTENCIA!$A$2:$Q2273,14,0),"NÃO")</f>
        <v>0</v>
      </c>
      <c r="T778" s="35"/>
    </row>
    <row r="779" spans="1:20" ht="45" customHeight="1" x14ac:dyDescent="0.25">
      <c r="A779" s="2" t="str">
        <f t="shared" si="1"/>
        <v/>
      </c>
      <c r="B779" s="2"/>
      <c r="C779" s="43"/>
      <c r="D779" s="2"/>
      <c r="E779" s="2"/>
      <c r="F779" s="2"/>
      <c r="G779" s="11"/>
      <c r="H779" s="11"/>
      <c r="I779" s="2"/>
      <c r="J779" s="2"/>
      <c r="K779" s="2"/>
      <c r="L779" s="10"/>
      <c r="M779" s="9"/>
      <c r="N779" s="2"/>
      <c r="O779" s="2"/>
      <c r="P779" s="2"/>
      <c r="Q779" s="50"/>
      <c r="R779" s="50"/>
      <c r="S779" s="2">
        <f>IFERROR(VLOOKUP(A779,IMPORT_DESISTENCIA!$A$2:$Q2273,14,0),"NÃO")</f>
        <v>0</v>
      </c>
      <c r="T779" s="35"/>
    </row>
    <row r="780" spans="1:20" ht="45" customHeight="1" x14ac:dyDescent="0.25">
      <c r="A780" s="2" t="str">
        <f t="shared" si="1"/>
        <v/>
      </c>
      <c r="B780" s="2"/>
      <c r="C780" s="43"/>
      <c r="D780" s="2"/>
      <c r="E780" s="2"/>
      <c r="F780" s="2"/>
      <c r="G780" s="11"/>
      <c r="H780" s="11"/>
      <c r="I780" s="2"/>
      <c r="J780" s="2"/>
      <c r="K780" s="2"/>
      <c r="L780" s="10"/>
      <c r="M780" s="9"/>
      <c r="N780" s="2"/>
      <c r="O780" s="2"/>
      <c r="P780" s="2"/>
      <c r="Q780" s="50"/>
      <c r="R780" s="50"/>
      <c r="S780" s="2">
        <f>IFERROR(VLOOKUP(A780,IMPORT_DESISTENCIA!$A$2:$Q2273,14,0),"NÃO")</f>
        <v>0</v>
      </c>
      <c r="T780" s="35"/>
    </row>
    <row r="781" spans="1:20" ht="45" customHeight="1" x14ac:dyDescent="0.25">
      <c r="A781" s="2" t="str">
        <f t="shared" si="1"/>
        <v/>
      </c>
      <c r="B781" s="2"/>
      <c r="C781" s="43"/>
      <c r="D781" s="2"/>
      <c r="E781" s="2"/>
      <c r="F781" s="2"/>
      <c r="G781" s="11"/>
      <c r="H781" s="11"/>
      <c r="I781" s="2"/>
      <c r="J781" s="2"/>
      <c r="K781" s="2"/>
      <c r="L781" s="10"/>
      <c r="M781" s="9"/>
      <c r="N781" s="2"/>
      <c r="O781" s="2"/>
      <c r="P781" s="2"/>
      <c r="Q781" s="50"/>
      <c r="R781" s="50"/>
      <c r="S781" s="2">
        <f>IFERROR(VLOOKUP(A781,IMPORT_DESISTENCIA!$A$2:$Q2273,14,0),"NÃO")</f>
        <v>0</v>
      </c>
      <c r="T781" s="35"/>
    </row>
    <row r="782" spans="1:20" ht="45" customHeight="1" x14ac:dyDescent="0.25">
      <c r="A782" s="2" t="str">
        <f t="shared" si="1"/>
        <v/>
      </c>
      <c r="B782" s="2"/>
      <c r="C782" s="43"/>
      <c r="D782" s="2"/>
      <c r="E782" s="2"/>
      <c r="F782" s="2"/>
      <c r="G782" s="11"/>
      <c r="H782" s="11"/>
      <c r="I782" s="2"/>
      <c r="J782" s="2"/>
      <c r="K782" s="2"/>
      <c r="L782" s="10"/>
      <c r="M782" s="9"/>
      <c r="N782" s="2"/>
      <c r="O782" s="2"/>
      <c r="P782" s="2"/>
      <c r="Q782" s="50"/>
      <c r="R782" s="50"/>
      <c r="S782" s="2">
        <f>IFERROR(VLOOKUP(A782,IMPORT_DESISTENCIA!$A$2:$Q2273,14,0),"NÃO")</f>
        <v>0</v>
      </c>
      <c r="T782" s="35"/>
    </row>
    <row r="783" spans="1:20" ht="45" customHeight="1" x14ac:dyDescent="0.25">
      <c r="A783" s="2" t="str">
        <f t="shared" si="1"/>
        <v/>
      </c>
      <c r="B783" s="2"/>
      <c r="C783" s="43"/>
      <c r="D783" s="2"/>
      <c r="E783" s="2"/>
      <c r="F783" s="2"/>
      <c r="G783" s="11"/>
      <c r="H783" s="11"/>
      <c r="I783" s="2"/>
      <c r="J783" s="2"/>
      <c r="K783" s="2"/>
      <c r="L783" s="10"/>
      <c r="M783" s="9"/>
      <c r="N783" s="2"/>
      <c r="O783" s="2"/>
      <c r="P783" s="2"/>
      <c r="Q783" s="50"/>
      <c r="R783" s="50"/>
      <c r="S783" s="2">
        <f>IFERROR(VLOOKUP(A783,IMPORT_DESISTENCIA!$A$2:$Q2273,14,0),"NÃO")</f>
        <v>0</v>
      </c>
      <c r="T783" s="35"/>
    </row>
    <row r="784" spans="1:20" ht="45" customHeight="1" x14ac:dyDescent="0.25">
      <c r="A784" s="2" t="str">
        <f t="shared" si="1"/>
        <v/>
      </c>
      <c r="B784" s="2"/>
      <c r="C784" s="43"/>
      <c r="D784" s="2"/>
      <c r="E784" s="2"/>
      <c r="F784" s="2"/>
      <c r="G784" s="11"/>
      <c r="H784" s="11"/>
      <c r="I784" s="2"/>
      <c r="J784" s="2"/>
      <c r="K784" s="2"/>
      <c r="L784" s="10"/>
      <c r="M784" s="9"/>
      <c r="N784" s="2"/>
      <c r="O784" s="2"/>
      <c r="P784" s="2"/>
      <c r="Q784" s="50"/>
      <c r="R784" s="50"/>
      <c r="S784" s="2">
        <f>IFERROR(VLOOKUP(A784,IMPORT_DESISTENCIA!$A$2:$Q2273,14,0),"NÃO")</f>
        <v>0</v>
      </c>
      <c r="T784" s="35"/>
    </row>
    <row r="785" spans="1:20" ht="45" customHeight="1" x14ac:dyDescent="0.25">
      <c r="A785" s="2" t="str">
        <f t="shared" si="1"/>
        <v/>
      </c>
      <c r="B785" s="2"/>
      <c r="C785" s="43"/>
      <c r="D785" s="2"/>
      <c r="E785" s="2"/>
      <c r="F785" s="2"/>
      <c r="G785" s="11"/>
      <c r="H785" s="11"/>
      <c r="I785" s="2"/>
      <c r="J785" s="2"/>
      <c r="K785" s="2"/>
      <c r="L785" s="10"/>
      <c r="M785" s="9"/>
      <c r="N785" s="2"/>
      <c r="O785" s="2"/>
      <c r="P785" s="2"/>
      <c r="Q785" s="50"/>
      <c r="R785" s="50"/>
      <c r="S785" s="2">
        <f>IFERROR(VLOOKUP(A785,IMPORT_DESISTENCIA!$A$2:$Q2273,14,0),"NÃO")</f>
        <v>0</v>
      </c>
      <c r="T785" s="35"/>
    </row>
    <row r="786" spans="1:20" ht="45" customHeight="1" x14ac:dyDescent="0.25">
      <c r="A786" s="2" t="str">
        <f t="shared" si="1"/>
        <v/>
      </c>
      <c r="B786" s="2"/>
      <c r="C786" s="43"/>
      <c r="D786" s="2"/>
      <c r="E786" s="2"/>
      <c r="F786" s="2"/>
      <c r="G786" s="11"/>
      <c r="H786" s="11"/>
      <c r="I786" s="2"/>
      <c r="J786" s="2"/>
      <c r="K786" s="2"/>
      <c r="L786" s="10"/>
      <c r="M786" s="9"/>
      <c r="N786" s="2"/>
      <c r="O786" s="2"/>
      <c r="P786" s="2"/>
      <c r="Q786" s="50"/>
      <c r="R786" s="50"/>
      <c r="S786" s="2">
        <f>IFERROR(VLOOKUP(A786,IMPORT_DESISTENCIA!$A$2:$Q2273,14,0),"NÃO")</f>
        <v>0</v>
      </c>
      <c r="T786" s="35"/>
    </row>
    <row r="787" spans="1:20" ht="45" customHeight="1" x14ac:dyDescent="0.25">
      <c r="A787" s="2" t="str">
        <f t="shared" si="1"/>
        <v/>
      </c>
      <c r="B787" s="2"/>
      <c r="C787" s="43"/>
      <c r="D787" s="2"/>
      <c r="E787" s="2"/>
      <c r="F787" s="2"/>
      <c r="G787" s="11"/>
      <c r="H787" s="11"/>
      <c r="I787" s="2"/>
      <c r="J787" s="2"/>
      <c r="K787" s="2"/>
      <c r="L787" s="10"/>
      <c r="M787" s="9"/>
      <c r="N787" s="2"/>
      <c r="O787" s="2"/>
      <c r="P787" s="2"/>
      <c r="Q787" s="50"/>
      <c r="R787" s="50"/>
      <c r="S787" s="2">
        <f>IFERROR(VLOOKUP(A787,IMPORT_DESISTENCIA!$A$2:$Q2273,14,0),"NÃO")</f>
        <v>0</v>
      </c>
      <c r="T787" s="35"/>
    </row>
    <row r="788" spans="1:20" ht="45" customHeight="1" x14ac:dyDescent="0.25">
      <c r="A788" s="2" t="str">
        <f t="shared" si="1"/>
        <v/>
      </c>
      <c r="B788" s="2"/>
      <c r="C788" s="43"/>
      <c r="D788" s="2"/>
      <c r="E788" s="2"/>
      <c r="F788" s="2"/>
      <c r="G788" s="11"/>
      <c r="H788" s="11"/>
      <c r="I788" s="2"/>
      <c r="J788" s="2"/>
      <c r="K788" s="2"/>
      <c r="L788" s="10"/>
      <c r="M788" s="9"/>
      <c r="N788" s="2"/>
      <c r="O788" s="2"/>
      <c r="P788" s="2"/>
      <c r="Q788" s="50"/>
      <c r="R788" s="50"/>
      <c r="S788" s="2">
        <f>IFERROR(VLOOKUP(A788,IMPORT_DESISTENCIA!$A$2:$Q2273,14,0),"NÃO")</f>
        <v>0</v>
      </c>
      <c r="T788" s="35"/>
    </row>
    <row r="789" spans="1:20" ht="45" customHeight="1" x14ac:dyDescent="0.25">
      <c r="A789" s="2" t="str">
        <f t="shared" si="1"/>
        <v/>
      </c>
      <c r="B789" s="2"/>
      <c r="C789" s="43"/>
      <c r="D789" s="2"/>
      <c r="E789" s="2"/>
      <c r="F789" s="2"/>
      <c r="G789" s="11"/>
      <c r="H789" s="11"/>
      <c r="I789" s="2"/>
      <c r="J789" s="2"/>
      <c r="K789" s="2"/>
      <c r="L789" s="10"/>
      <c r="M789" s="9"/>
      <c r="N789" s="2"/>
      <c r="O789" s="2"/>
      <c r="P789" s="2"/>
      <c r="Q789" s="50"/>
      <c r="R789" s="50"/>
      <c r="S789" s="2">
        <f>IFERROR(VLOOKUP(A789,IMPORT_DESISTENCIA!$A$2:$Q2273,14,0),"NÃO")</f>
        <v>0</v>
      </c>
      <c r="T789" s="35"/>
    </row>
    <row r="790" spans="1:20" ht="45" customHeight="1" x14ac:dyDescent="0.25">
      <c r="A790" s="2" t="str">
        <f t="shared" si="1"/>
        <v/>
      </c>
      <c r="B790" s="2"/>
      <c r="C790" s="43"/>
      <c r="D790" s="2"/>
      <c r="E790" s="2"/>
      <c r="F790" s="2"/>
      <c r="G790" s="11"/>
      <c r="H790" s="11"/>
      <c r="I790" s="2"/>
      <c r="J790" s="2"/>
      <c r="K790" s="2"/>
      <c r="L790" s="10"/>
      <c r="M790" s="9"/>
      <c r="N790" s="2"/>
      <c r="O790" s="2"/>
      <c r="P790" s="2"/>
      <c r="Q790" s="50"/>
      <c r="R790" s="50"/>
      <c r="S790" s="2">
        <f>IFERROR(VLOOKUP(A790,IMPORT_DESISTENCIA!$A$2:$Q2273,14,0),"NÃO")</f>
        <v>0</v>
      </c>
      <c r="T790" s="35"/>
    </row>
    <row r="791" spans="1:20" ht="45" customHeight="1" x14ac:dyDescent="0.25">
      <c r="A791" s="2" t="str">
        <f t="shared" si="1"/>
        <v/>
      </c>
      <c r="B791" s="2"/>
      <c r="C791" s="43"/>
      <c r="D791" s="2"/>
      <c r="E791" s="2"/>
      <c r="F791" s="2"/>
      <c r="G791" s="11"/>
      <c r="H791" s="11"/>
      <c r="I791" s="2"/>
      <c r="J791" s="2"/>
      <c r="K791" s="2"/>
      <c r="L791" s="10"/>
      <c r="M791" s="9"/>
      <c r="N791" s="2"/>
      <c r="O791" s="2"/>
      <c r="P791" s="2"/>
      <c r="Q791" s="50"/>
      <c r="R791" s="50"/>
      <c r="S791" s="2">
        <f>IFERROR(VLOOKUP(A791,IMPORT_DESISTENCIA!$A$2:$Q2273,14,0),"NÃO")</f>
        <v>0</v>
      </c>
      <c r="T791" s="35"/>
    </row>
    <row r="792" spans="1:20" ht="45" customHeight="1" x14ac:dyDescent="0.25">
      <c r="A792" s="2" t="str">
        <f t="shared" si="1"/>
        <v/>
      </c>
      <c r="B792" s="2"/>
      <c r="C792" s="43"/>
      <c r="D792" s="2"/>
      <c r="E792" s="2"/>
      <c r="F792" s="2"/>
      <c r="G792" s="11"/>
      <c r="H792" s="11"/>
      <c r="I792" s="2"/>
      <c r="J792" s="2"/>
      <c r="K792" s="2"/>
      <c r="L792" s="10"/>
      <c r="M792" s="9"/>
      <c r="N792" s="2"/>
      <c r="O792" s="2"/>
      <c r="P792" s="2"/>
      <c r="Q792" s="50"/>
      <c r="R792" s="50"/>
      <c r="S792" s="2">
        <f>IFERROR(VLOOKUP(A792,IMPORT_DESISTENCIA!$A$2:$Q2273,14,0),"NÃO")</f>
        <v>0</v>
      </c>
      <c r="T792" s="35"/>
    </row>
    <row r="793" spans="1:20" ht="45" customHeight="1" x14ac:dyDescent="0.25">
      <c r="A793" s="2" t="str">
        <f t="shared" si="1"/>
        <v/>
      </c>
      <c r="B793" s="2"/>
      <c r="C793" s="43"/>
      <c r="D793" s="2"/>
      <c r="E793" s="2"/>
      <c r="F793" s="2"/>
      <c r="G793" s="11"/>
      <c r="H793" s="11"/>
      <c r="I793" s="2"/>
      <c r="J793" s="2"/>
      <c r="K793" s="2"/>
      <c r="L793" s="10"/>
      <c r="M793" s="9"/>
      <c r="N793" s="2"/>
      <c r="O793" s="2"/>
      <c r="P793" s="2"/>
      <c r="Q793" s="50"/>
      <c r="R793" s="50"/>
      <c r="S793" s="2">
        <f>IFERROR(VLOOKUP(A793,IMPORT_DESISTENCIA!$A$2:$Q2273,14,0),"NÃO")</f>
        <v>0</v>
      </c>
      <c r="T793" s="35"/>
    </row>
    <row r="794" spans="1:20" ht="45" customHeight="1" x14ac:dyDescent="0.25">
      <c r="A794" s="2" t="str">
        <f t="shared" si="1"/>
        <v/>
      </c>
      <c r="B794" s="2"/>
      <c r="C794" s="43"/>
      <c r="D794" s="2"/>
      <c r="E794" s="2"/>
      <c r="F794" s="2"/>
      <c r="G794" s="11"/>
      <c r="H794" s="11"/>
      <c r="I794" s="2"/>
      <c r="J794" s="2"/>
      <c r="K794" s="2"/>
      <c r="L794" s="10"/>
      <c r="M794" s="9"/>
      <c r="N794" s="2"/>
      <c r="O794" s="2"/>
      <c r="P794" s="2"/>
      <c r="Q794" s="50"/>
      <c r="R794" s="50"/>
      <c r="S794" s="2">
        <f>IFERROR(VLOOKUP(A794,IMPORT_DESISTENCIA!$A$2:$Q2273,14,0),"NÃO")</f>
        <v>0</v>
      </c>
      <c r="T794" s="35"/>
    </row>
    <row r="795" spans="1:20" ht="45" customHeight="1" x14ac:dyDescent="0.25">
      <c r="A795" s="2" t="str">
        <f t="shared" si="1"/>
        <v/>
      </c>
      <c r="B795" s="2"/>
      <c r="C795" s="43"/>
      <c r="D795" s="2"/>
      <c r="E795" s="2"/>
      <c r="F795" s="2"/>
      <c r="G795" s="11"/>
      <c r="H795" s="11"/>
      <c r="I795" s="2"/>
      <c r="J795" s="2"/>
      <c r="K795" s="2"/>
      <c r="L795" s="10"/>
      <c r="M795" s="9"/>
      <c r="N795" s="2"/>
      <c r="O795" s="2"/>
      <c r="P795" s="2"/>
      <c r="Q795" s="50"/>
      <c r="R795" s="50"/>
      <c r="S795" s="2">
        <f>IFERROR(VLOOKUP(A795,IMPORT_DESISTENCIA!$A$2:$Q2273,14,0),"NÃO")</f>
        <v>0</v>
      </c>
      <c r="T795" s="35"/>
    </row>
    <row r="796" spans="1:20" ht="45" customHeight="1" x14ac:dyDescent="0.25">
      <c r="A796" s="2" t="str">
        <f t="shared" si="1"/>
        <v/>
      </c>
      <c r="B796" s="2"/>
      <c r="C796" s="43"/>
      <c r="D796" s="2"/>
      <c r="E796" s="2"/>
      <c r="F796" s="2"/>
      <c r="G796" s="11"/>
      <c r="H796" s="11"/>
      <c r="I796" s="2"/>
      <c r="J796" s="2"/>
      <c r="K796" s="2"/>
      <c r="L796" s="10"/>
      <c r="M796" s="9"/>
      <c r="N796" s="2"/>
      <c r="O796" s="2"/>
      <c r="P796" s="2"/>
      <c r="Q796" s="50"/>
      <c r="R796" s="50"/>
      <c r="S796" s="2">
        <f>IFERROR(VLOOKUP(A796,IMPORT_DESISTENCIA!$A$2:$Q2273,14,0),"NÃO")</f>
        <v>0</v>
      </c>
      <c r="T796" s="35"/>
    </row>
    <row r="797" spans="1:20" ht="45" customHeight="1" x14ac:dyDescent="0.25">
      <c r="A797" s="2" t="str">
        <f t="shared" si="1"/>
        <v/>
      </c>
      <c r="B797" s="2"/>
      <c r="C797" s="43"/>
      <c r="D797" s="2"/>
      <c r="E797" s="2"/>
      <c r="F797" s="2"/>
      <c r="G797" s="11"/>
      <c r="H797" s="11"/>
      <c r="I797" s="2"/>
      <c r="J797" s="2"/>
      <c r="K797" s="2"/>
      <c r="L797" s="10"/>
      <c r="M797" s="9"/>
      <c r="N797" s="2"/>
      <c r="O797" s="2"/>
      <c r="P797" s="2"/>
      <c r="Q797" s="50"/>
      <c r="R797" s="50"/>
      <c r="S797" s="2">
        <f>IFERROR(VLOOKUP(A797,IMPORT_DESISTENCIA!$A$2:$Q2273,14,0),"NÃO")</f>
        <v>0</v>
      </c>
      <c r="T797" s="35"/>
    </row>
    <row r="798" spans="1:20" ht="45" customHeight="1" x14ac:dyDescent="0.25">
      <c r="A798" s="2" t="str">
        <f t="shared" si="1"/>
        <v/>
      </c>
      <c r="B798" s="2"/>
      <c r="C798" s="43"/>
      <c r="D798" s="2"/>
      <c r="E798" s="2"/>
      <c r="F798" s="2"/>
      <c r="G798" s="11"/>
      <c r="H798" s="11"/>
      <c r="I798" s="2"/>
      <c r="J798" s="2"/>
      <c r="K798" s="2"/>
      <c r="L798" s="10"/>
      <c r="M798" s="9"/>
      <c r="N798" s="2"/>
      <c r="O798" s="2"/>
      <c r="P798" s="2"/>
      <c r="Q798" s="50"/>
      <c r="R798" s="50"/>
      <c r="S798" s="2">
        <f>IFERROR(VLOOKUP(A798,IMPORT_DESISTENCIA!$A$2:$Q2273,14,0),"NÃO")</f>
        <v>0</v>
      </c>
      <c r="T798" s="35"/>
    </row>
    <row r="799" spans="1:20" ht="45" customHeight="1" x14ac:dyDescent="0.25">
      <c r="A799" s="2" t="str">
        <f t="shared" si="1"/>
        <v/>
      </c>
      <c r="B799" s="2"/>
      <c r="C799" s="43"/>
      <c r="D799" s="2"/>
      <c r="E799" s="2"/>
      <c r="F799" s="2"/>
      <c r="G799" s="11"/>
      <c r="H799" s="11"/>
      <c r="I799" s="2"/>
      <c r="J799" s="2"/>
      <c r="K799" s="2"/>
      <c r="L799" s="10"/>
      <c r="M799" s="9"/>
      <c r="N799" s="2"/>
      <c r="O799" s="2"/>
      <c r="P799" s="2"/>
      <c r="Q799" s="50"/>
      <c r="R799" s="50"/>
      <c r="S799" s="2">
        <f>IFERROR(VLOOKUP(A799,IMPORT_DESISTENCIA!$A$2:$Q2273,14,0),"NÃO")</f>
        <v>0</v>
      </c>
      <c r="T799" s="35"/>
    </row>
    <row r="800" spans="1:20" ht="45" customHeight="1" x14ac:dyDescent="0.25">
      <c r="A800" s="2" t="str">
        <f t="shared" si="1"/>
        <v/>
      </c>
      <c r="B800" s="2"/>
      <c r="C800" s="43"/>
      <c r="D800" s="2"/>
      <c r="E800" s="2"/>
      <c r="F800" s="2"/>
      <c r="G800" s="11"/>
      <c r="H800" s="11"/>
      <c r="I800" s="2"/>
      <c r="J800" s="2"/>
      <c r="K800" s="2"/>
      <c r="L800" s="10"/>
      <c r="M800" s="9"/>
      <c r="N800" s="2"/>
      <c r="O800" s="2"/>
      <c r="P800" s="2"/>
      <c r="Q800" s="50"/>
      <c r="R800" s="50"/>
      <c r="S800" s="2">
        <f>IFERROR(VLOOKUP(A800,IMPORT_DESISTENCIA!$A$2:$Q2273,14,0),"NÃO")</f>
        <v>0</v>
      </c>
      <c r="T800" s="35"/>
    </row>
    <row r="801" spans="1:20" ht="45" customHeight="1" x14ac:dyDescent="0.25">
      <c r="A801" s="2" t="str">
        <f t="shared" si="1"/>
        <v/>
      </c>
      <c r="B801" s="2"/>
      <c r="C801" s="43"/>
      <c r="D801" s="2"/>
      <c r="E801" s="2"/>
      <c r="F801" s="2"/>
      <c r="G801" s="11"/>
      <c r="H801" s="11"/>
      <c r="I801" s="2"/>
      <c r="J801" s="2"/>
      <c r="K801" s="2"/>
      <c r="L801" s="10"/>
      <c r="M801" s="9"/>
      <c r="N801" s="2"/>
      <c r="O801" s="2"/>
      <c r="P801" s="2"/>
      <c r="Q801" s="50"/>
      <c r="R801" s="50"/>
      <c r="S801" s="2">
        <f>IFERROR(VLOOKUP(A801,IMPORT_DESISTENCIA!$A$2:$Q2273,14,0),"NÃO")</f>
        <v>0</v>
      </c>
      <c r="T801" s="35"/>
    </row>
    <row r="802" spans="1:20" ht="45" customHeight="1" x14ac:dyDescent="0.25">
      <c r="A802" s="2" t="str">
        <f t="shared" si="1"/>
        <v/>
      </c>
      <c r="B802" s="2"/>
      <c r="C802" s="43"/>
      <c r="D802" s="2"/>
      <c r="E802" s="2"/>
      <c r="F802" s="2"/>
      <c r="G802" s="11"/>
      <c r="H802" s="11"/>
      <c r="I802" s="2"/>
      <c r="J802" s="2"/>
      <c r="K802" s="2"/>
      <c r="L802" s="10"/>
      <c r="M802" s="9"/>
      <c r="N802" s="2"/>
      <c r="O802" s="2"/>
      <c r="P802" s="2"/>
      <c r="Q802" s="50"/>
      <c r="R802" s="50"/>
      <c r="S802" s="2">
        <f>IFERROR(VLOOKUP(A802,IMPORT_DESISTENCIA!$A$2:$Q2273,14,0),"NÃO")</f>
        <v>0</v>
      </c>
      <c r="T802" s="35"/>
    </row>
    <row r="803" spans="1:20" ht="45" customHeight="1" x14ac:dyDescent="0.25">
      <c r="A803" s="2" t="str">
        <f t="shared" si="1"/>
        <v/>
      </c>
      <c r="B803" s="2"/>
      <c r="C803" s="43"/>
      <c r="D803" s="2"/>
      <c r="E803" s="2"/>
      <c r="F803" s="2"/>
      <c r="G803" s="11"/>
      <c r="H803" s="11"/>
      <c r="I803" s="2"/>
      <c r="J803" s="2"/>
      <c r="K803" s="2"/>
      <c r="L803" s="10"/>
      <c r="M803" s="9"/>
      <c r="N803" s="2"/>
      <c r="O803" s="2"/>
      <c r="P803" s="2"/>
      <c r="Q803" s="50"/>
      <c r="R803" s="50"/>
      <c r="S803" s="2">
        <f>IFERROR(VLOOKUP(A803,IMPORT_DESISTENCIA!$A$2:$Q2273,14,0),"NÃO")</f>
        <v>0</v>
      </c>
      <c r="T803" s="35"/>
    </row>
    <row r="804" spans="1:20" ht="45" customHeight="1" x14ac:dyDescent="0.25">
      <c r="A804" s="2" t="str">
        <f t="shared" si="1"/>
        <v/>
      </c>
      <c r="B804" s="2"/>
      <c r="C804" s="43"/>
      <c r="D804" s="2"/>
      <c r="E804" s="2"/>
      <c r="F804" s="2"/>
      <c r="G804" s="11"/>
      <c r="H804" s="11"/>
      <c r="I804" s="2"/>
      <c r="J804" s="2"/>
      <c r="K804" s="2"/>
      <c r="L804" s="10"/>
      <c r="M804" s="9"/>
      <c r="N804" s="2"/>
      <c r="O804" s="2"/>
      <c r="P804" s="2"/>
      <c r="Q804" s="50"/>
      <c r="R804" s="50"/>
      <c r="S804" s="2">
        <f>IFERROR(VLOOKUP(A804,IMPORT_DESISTENCIA!$A$2:$Q2273,14,0),"NÃO")</f>
        <v>0</v>
      </c>
      <c r="T804" s="35"/>
    </row>
    <row r="805" spans="1:20" ht="45" customHeight="1" x14ac:dyDescent="0.25">
      <c r="A805" s="2" t="str">
        <f t="shared" si="1"/>
        <v/>
      </c>
      <c r="B805" s="2"/>
      <c r="C805" s="43"/>
      <c r="D805" s="2"/>
      <c r="E805" s="2"/>
      <c r="F805" s="2"/>
      <c r="G805" s="11"/>
      <c r="H805" s="11"/>
      <c r="I805" s="2"/>
      <c r="J805" s="2"/>
      <c r="K805" s="2"/>
      <c r="L805" s="10"/>
      <c r="M805" s="9"/>
      <c r="N805" s="2"/>
      <c r="O805" s="2"/>
      <c r="P805" s="2"/>
      <c r="Q805" s="50"/>
      <c r="R805" s="50"/>
      <c r="S805" s="2">
        <f>IFERROR(VLOOKUP(A805,IMPORT_DESISTENCIA!$A$2:$Q2273,14,0),"NÃO")</f>
        <v>0</v>
      </c>
      <c r="T805" s="35"/>
    </row>
    <row r="806" spans="1:20" ht="45" customHeight="1" x14ac:dyDescent="0.25">
      <c r="A806" s="2" t="str">
        <f t="shared" si="1"/>
        <v/>
      </c>
      <c r="B806" s="2"/>
      <c r="C806" s="43"/>
      <c r="D806" s="2"/>
      <c r="E806" s="2"/>
      <c r="F806" s="2"/>
      <c r="G806" s="11"/>
      <c r="H806" s="11"/>
      <c r="I806" s="2"/>
      <c r="J806" s="2"/>
      <c r="K806" s="2"/>
      <c r="L806" s="10"/>
      <c r="M806" s="9"/>
      <c r="N806" s="2"/>
      <c r="O806" s="2"/>
      <c r="P806" s="2"/>
      <c r="Q806" s="50"/>
      <c r="R806" s="50"/>
      <c r="S806" s="2">
        <f>IFERROR(VLOOKUP(A806,IMPORT_DESISTENCIA!$A$2:$Q2273,14,0),"NÃO")</f>
        <v>0</v>
      </c>
      <c r="T806" s="35"/>
    </row>
    <row r="807" spans="1:20" ht="45" customHeight="1" x14ac:dyDescent="0.25">
      <c r="A807" s="2" t="str">
        <f t="shared" si="1"/>
        <v/>
      </c>
      <c r="B807" s="2"/>
      <c r="C807" s="43"/>
      <c r="D807" s="2"/>
      <c r="E807" s="2"/>
      <c r="F807" s="2"/>
      <c r="G807" s="11"/>
      <c r="H807" s="11"/>
      <c r="I807" s="2"/>
      <c r="J807" s="2"/>
      <c r="K807" s="2"/>
      <c r="L807" s="10"/>
      <c r="M807" s="9"/>
      <c r="N807" s="2"/>
      <c r="O807" s="2"/>
      <c r="P807" s="2"/>
      <c r="Q807" s="50"/>
      <c r="R807" s="50"/>
      <c r="S807" s="2">
        <f>IFERROR(VLOOKUP(A807,IMPORT_DESISTENCIA!$A$2:$Q2273,14,0),"NÃO")</f>
        <v>0</v>
      </c>
      <c r="T807" s="35"/>
    </row>
    <row r="808" spans="1:20" ht="45" customHeight="1" x14ac:dyDescent="0.25">
      <c r="A808" s="2" t="str">
        <f t="shared" si="1"/>
        <v/>
      </c>
      <c r="B808" s="2"/>
      <c r="C808" s="43"/>
      <c r="D808" s="2"/>
      <c r="E808" s="2"/>
      <c r="F808" s="2"/>
      <c r="G808" s="11"/>
      <c r="H808" s="11"/>
      <c r="I808" s="2"/>
      <c r="J808" s="2"/>
      <c r="K808" s="2"/>
      <c r="L808" s="10"/>
      <c r="M808" s="9"/>
      <c r="N808" s="2"/>
      <c r="O808" s="2"/>
      <c r="P808" s="2"/>
      <c r="Q808" s="50"/>
      <c r="R808" s="50"/>
      <c r="S808" s="2">
        <f>IFERROR(VLOOKUP(A808,IMPORT_DESISTENCIA!$A$2:$Q2273,14,0),"NÃO")</f>
        <v>0</v>
      </c>
      <c r="T808" s="35"/>
    </row>
    <row r="809" spans="1:20" ht="45" customHeight="1" x14ac:dyDescent="0.25">
      <c r="A809" s="2" t="str">
        <f t="shared" si="1"/>
        <v/>
      </c>
      <c r="B809" s="2"/>
      <c r="C809" s="43"/>
      <c r="D809" s="2"/>
      <c r="E809" s="2"/>
      <c r="F809" s="2"/>
      <c r="G809" s="11"/>
      <c r="H809" s="11"/>
      <c r="I809" s="2"/>
      <c r="J809" s="2"/>
      <c r="K809" s="2"/>
      <c r="L809" s="10"/>
      <c r="M809" s="9"/>
      <c r="N809" s="2"/>
      <c r="O809" s="2"/>
      <c r="P809" s="2"/>
      <c r="Q809" s="50"/>
      <c r="R809" s="50"/>
      <c r="S809" s="2">
        <f>IFERROR(VLOOKUP(A809,IMPORT_DESISTENCIA!$A$2:$Q2273,14,0),"NÃO")</f>
        <v>0</v>
      </c>
      <c r="T809" s="35"/>
    </row>
    <row r="810" spans="1:20" ht="45" customHeight="1" x14ac:dyDescent="0.25">
      <c r="A810" s="2" t="str">
        <f t="shared" si="1"/>
        <v/>
      </c>
      <c r="B810" s="2"/>
      <c r="C810" s="43"/>
      <c r="D810" s="2"/>
      <c r="E810" s="2"/>
      <c r="F810" s="2"/>
      <c r="G810" s="11"/>
      <c r="H810" s="11"/>
      <c r="I810" s="2"/>
      <c r="J810" s="2"/>
      <c r="K810" s="2"/>
      <c r="L810" s="10"/>
      <c r="M810" s="9"/>
      <c r="N810" s="2"/>
      <c r="O810" s="2"/>
      <c r="P810" s="2"/>
      <c r="Q810" s="50"/>
      <c r="R810" s="50"/>
      <c r="S810" s="2">
        <f>IFERROR(VLOOKUP(A810,IMPORT_DESISTENCIA!$A$2:$Q2273,14,0),"NÃO")</f>
        <v>0</v>
      </c>
      <c r="T810" s="35"/>
    </row>
    <row r="811" spans="1:20" ht="45" customHeight="1" x14ac:dyDescent="0.25">
      <c r="A811" s="2" t="str">
        <f t="shared" si="1"/>
        <v/>
      </c>
      <c r="B811" s="2"/>
      <c r="C811" s="43"/>
      <c r="D811" s="2"/>
      <c r="E811" s="2"/>
      <c r="F811" s="2"/>
      <c r="G811" s="11"/>
      <c r="H811" s="11"/>
      <c r="I811" s="2"/>
      <c r="J811" s="2"/>
      <c r="K811" s="2"/>
      <c r="L811" s="10"/>
      <c r="M811" s="9"/>
      <c r="N811" s="2"/>
      <c r="O811" s="2"/>
      <c r="P811" s="2"/>
      <c r="Q811" s="50"/>
      <c r="R811" s="50"/>
      <c r="S811" s="2">
        <f>IFERROR(VLOOKUP(A811,IMPORT_DESISTENCIA!$A$2:$Q2273,14,0),"NÃO")</f>
        <v>0</v>
      </c>
      <c r="T811" s="35"/>
    </row>
    <row r="812" spans="1:20" ht="45" customHeight="1" x14ac:dyDescent="0.25">
      <c r="A812" s="2" t="str">
        <f t="shared" si="1"/>
        <v/>
      </c>
      <c r="B812" s="2"/>
      <c r="C812" s="43"/>
      <c r="D812" s="2"/>
      <c r="E812" s="2"/>
      <c r="F812" s="2"/>
      <c r="G812" s="11"/>
      <c r="H812" s="11"/>
      <c r="I812" s="2"/>
      <c r="J812" s="2"/>
      <c r="K812" s="2"/>
      <c r="L812" s="10"/>
      <c r="M812" s="9"/>
      <c r="N812" s="2"/>
      <c r="O812" s="2"/>
      <c r="P812" s="2"/>
      <c r="Q812" s="50"/>
      <c r="R812" s="50"/>
      <c r="S812" s="2">
        <f>IFERROR(VLOOKUP(A812,IMPORT_DESISTENCIA!$A$2:$Q2273,14,0),"NÃO")</f>
        <v>0</v>
      </c>
      <c r="T812" s="35"/>
    </row>
    <row r="813" spans="1:20" ht="45" customHeight="1" x14ac:dyDescent="0.25">
      <c r="A813" s="2" t="str">
        <f t="shared" si="1"/>
        <v/>
      </c>
      <c r="B813" s="2"/>
      <c r="C813" s="43"/>
      <c r="D813" s="2"/>
      <c r="E813" s="2"/>
      <c r="F813" s="2"/>
      <c r="G813" s="11"/>
      <c r="H813" s="11"/>
      <c r="I813" s="2"/>
      <c r="J813" s="2"/>
      <c r="K813" s="2"/>
      <c r="L813" s="10"/>
      <c r="M813" s="9"/>
      <c r="N813" s="2"/>
      <c r="O813" s="2"/>
      <c r="P813" s="2"/>
      <c r="Q813" s="50"/>
      <c r="R813" s="50"/>
      <c r="S813" s="2">
        <f>IFERROR(VLOOKUP(A813,IMPORT_DESISTENCIA!$A$2:$Q2273,14,0),"NÃO")</f>
        <v>0</v>
      </c>
      <c r="T813" s="35"/>
    </row>
    <row r="814" spans="1:20" ht="45" customHeight="1" x14ac:dyDescent="0.25">
      <c r="A814" s="2" t="str">
        <f t="shared" si="1"/>
        <v/>
      </c>
      <c r="B814" s="2"/>
      <c r="C814" s="43"/>
      <c r="D814" s="2"/>
      <c r="E814" s="2"/>
      <c r="F814" s="2"/>
      <c r="G814" s="11"/>
      <c r="H814" s="11"/>
      <c r="I814" s="2"/>
      <c r="J814" s="2"/>
      <c r="K814" s="2"/>
      <c r="L814" s="10"/>
      <c r="M814" s="9"/>
      <c r="N814" s="2"/>
      <c r="O814" s="2"/>
      <c r="P814" s="2"/>
      <c r="Q814" s="50"/>
      <c r="R814" s="50"/>
      <c r="S814" s="2">
        <f>IFERROR(VLOOKUP(A814,IMPORT_DESISTENCIA!$A$2:$Q2273,14,0),"NÃO")</f>
        <v>0</v>
      </c>
      <c r="T814" s="35"/>
    </row>
    <row r="815" spans="1:20" ht="45" customHeight="1" x14ac:dyDescent="0.25">
      <c r="A815" s="2" t="str">
        <f t="shared" si="1"/>
        <v/>
      </c>
      <c r="B815" s="2"/>
      <c r="C815" s="43"/>
      <c r="D815" s="2"/>
      <c r="E815" s="2"/>
      <c r="F815" s="2"/>
      <c r="G815" s="11"/>
      <c r="H815" s="11"/>
      <c r="I815" s="2"/>
      <c r="J815" s="2"/>
      <c r="K815" s="2"/>
      <c r="L815" s="10"/>
      <c r="M815" s="9"/>
      <c r="N815" s="2"/>
      <c r="O815" s="2"/>
      <c r="P815" s="2"/>
      <c r="Q815" s="50"/>
      <c r="R815" s="50"/>
      <c r="S815" s="2">
        <f>IFERROR(VLOOKUP(A815,IMPORT_DESISTENCIA!$A$2:$Q2273,14,0),"NÃO")</f>
        <v>0</v>
      </c>
      <c r="T815" s="35"/>
    </row>
    <row r="816" spans="1:20" ht="45" customHeight="1" x14ac:dyDescent="0.25">
      <c r="A816" s="2" t="str">
        <f t="shared" si="1"/>
        <v/>
      </c>
      <c r="B816" s="2"/>
      <c r="C816" s="43"/>
      <c r="D816" s="2"/>
      <c r="E816" s="2"/>
      <c r="F816" s="2"/>
      <c r="G816" s="11"/>
      <c r="H816" s="11"/>
      <c r="I816" s="2"/>
      <c r="J816" s="2"/>
      <c r="K816" s="2"/>
      <c r="L816" s="10"/>
      <c r="M816" s="9"/>
      <c r="N816" s="2"/>
      <c r="O816" s="2"/>
      <c r="P816" s="2"/>
      <c r="Q816" s="50"/>
      <c r="R816" s="50"/>
      <c r="S816" s="2">
        <f>IFERROR(VLOOKUP(A816,IMPORT_DESISTENCIA!$A$2:$Q2273,14,0),"NÃO")</f>
        <v>0</v>
      </c>
      <c r="T816" s="35"/>
    </row>
    <row r="817" spans="1:20" ht="45" customHeight="1" x14ac:dyDescent="0.25">
      <c r="A817" s="2" t="str">
        <f t="shared" si="1"/>
        <v/>
      </c>
      <c r="B817" s="2"/>
      <c r="C817" s="43"/>
      <c r="D817" s="2"/>
      <c r="E817" s="2"/>
      <c r="F817" s="2"/>
      <c r="G817" s="11"/>
      <c r="H817" s="11"/>
      <c r="I817" s="2"/>
      <c r="J817" s="2"/>
      <c r="K817" s="2"/>
      <c r="L817" s="10"/>
      <c r="M817" s="9"/>
      <c r="N817" s="2"/>
      <c r="O817" s="2"/>
      <c r="P817" s="2"/>
      <c r="Q817" s="50"/>
      <c r="R817" s="50"/>
      <c r="S817" s="2">
        <f>IFERROR(VLOOKUP(A817,IMPORT_DESISTENCIA!$A$2:$Q2273,14,0),"NÃO")</f>
        <v>0</v>
      </c>
      <c r="T817" s="35"/>
    </row>
    <row r="818" spans="1:20" ht="45" customHeight="1" x14ac:dyDescent="0.25">
      <c r="A818" s="2" t="str">
        <f t="shared" si="1"/>
        <v/>
      </c>
      <c r="B818" s="2"/>
      <c r="C818" s="43"/>
      <c r="D818" s="2"/>
      <c r="E818" s="2"/>
      <c r="F818" s="2"/>
      <c r="G818" s="11"/>
      <c r="H818" s="11"/>
      <c r="I818" s="2"/>
      <c r="J818" s="2"/>
      <c r="K818" s="2"/>
      <c r="L818" s="10"/>
      <c r="M818" s="9"/>
      <c r="N818" s="2"/>
      <c r="O818" s="2"/>
      <c r="P818" s="2"/>
      <c r="Q818" s="50"/>
      <c r="R818" s="50"/>
      <c r="S818" s="2">
        <f>IFERROR(VLOOKUP(A818,IMPORT_DESISTENCIA!$A$2:$Q2273,14,0),"NÃO")</f>
        <v>0</v>
      </c>
      <c r="T818" s="35"/>
    </row>
    <row r="819" spans="1:20" ht="45" customHeight="1" x14ac:dyDescent="0.25">
      <c r="A819" s="2" t="str">
        <f t="shared" si="1"/>
        <v/>
      </c>
      <c r="B819" s="2"/>
      <c r="C819" s="43"/>
      <c r="D819" s="2"/>
      <c r="E819" s="2"/>
      <c r="F819" s="2"/>
      <c r="G819" s="11"/>
      <c r="H819" s="11"/>
      <c r="I819" s="2"/>
      <c r="J819" s="2"/>
      <c r="K819" s="2"/>
      <c r="L819" s="10"/>
      <c r="M819" s="9"/>
      <c r="N819" s="2"/>
      <c r="O819" s="2"/>
      <c r="P819" s="2"/>
      <c r="Q819" s="50"/>
      <c r="R819" s="50"/>
      <c r="S819" s="2">
        <f>IFERROR(VLOOKUP(A819,IMPORT_DESISTENCIA!$A$2:$Q2273,14,0),"NÃO")</f>
        <v>0</v>
      </c>
      <c r="T819" s="35"/>
    </row>
    <row r="820" spans="1:20" ht="45" customHeight="1" x14ac:dyDescent="0.25">
      <c r="A820" s="2" t="str">
        <f t="shared" si="1"/>
        <v/>
      </c>
      <c r="B820" s="2"/>
      <c r="C820" s="43"/>
      <c r="D820" s="2"/>
      <c r="E820" s="2"/>
      <c r="F820" s="2"/>
      <c r="G820" s="11"/>
      <c r="H820" s="11"/>
      <c r="I820" s="2"/>
      <c r="J820" s="2"/>
      <c r="K820" s="2"/>
      <c r="L820" s="10"/>
      <c r="M820" s="9"/>
      <c r="N820" s="2"/>
      <c r="O820" s="2"/>
      <c r="P820" s="2"/>
      <c r="Q820" s="50"/>
      <c r="R820" s="50"/>
      <c r="S820" s="2">
        <f>IFERROR(VLOOKUP(A820,IMPORT_DESISTENCIA!$A$2:$Q2273,14,0),"NÃO")</f>
        <v>0</v>
      </c>
      <c r="T820" s="35"/>
    </row>
    <row r="821" spans="1:20" ht="45" customHeight="1" x14ac:dyDescent="0.25">
      <c r="A821" s="2" t="str">
        <f t="shared" si="1"/>
        <v/>
      </c>
      <c r="B821" s="2"/>
      <c r="C821" s="43"/>
      <c r="D821" s="2"/>
      <c r="E821" s="2"/>
      <c r="F821" s="2"/>
      <c r="G821" s="11"/>
      <c r="H821" s="11"/>
      <c r="I821" s="2"/>
      <c r="J821" s="2"/>
      <c r="K821" s="2"/>
      <c r="L821" s="10"/>
      <c r="M821" s="9"/>
      <c r="N821" s="2"/>
      <c r="O821" s="2"/>
      <c r="P821" s="2"/>
      <c r="Q821" s="50"/>
      <c r="R821" s="50"/>
      <c r="S821" s="2">
        <f>IFERROR(VLOOKUP(A821,IMPORT_DESISTENCIA!$A$2:$Q2273,14,0),"NÃO")</f>
        <v>0</v>
      </c>
      <c r="T821" s="35"/>
    </row>
    <row r="822" spans="1:20" ht="45" customHeight="1" x14ac:dyDescent="0.25">
      <c r="A822" s="2" t="str">
        <f t="shared" si="1"/>
        <v/>
      </c>
      <c r="B822" s="2"/>
      <c r="C822" s="43"/>
      <c r="D822" s="2"/>
      <c r="E822" s="2"/>
      <c r="F822" s="2"/>
      <c r="G822" s="11"/>
      <c r="H822" s="11"/>
      <c r="I822" s="2"/>
      <c r="J822" s="2"/>
      <c r="K822" s="2"/>
      <c r="L822" s="10"/>
      <c r="M822" s="9"/>
      <c r="N822" s="2"/>
      <c r="O822" s="2"/>
      <c r="P822" s="2"/>
      <c r="Q822" s="50"/>
      <c r="R822" s="50"/>
      <c r="S822" s="2">
        <f>IFERROR(VLOOKUP(A822,IMPORT_DESISTENCIA!$A$2:$Q2273,14,0),"NÃO")</f>
        <v>0</v>
      </c>
      <c r="T822" s="35"/>
    </row>
    <row r="823" spans="1:20" ht="45" customHeight="1" x14ac:dyDescent="0.25">
      <c r="A823" s="2" t="str">
        <f t="shared" si="1"/>
        <v/>
      </c>
      <c r="B823" s="2"/>
      <c r="C823" s="43"/>
      <c r="D823" s="2"/>
      <c r="E823" s="2"/>
      <c r="F823" s="2"/>
      <c r="G823" s="11"/>
      <c r="H823" s="11"/>
      <c r="I823" s="2"/>
      <c r="J823" s="2"/>
      <c r="K823" s="2"/>
      <c r="L823" s="10"/>
      <c r="M823" s="9"/>
      <c r="N823" s="2"/>
      <c r="O823" s="2"/>
      <c r="P823" s="2"/>
      <c r="Q823" s="50"/>
      <c r="R823" s="50"/>
      <c r="S823" s="2">
        <f>IFERROR(VLOOKUP(A823,IMPORT_DESISTENCIA!$A$2:$Q2273,14,0),"NÃO")</f>
        <v>0</v>
      </c>
      <c r="T823" s="35"/>
    </row>
    <row r="824" spans="1:20" ht="45" customHeight="1" x14ac:dyDescent="0.25">
      <c r="A824" s="2" t="str">
        <f t="shared" si="1"/>
        <v/>
      </c>
      <c r="B824" s="2"/>
      <c r="C824" s="43"/>
      <c r="D824" s="2"/>
      <c r="E824" s="2"/>
      <c r="F824" s="2"/>
      <c r="G824" s="11"/>
      <c r="H824" s="11"/>
      <c r="I824" s="2"/>
      <c r="J824" s="2"/>
      <c r="K824" s="2"/>
      <c r="L824" s="10"/>
      <c r="M824" s="9"/>
      <c r="N824" s="2"/>
      <c r="O824" s="2"/>
      <c r="P824" s="2"/>
      <c r="Q824" s="50"/>
      <c r="R824" s="50"/>
      <c r="S824" s="2">
        <f>IFERROR(VLOOKUP(A824,IMPORT_DESISTENCIA!$A$2:$Q2273,14,0),"NÃO")</f>
        <v>0</v>
      </c>
      <c r="T824" s="35"/>
    </row>
    <row r="825" spans="1:20" ht="45" customHeight="1" x14ac:dyDescent="0.25">
      <c r="A825" s="2" t="str">
        <f t="shared" si="1"/>
        <v/>
      </c>
      <c r="B825" s="2"/>
      <c r="C825" s="43"/>
      <c r="D825" s="2"/>
      <c r="E825" s="2"/>
      <c r="F825" s="2"/>
      <c r="G825" s="11"/>
      <c r="H825" s="11"/>
      <c r="I825" s="2"/>
      <c r="J825" s="2"/>
      <c r="K825" s="2"/>
      <c r="L825" s="10"/>
      <c r="M825" s="9"/>
      <c r="N825" s="2"/>
      <c r="O825" s="2"/>
      <c r="P825" s="2"/>
      <c r="Q825" s="50"/>
      <c r="R825" s="50"/>
      <c r="S825" s="2">
        <f>IFERROR(VLOOKUP(A825,IMPORT_DESISTENCIA!$A$2:$Q2273,14,0),"NÃO")</f>
        <v>0</v>
      </c>
      <c r="T825" s="35"/>
    </row>
    <row r="826" spans="1:20" ht="45" customHeight="1" x14ac:dyDescent="0.25">
      <c r="A826" s="2" t="str">
        <f t="shared" si="1"/>
        <v/>
      </c>
      <c r="B826" s="2"/>
      <c r="C826" s="43"/>
      <c r="D826" s="2"/>
      <c r="E826" s="2"/>
      <c r="F826" s="2"/>
      <c r="G826" s="11"/>
      <c r="H826" s="11"/>
      <c r="I826" s="2"/>
      <c r="J826" s="2"/>
      <c r="K826" s="2"/>
      <c r="L826" s="10"/>
      <c r="M826" s="9"/>
      <c r="N826" s="2"/>
      <c r="O826" s="2"/>
      <c r="P826" s="2"/>
      <c r="Q826" s="50"/>
      <c r="R826" s="50"/>
      <c r="S826" s="2">
        <f>IFERROR(VLOOKUP(A826,IMPORT_DESISTENCIA!$A$2:$Q2273,14,0),"NÃO")</f>
        <v>0</v>
      </c>
      <c r="T826" s="35"/>
    </row>
    <row r="827" spans="1:20" ht="45" customHeight="1" x14ac:dyDescent="0.25">
      <c r="A827" s="2" t="str">
        <f t="shared" si="1"/>
        <v/>
      </c>
      <c r="B827" s="2"/>
      <c r="C827" s="43"/>
      <c r="D827" s="2"/>
      <c r="E827" s="2"/>
      <c r="F827" s="2"/>
      <c r="G827" s="11"/>
      <c r="H827" s="11"/>
      <c r="I827" s="2"/>
      <c r="J827" s="2"/>
      <c r="K827" s="2"/>
      <c r="L827" s="10"/>
      <c r="M827" s="9"/>
      <c r="N827" s="2"/>
      <c r="O827" s="2"/>
      <c r="P827" s="2"/>
      <c r="Q827" s="50"/>
      <c r="R827" s="50"/>
      <c r="S827" s="2">
        <f>IFERROR(VLOOKUP(A827,IMPORT_DESISTENCIA!$A$2:$Q2273,14,0),"NÃO")</f>
        <v>0</v>
      </c>
      <c r="T827" s="35"/>
    </row>
    <row r="828" spans="1:20" ht="45" customHeight="1" x14ac:dyDescent="0.25">
      <c r="A828" s="2" t="str">
        <f t="shared" si="1"/>
        <v/>
      </c>
      <c r="B828" s="2"/>
      <c r="C828" s="43"/>
      <c r="D828" s="2"/>
      <c r="E828" s="2"/>
      <c r="F828" s="2"/>
      <c r="G828" s="11"/>
      <c r="H828" s="11"/>
      <c r="I828" s="2"/>
      <c r="J828" s="2"/>
      <c r="K828" s="2"/>
      <c r="L828" s="10"/>
      <c r="M828" s="9"/>
      <c r="N828" s="2"/>
      <c r="O828" s="2"/>
      <c r="P828" s="2"/>
      <c r="Q828" s="50"/>
      <c r="R828" s="50"/>
      <c r="S828" s="2">
        <f>IFERROR(VLOOKUP(A828,IMPORT_DESISTENCIA!$A$2:$Q2273,14,0),"NÃO")</f>
        <v>0</v>
      </c>
      <c r="T828" s="35"/>
    </row>
    <row r="829" spans="1:20" ht="45" customHeight="1" x14ac:dyDescent="0.25">
      <c r="A829" s="2" t="str">
        <f t="shared" si="1"/>
        <v/>
      </c>
      <c r="B829" s="2"/>
      <c r="C829" s="43"/>
      <c r="D829" s="2"/>
      <c r="E829" s="2"/>
      <c r="F829" s="2"/>
      <c r="G829" s="11"/>
      <c r="H829" s="11"/>
      <c r="I829" s="2"/>
      <c r="J829" s="2"/>
      <c r="K829" s="2"/>
      <c r="L829" s="10"/>
      <c r="M829" s="9"/>
      <c r="N829" s="2"/>
      <c r="O829" s="2"/>
      <c r="P829" s="2"/>
      <c r="Q829" s="50"/>
      <c r="R829" s="50"/>
      <c r="S829" s="2">
        <f>IFERROR(VLOOKUP(A829,IMPORT_DESISTENCIA!$A$2:$Q2273,14,0),"NÃO")</f>
        <v>0</v>
      </c>
      <c r="T829" s="35"/>
    </row>
    <row r="830" spans="1:20" ht="45" customHeight="1" x14ac:dyDescent="0.25">
      <c r="A830" s="2" t="str">
        <f t="shared" si="1"/>
        <v/>
      </c>
      <c r="B830" s="2"/>
      <c r="C830" s="43"/>
      <c r="D830" s="2"/>
      <c r="E830" s="2"/>
      <c r="F830" s="2"/>
      <c r="G830" s="11"/>
      <c r="H830" s="11"/>
      <c r="I830" s="2"/>
      <c r="J830" s="2"/>
      <c r="K830" s="2"/>
      <c r="L830" s="10"/>
      <c r="M830" s="9"/>
      <c r="N830" s="2"/>
      <c r="O830" s="2"/>
      <c r="P830" s="2"/>
      <c r="Q830" s="50"/>
      <c r="R830" s="50"/>
      <c r="S830" s="2">
        <f>IFERROR(VLOOKUP(A830,IMPORT_DESISTENCIA!$A$2:$Q2273,14,0),"NÃO")</f>
        <v>0</v>
      </c>
      <c r="T830" s="35"/>
    </row>
    <row r="831" spans="1:20" ht="45" customHeight="1" x14ac:dyDescent="0.25">
      <c r="A831" s="2" t="str">
        <f t="shared" si="1"/>
        <v/>
      </c>
      <c r="B831" s="2"/>
      <c r="C831" s="43"/>
      <c r="D831" s="2"/>
      <c r="E831" s="2"/>
      <c r="F831" s="2"/>
      <c r="G831" s="11"/>
      <c r="H831" s="11"/>
      <c r="I831" s="2"/>
      <c r="J831" s="2"/>
      <c r="K831" s="2"/>
      <c r="L831" s="10"/>
      <c r="M831" s="9"/>
      <c r="N831" s="2"/>
      <c r="O831" s="2"/>
      <c r="P831" s="2"/>
      <c r="Q831" s="50"/>
      <c r="R831" s="50"/>
      <c r="S831" s="2">
        <f>IFERROR(VLOOKUP(A831,IMPORT_DESISTENCIA!$A$2:$Q2273,14,0),"NÃO")</f>
        <v>0</v>
      </c>
      <c r="T831" s="35"/>
    </row>
    <row r="832" spans="1:20" ht="45" customHeight="1" x14ac:dyDescent="0.25">
      <c r="A832" s="2" t="str">
        <f t="shared" si="1"/>
        <v/>
      </c>
      <c r="B832" s="2"/>
      <c r="C832" s="43"/>
      <c r="D832" s="2"/>
      <c r="E832" s="2"/>
      <c r="F832" s="2"/>
      <c r="G832" s="11"/>
      <c r="H832" s="11"/>
      <c r="I832" s="2"/>
      <c r="J832" s="2"/>
      <c r="K832" s="2"/>
      <c r="L832" s="10"/>
      <c r="M832" s="9"/>
      <c r="N832" s="2"/>
      <c r="O832" s="2"/>
      <c r="P832" s="2"/>
      <c r="Q832" s="50"/>
      <c r="R832" s="50"/>
      <c r="S832" s="2">
        <f>IFERROR(VLOOKUP(A832,IMPORT_DESISTENCIA!$A$2:$Q2273,14,0),"NÃO")</f>
        <v>0</v>
      </c>
      <c r="T832" s="35"/>
    </row>
    <row r="833" spans="1:20" ht="45" customHeight="1" x14ac:dyDescent="0.25">
      <c r="A833" s="2" t="str">
        <f t="shared" si="1"/>
        <v/>
      </c>
      <c r="B833" s="2"/>
      <c r="C833" s="43"/>
      <c r="D833" s="2"/>
      <c r="E833" s="2"/>
      <c r="F833" s="2"/>
      <c r="G833" s="11"/>
      <c r="H833" s="11"/>
      <c r="I833" s="2"/>
      <c r="J833" s="2"/>
      <c r="K833" s="2"/>
      <c r="L833" s="10"/>
      <c r="M833" s="9"/>
      <c r="N833" s="2"/>
      <c r="O833" s="2"/>
      <c r="P833" s="2"/>
      <c r="Q833" s="50"/>
      <c r="R833" s="50"/>
      <c r="S833" s="2">
        <f>IFERROR(VLOOKUP(A833,IMPORT_DESISTENCIA!$A$2:$Q2273,14,0),"NÃO")</f>
        <v>0</v>
      </c>
      <c r="T833" s="35"/>
    </row>
    <row r="834" spans="1:20" ht="45" customHeight="1" x14ac:dyDescent="0.25">
      <c r="A834" s="2" t="str">
        <f t="shared" si="1"/>
        <v/>
      </c>
      <c r="B834" s="2"/>
      <c r="C834" s="43"/>
      <c r="D834" s="2"/>
      <c r="E834" s="2"/>
      <c r="F834" s="2"/>
      <c r="G834" s="11"/>
      <c r="H834" s="11"/>
      <c r="I834" s="2"/>
      <c r="J834" s="2"/>
      <c r="K834" s="2"/>
      <c r="L834" s="10"/>
      <c r="M834" s="9"/>
      <c r="N834" s="2"/>
      <c r="O834" s="2"/>
      <c r="P834" s="2"/>
      <c r="Q834" s="50"/>
      <c r="R834" s="50"/>
      <c r="S834" s="2">
        <f>IFERROR(VLOOKUP(A834,IMPORT_DESISTENCIA!$A$2:$Q2273,14,0),"NÃO")</f>
        <v>0</v>
      </c>
      <c r="T834" s="35"/>
    </row>
    <row r="835" spans="1:20" ht="45" customHeight="1" x14ac:dyDescent="0.25">
      <c r="A835" s="2" t="str">
        <f t="shared" si="1"/>
        <v/>
      </c>
      <c r="B835" s="2"/>
      <c r="C835" s="43"/>
      <c r="D835" s="2"/>
      <c r="E835" s="2"/>
      <c r="F835" s="2"/>
      <c r="G835" s="11"/>
      <c r="H835" s="11"/>
      <c r="I835" s="2"/>
      <c r="J835" s="2"/>
      <c r="K835" s="2"/>
      <c r="L835" s="10"/>
      <c r="M835" s="9"/>
      <c r="N835" s="2"/>
      <c r="O835" s="2"/>
      <c r="P835" s="2"/>
      <c r="Q835" s="50"/>
      <c r="R835" s="50"/>
      <c r="S835" s="2">
        <f>IFERROR(VLOOKUP(A835,IMPORT_DESISTENCIA!$A$2:$Q2273,14,0),"NÃO")</f>
        <v>0</v>
      </c>
      <c r="T835" s="35"/>
    </row>
    <row r="836" spans="1:20" ht="45" customHeight="1" x14ac:dyDescent="0.25">
      <c r="A836" s="2" t="str">
        <f t="shared" si="1"/>
        <v/>
      </c>
      <c r="B836" s="2"/>
      <c r="C836" s="43"/>
      <c r="D836" s="2"/>
      <c r="E836" s="2"/>
      <c r="F836" s="2"/>
      <c r="G836" s="11"/>
      <c r="H836" s="11"/>
      <c r="I836" s="2"/>
      <c r="J836" s="2"/>
      <c r="K836" s="2"/>
      <c r="L836" s="10"/>
      <c r="M836" s="9"/>
      <c r="N836" s="2"/>
      <c r="O836" s="2"/>
      <c r="P836" s="2"/>
      <c r="Q836" s="50"/>
      <c r="R836" s="50"/>
      <c r="S836" s="2">
        <f>IFERROR(VLOOKUP(A836,IMPORT_DESISTENCIA!$A$2:$Q2273,14,0),"NÃO")</f>
        <v>0</v>
      </c>
      <c r="T836" s="35"/>
    </row>
    <row r="837" spans="1:20" ht="45" customHeight="1" x14ac:dyDescent="0.25">
      <c r="A837" s="2" t="str">
        <f t="shared" si="1"/>
        <v/>
      </c>
      <c r="B837" s="2"/>
      <c r="C837" s="43"/>
      <c r="D837" s="2"/>
      <c r="E837" s="2"/>
      <c r="F837" s="2"/>
      <c r="G837" s="11"/>
      <c r="H837" s="11"/>
      <c r="I837" s="2"/>
      <c r="J837" s="2"/>
      <c r="K837" s="2"/>
      <c r="L837" s="10"/>
      <c r="M837" s="9"/>
      <c r="N837" s="2"/>
      <c r="O837" s="2"/>
      <c r="P837" s="2"/>
      <c r="Q837" s="50"/>
      <c r="R837" s="50"/>
      <c r="S837" s="2">
        <f>IFERROR(VLOOKUP(A837,IMPORT_DESISTENCIA!$A$2:$Q2273,14,0),"NÃO")</f>
        <v>0</v>
      </c>
      <c r="T837" s="35"/>
    </row>
    <row r="838" spans="1:20" ht="45" customHeight="1" x14ac:dyDescent="0.25">
      <c r="A838" s="2" t="str">
        <f t="shared" si="1"/>
        <v/>
      </c>
      <c r="B838" s="2"/>
      <c r="C838" s="43"/>
      <c r="D838" s="2"/>
      <c r="E838" s="2"/>
      <c r="F838" s="2"/>
      <c r="G838" s="11"/>
      <c r="H838" s="11"/>
      <c r="I838" s="2"/>
      <c r="J838" s="2"/>
      <c r="K838" s="2"/>
      <c r="L838" s="10"/>
      <c r="M838" s="9"/>
      <c r="N838" s="2"/>
      <c r="O838" s="2"/>
      <c r="P838" s="2"/>
      <c r="Q838" s="50"/>
      <c r="R838" s="50"/>
      <c r="S838" s="2">
        <f>IFERROR(VLOOKUP(A838,IMPORT_DESISTENCIA!$A$2:$Q2273,14,0),"NÃO")</f>
        <v>0</v>
      </c>
      <c r="T838" s="35"/>
    </row>
    <row r="839" spans="1:20" ht="45" customHeight="1" x14ac:dyDescent="0.25">
      <c r="A839" s="2" t="str">
        <f t="shared" si="1"/>
        <v/>
      </c>
      <c r="B839" s="2"/>
      <c r="C839" s="43"/>
      <c r="D839" s="2"/>
      <c r="E839" s="2"/>
      <c r="F839" s="2"/>
      <c r="G839" s="11"/>
      <c r="H839" s="11"/>
      <c r="I839" s="2"/>
      <c r="J839" s="2"/>
      <c r="K839" s="2"/>
      <c r="L839" s="10"/>
      <c r="M839" s="9"/>
      <c r="N839" s="2"/>
      <c r="O839" s="2"/>
      <c r="P839" s="2"/>
      <c r="Q839" s="50"/>
      <c r="R839" s="50"/>
      <c r="S839" s="2">
        <f>IFERROR(VLOOKUP(A839,IMPORT_DESISTENCIA!$A$2:$Q2273,14,0),"NÃO")</f>
        <v>0</v>
      </c>
      <c r="T839" s="35"/>
    </row>
    <row r="840" spans="1:20" ht="45" customHeight="1" x14ac:dyDescent="0.25">
      <c r="A840" s="2" t="str">
        <f t="shared" si="1"/>
        <v/>
      </c>
      <c r="B840" s="2"/>
      <c r="C840" s="43"/>
      <c r="D840" s="2"/>
      <c r="E840" s="2"/>
      <c r="F840" s="2"/>
      <c r="G840" s="11"/>
      <c r="H840" s="11"/>
      <c r="I840" s="2"/>
      <c r="J840" s="2"/>
      <c r="K840" s="2"/>
      <c r="L840" s="10"/>
      <c r="M840" s="9"/>
      <c r="N840" s="2"/>
      <c r="O840" s="2"/>
      <c r="P840" s="2"/>
      <c r="Q840" s="50"/>
      <c r="R840" s="50"/>
      <c r="S840" s="2">
        <f>IFERROR(VLOOKUP(A840,IMPORT_DESISTENCIA!$A$2:$Q2273,14,0),"NÃO")</f>
        <v>0</v>
      </c>
      <c r="T840" s="35"/>
    </row>
    <row r="841" spans="1:20" ht="45" customHeight="1" x14ac:dyDescent="0.25">
      <c r="A841" s="2" t="str">
        <f t="shared" si="1"/>
        <v/>
      </c>
      <c r="B841" s="2"/>
      <c r="C841" s="43"/>
      <c r="D841" s="2"/>
      <c r="E841" s="2"/>
      <c r="F841" s="2"/>
      <c r="G841" s="11"/>
      <c r="H841" s="11"/>
      <c r="I841" s="2"/>
      <c r="J841" s="2"/>
      <c r="K841" s="2"/>
      <c r="L841" s="10"/>
      <c r="M841" s="9"/>
      <c r="N841" s="2"/>
      <c r="O841" s="2"/>
      <c r="P841" s="2"/>
      <c r="Q841" s="50"/>
      <c r="R841" s="50"/>
      <c r="S841" s="2">
        <f>IFERROR(VLOOKUP(A841,IMPORT_DESISTENCIA!$A$2:$Q2273,14,0),"NÃO")</f>
        <v>0</v>
      </c>
      <c r="T841" s="35"/>
    </row>
    <row r="842" spans="1:20" ht="45" customHeight="1" x14ac:dyDescent="0.25">
      <c r="A842" s="2" t="str">
        <f t="shared" si="1"/>
        <v/>
      </c>
      <c r="B842" s="2"/>
      <c r="C842" s="43"/>
      <c r="D842" s="2"/>
      <c r="E842" s="2"/>
      <c r="F842" s="2"/>
      <c r="G842" s="11"/>
      <c r="H842" s="11"/>
      <c r="I842" s="2"/>
      <c r="J842" s="2"/>
      <c r="K842" s="2"/>
      <c r="L842" s="10"/>
      <c r="M842" s="9"/>
      <c r="N842" s="2"/>
      <c r="O842" s="2"/>
      <c r="P842" s="2"/>
      <c r="Q842" s="50"/>
      <c r="R842" s="50"/>
      <c r="S842" s="2">
        <f>IFERROR(VLOOKUP(A842,IMPORT_DESISTENCIA!$A$2:$Q2273,14,0),"NÃO")</f>
        <v>0</v>
      </c>
      <c r="T842" s="35"/>
    </row>
    <row r="843" spans="1:20" ht="45" customHeight="1" x14ac:dyDescent="0.25">
      <c r="A843" s="2" t="str">
        <f t="shared" si="1"/>
        <v/>
      </c>
      <c r="B843" s="2"/>
      <c r="C843" s="43"/>
      <c r="D843" s="2"/>
      <c r="E843" s="2"/>
      <c r="F843" s="2"/>
      <c r="G843" s="11"/>
      <c r="H843" s="11"/>
      <c r="I843" s="2"/>
      <c r="J843" s="2"/>
      <c r="K843" s="2"/>
      <c r="L843" s="10"/>
      <c r="M843" s="9"/>
      <c r="N843" s="2"/>
      <c r="O843" s="2"/>
      <c r="P843" s="2"/>
      <c r="Q843" s="50"/>
      <c r="R843" s="50"/>
      <c r="S843" s="2">
        <f>IFERROR(VLOOKUP(A843,IMPORT_DESISTENCIA!$A$2:$Q2273,14,0),"NÃO")</f>
        <v>0</v>
      </c>
      <c r="T843" s="35"/>
    </row>
    <row r="844" spans="1:20" ht="45" customHeight="1" x14ac:dyDescent="0.25">
      <c r="A844" s="2" t="str">
        <f t="shared" si="1"/>
        <v/>
      </c>
      <c r="B844" s="2"/>
      <c r="C844" s="43"/>
      <c r="D844" s="2"/>
      <c r="E844" s="2"/>
      <c r="F844" s="2"/>
      <c r="G844" s="11"/>
      <c r="H844" s="11"/>
      <c r="I844" s="2"/>
      <c r="J844" s="2"/>
      <c r="K844" s="2"/>
      <c r="L844" s="10"/>
      <c r="M844" s="9"/>
      <c r="N844" s="2"/>
      <c r="O844" s="2"/>
      <c r="P844" s="2"/>
      <c r="Q844" s="50"/>
      <c r="R844" s="50"/>
      <c r="S844" s="2">
        <f>IFERROR(VLOOKUP(A844,IMPORT_DESISTENCIA!$A$2:$Q2273,14,0),"NÃO")</f>
        <v>0</v>
      </c>
      <c r="T844" s="35"/>
    </row>
    <row r="845" spans="1:20" ht="45" customHeight="1" x14ac:dyDescent="0.25">
      <c r="A845" s="2" t="str">
        <f t="shared" si="1"/>
        <v/>
      </c>
      <c r="B845" s="2"/>
      <c r="C845" s="43"/>
      <c r="D845" s="2"/>
      <c r="E845" s="2"/>
      <c r="F845" s="2"/>
      <c r="G845" s="11"/>
      <c r="H845" s="11"/>
      <c r="I845" s="2"/>
      <c r="J845" s="2"/>
      <c r="K845" s="2"/>
      <c r="L845" s="10"/>
      <c r="M845" s="9"/>
      <c r="N845" s="2"/>
      <c r="O845" s="2"/>
      <c r="P845" s="2"/>
      <c r="Q845" s="50"/>
      <c r="R845" s="50"/>
      <c r="S845" s="2">
        <f>IFERROR(VLOOKUP(A845,IMPORT_DESISTENCIA!$A$2:$Q2273,14,0),"NÃO")</f>
        <v>0</v>
      </c>
      <c r="T845" s="35"/>
    </row>
    <row r="846" spans="1:20" ht="45" customHeight="1" x14ac:dyDescent="0.25">
      <c r="A846" s="2" t="str">
        <f t="shared" si="1"/>
        <v/>
      </c>
      <c r="B846" s="2"/>
      <c r="C846" s="43"/>
      <c r="D846" s="2"/>
      <c r="E846" s="2"/>
      <c r="F846" s="2"/>
      <c r="G846" s="11"/>
      <c r="H846" s="11"/>
      <c r="I846" s="2"/>
      <c r="J846" s="2"/>
      <c r="K846" s="2"/>
      <c r="L846" s="10"/>
      <c r="M846" s="9"/>
      <c r="N846" s="2"/>
      <c r="O846" s="2"/>
      <c r="P846" s="2"/>
      <c r="Q846" s="50"/>
      <c r="R846" s="50"/>
      <c r="S846" s="2">
        <f>IFERROR(VLOOKUP(A846,IMPORT_DESISTENCIA!$A$2:$Q2273,14,0),"NÃO")</f>
        <v>0</v>
      </c>
      <c r="T846" s="35"/>
    </row>
    <row r="847" spans="1:20" ht="45" customHeight="1" x14ac:dyDescent="0.25">
      <c r="A847" s="2" t="str">
        <f t="shared" si="1"/>
        <v/>
      </c>
      <c r="B847" s="2"/>
      <c r="C847" s="43"/>
      <c r="D847" s="2"/>
      <c r="E847" s="2"/>
      <c r="F847" s="2"/>
      <c r="G847" s="11"/>
      <c r="H847" s="11"/>
      <c r="I847" s="2"/>
      <c r="J847" s="2"/>
      <c r="K847" s="2"/>
      <c r="L847" s="10"/>
      <c r="M847" s="9"/>
      <c r="N847" s="2"/>
      <c r="O847" s="2"/>
      <c r="P847" s="2"/>
      <c r="Q847" s="50"/>
      <c r="R847" s="50"/>
      <c r="S847" s="2">
        <f>IFERROR(VLOOKUP(A847,IMPORT_DESISTENCIA!$A$2:$Q2273,14,0),"NÃO")</f>
        <v>0</v>
      </c>
      <c r="T847" s="35"/>
    </row>
    <row r="848" spans="1:20" ht="45" customHeight="1" x14ac:dyDescent="0.25">
      <c r="A848" s="2" t="str">
        <f t="shared" si="1"/>
        <v/>
      </c>
      <c r="B848" s="2"/>
      <c r="C848" s="43"/>
      <c r="D848" s="2"/>
      <c r="E848" s="2"/>
      <c r="F848" s="2"/>
      <c r="G848" s="11"/>
      <c r="H848" s="11"/>
      <c r="I848" s="2"/>
      <c r="J848" s="2"/>
      <c r="K848" s="2"/>
      <c r="L848" s="10"/>
      <c r="M848" s="9"/>
      <c r="N848" s="2"/>
      <c r="O848" s="2"/>
      <c r="P848" s="2"/>
      <c r="Q848" s="50"/>
      <c r="R848" s="50"/>
      <c r="S848" s="2">
        <f>IFERROR(VLOOKUP(A848,IMPORT_DESISTENCIA!$A$2:$Q2273,14,0),"NÃO")</f>
        <v>0</v>
      </c>
      <c r="T848" s="35"/>
    </row>
    <row r="849" spans="1:20" ht="45" customHeight="1" x14ac:dyDescent="0.25">
      <c r="A849" s="2" t="str">
        <f t="shared" si="1"/>
        <v/>
      </c>
      <c r="B849" s="2"/>
      <c r="C849" s="43"/>
      <c r="D849" s="2"/>
      <c r="E849" s="2"/>
      <c r="F849" s="2"/>
      <c r="G849" s="11"/>
      <c r="H849" s="11"/>
      <c r="I849" s="2"/>
      <c r="J849" s="2"/>
      <c r="K849" s="2"/>
      <c r="L849" s="10"/>
      <c r="M849" s="9"/>
      <c r="N849" s="2"/>
      <c r="O849" s="2"/>
      <c r="P849" s="2"/>
      <c r="Q849" s="50"/>
      <c r="R849" s="50"/>
      <c r="S849" s="2">
        <f>IFERROR(VLOOKUP(A849,IMPORT_DESISTENCIA!$A$2:$Q2273,14,0),"NÃO")</f>
        <v>0</v>
      </c>
      <c r="T849" s="35"/>
    </row>
    <row r="850" spans="1:20" ht="45" customHeight="1" x14ac:dyDescent="0.25">
      <c r="A850" s="2" t="str">
        <f t="shared" si="1"/>
        <v/>
      </c>
      <c r="B850" s="2"/>
      <c r="C850" s="43"/>
      <c r="D850" s="2"/>
      <c r="E850" s="2"/>
      <c r="F850" s="2"/>
      <c r="G850" s="11"/>
      <c r="H850" s="11"/>
      <c r="I850" s="2"/>
      <c r="J850" s="2"/>
      <c r="K850" s="2"/>
      <c r="L850" s="10"/>
      <c r="M850" s="9"/>
      <c r="N850" s="2"/>
      <c r="O850" s="2"/>
      <c r="P850" s="2"/>
      <c r="Q850" s="50"/>
      <c r="R850" s="50"/>
      <c r="S850" s="2">
        <f>IFERROR(VLOOKUP(A850,IMPORT_DESISTENCIA!$A$2:$Q2273,14,0),"NÃO")</f>
        <v>0</v>
      </c>
      <c r="T850" s="35"/>
    </row>
    <row r="851" spans="1:20" ht="45" customHeight="1" x14ac:dyDescent="0.25">
      <c r="A851" s="2" t="str">
        <f t="shared" si="1"/>
        <v/>
      </c>
      <c r="B851" s="2"/>
      <c r="C851" s="43"/>
      <c r="D851" s="2"/>
      <c r="E851" s="2"/>
      <c r="F851" s="2"/>
      <c r="G851" s="11"/>
      <c r="H851" s="11"/>
      <c r="I851" s="2"/>
      <c r="J851" s="2"/>
      <c r="K851" s="2"/>
      <c r="L851" s="10"/>
      <c r="M851" s="9"/>
      <c r="N851" s="2"/>
      <c r="O851" s="2"/>
      <c r="P851" s="2"/>
      <c r="Q851" s="50"/>
      <c r="R851" s="50"/>
      <c r="S851" s="2">
        <f>IFERROR(VLOOKUP(A851,IMPORT_DESISTENCIA!$A$2:$Q2273,14,0),"NÃO")</f>
        <v>0</v>
      </c>
      <c r="T851" s="35"/>
    </row>
    <row r="852" spans="1:20" ht="45" customHeight="1" x14ac:dyDescent="0.25">
      <c r="A852" s="2" t="str">
        <f t="shared" si="1"/>
        <v/>
      </c>
      <c r="B852" s="2"/>
      <c r="C852" s="43"/>
      <c r="D852" s="2"/>
      <c r="E852" s="2"/>
      <c r="F852" s="2"/>
      <c r="G852" s="11"/>
      <c r="H852" s="11"/>
      <c r="I852" s="2"/>
      <c r="J852" s="2"/>
      <c r="K852" s="2"/>
      <c r="L852" s="10"/>
      <c r="M852" s="9"/>
      <c r="N852" s="2"/>
      <c r="O852" s="2"/>
      <c r="P852" s="2"/>
      <c r="Q852" s="50"/>
      <c r="R852" s="50"/>
      <c r="S852" s="2">
        <f>IFERROR(VLOOKUP(A852,IMPORT_DESISTENCIA!$A$2:$Q2273,14,0),"NÃO")</f>
        <v>0</v>
      </c>
      <c r="T852" s="35"/>
    </row>
    <row r="853" spans="1:20" ht="45" customHeight="1" x14ac:dyDescent="0.25">
      <c r="A853" s="2" t="str">
        <f t="shared" si="1"/>
        <v/>
      </c>
      <c r="B853" s="2"/>
      <c r="C853" s="43"/>
      <c r="D853" s="2"/>
      <c r="E853" s="2"/>
      <c r="F853" s="2"/>
      <c r="G853" s="11"/>
      <c r="H853" s="11"/>
      <c r="I853" s="2"/>
      <c r="J853" s="2"/>
      <c r="K853" s="2"/>
      <c r="L853" s="10"/>
      <c r="M853" s="9"/>
      <c r="N853" s="2"/>
      <c r="O853" s="2"/>
      <c r="P853" s="2"/>
      <c r="Q853" s="50"/>
      <c r="R853" s="50"/>
      <c r="S853" s="2">
        <f>IFERROR(VLOOKUP(A853,IMPORT_DESISTENCIA!$A$2:$Q2273,14,0),"NÃO")</f>
        <v>0</v>
      </c>
      <c r="T853" s="35"/>
    </row>
    <row r="854" spans="1:20" ht="45" customHeight="1" x14ac:dyDescent="0.25">
      <c r="A854" s="2" t="str">
        <f t="shared" si="1"/>
        <v/>
      </c>
      <c r="B854" s="2"/>
      <c r="C854" s="43"/>
      <c r="D854" s="2"/>
      <c r="E854" s="2"/>
      <c r="F854" s="2"/>
      <c r="G854" s="11"/>
      <c r="H854" s="11"/>
      <c r="I854" s="2"/>
      <c r="J854" s="2"/>
      <c r="K854" s="2"/>
      <c r="L854" s="10"/>
      <c r="M854" s="9"/>
      <c r="N854" s="2"/>
      <c r="O854" s="2"/>
      <c r="P854" s="2"/>
      <c r="Q854" s="50"/>
      <c r="R854" s="50"/>
      <c r="S854" s="2">
        <f>IFERROR(VLOOKUP(A854,IMPORT_DESISTENCIA!$A$2:$Q2273,14,0),"NÃO")</f>
        <v>0</v>
      </c>
      <c r="T854" s="35"/>
    </row>
    <row r="855" spans="1:20" ht="45" customHeight="1" x14ac:dyDescent="0.25">
      <c r="A855" s="2" t="str">
        <f t="shared" si="1"/>
        <v/>
      </c>
      <c r="B855" s="2"/>
      <c r="C855" s="43"/>
      <c r="D855" s="2"/>
      <c r="E855" s="2"/>
      <c r="F855" s="2"/>
      <c r="G855" s="11"/>
      <c r="H855" s="11"/>
      <c r="I855" s="2"/>
      <c r="J855" s="2"/>
      <c r="K855" s="2"/>
      <c r="L855" s="10"/>
      <c r="M855" s="9"/>
      <c r="N855" s="2"/>
      <c r="O855" s="2"/>
      <c r="P855" s="2"/>
      <c r="Q855" s="50"/>
      <c r="R855" s="50"/>
      <c r="S855" s="2">
        <f>IFERROR(VLOOKUP(A855,IMPORT_DESISTENCIA!$A$2:$Q2273,14,0),"NÃO")</f>
        <v>0</v>
      </c>
      <c r="T855" s="35"/>
    </row>
    <row r="856" spans="1:20" ht="45" customHeight="1" x14ac:dyDescent="0.25">
      <c r="A856" s="2" t="str">
        <f t="shared" si="1"/>
        <v/>
      </c>
      <c r="B856" s="2"/>
      <c r="C856" s="43"/>
      <c r="D856" s="2"/>
      <c r="E856" s="2"/>
      <c r="F856" s="2"/>
      <c r="G856" s="11"/>
      <c r="H856" s="11"/>
      <c r="I856" s="2"/>
      <c r="J856" s="2"/>
      <c r="K856" s="2"/>
      <c r="L856" s="10"/>
      <c r="M856" s="9"/>
      <c r="N856" s="2"/>
      <c r="O856" s="2"/>
      <c r="P856" s="2"/>
      <c r="Q856" s="50"/>
      <c r="R856" s="50"/>
      <c r="S856" s="2">
        <f>IFERROR(VLOOKUP(A856,IMPORT_DESISTENCIA!$A$2:$Q2273,14,0),"NÃO")</f>
        <v>0</v>
      </c>
      <c r="T856" s="35"/>
    </row>
    <row r="857" spans="1:20" ht="45" customHeight="1" x14ac:dyDescent="0.25">
      <c r="A857" s="2" t="str">
        <f t="shared" si="1"/>
        <v/>
      </c>
      <c r="B857" s="2"/>
      <c r="C857" s="43"/>
      <c r="D857" s="2"/>
      <c r="E857" s="2"/>
      <c r="F857" s="2"/>
      <c r="G857" s="11"/>
      <c r="H857" s="11"/>
      <c r="I857" s="2"/>
      <c r="J857" s="2"/>
      <c r="K857" s="2"/>
      <c r="L857" s="10"/>
      <c r="M857" s="9"/>
      <c r="N857" s="2"/>
      <c r="O857" s="2"/>
      <c r="P857" s="2"/>
      <c r="Q857" s="50"/>
      <c r="R857" s="50"/>
      <c r="S857" s="2">
        <f>IFERROR(VLOOKUP(A857,IMPORT_DESISTENCIA!$A$2:$Q2273,14,0),"NÃO")</f>
        <v>0</v>
      </c>
      <c r="T857" s="35"/>
    </row>
    <row r="858" spans="1:20" ht="45" customHeight="1" x14ac:dyDescent="0.25">
      <c r="A858" s="2" t="str">
        <f t="shared" si="1"/>
        <v/>
      </c>
      <c r="B858" s="2"/>
      <c r="C858" s="43"/>
      <c r="D858" s="2"/>
      <c r="E858" s="2"/>
      <c r="F858" s="2"/>
      <c r="G858" s="11"/>
      <c r="H858" s="11"/>
      <c r="I858" s="2"/>
      <c r="J858" s="2"/>
      <c r="K858" s="2"/>
      <c r="L858" s="10"/>
      <c r="M858" s="9"/>
      <c r="N858" s="2"/>
      <c r="O858" s="2"/>
      <c r="P858" s="2"/>
      <c r="Q858" s="50"/>
      <c r="R858" s="50"/>
      <c r="S858" s="2">
        <f>IFERROR(VLOOKUP(A858,IMPORT_DESISTENCIA!$A$2:$Q2273,14,0),"NÃO")</f>
        <v>0</v>
      </c>
      <c r="T858" s="35"/>
    </row>
    <row r="859" spans="1:20" ht="45" customHeight="1" x14ac:dyDescent="0.25">
      <c r="A859" s="2" t="str">
        <f t="shared" si="1"/>
        <v/>
      </c>
      <c r="B859" s="2"/>
      <c r="C859" s="43"/>
      <c r="D859" s="2"/>
      <c r="E859" s="2"/>
      <c r="F859" s="2"/>
      <c r="G859" s="11"/>
      <c r="H859" s="11"/>
      <c r="I859" s="2"/>
      <c r="J859" s="2"/>
      <c r="K859" s="2"/>
      <c r="L859" s="10"/>
      <c r="M859" s="9"/>
      <c r="N859" s="2"/>
      <c r="O859" s="2"/>
      <c r="P859" s="2"/>
      <c r="Q859" s="50"/>
      <c r="R859" s="50"/>
      <c r="S859" s="2">
        <f>IFERROR(VLOOKUP(A859,IMPORT_DESISTENCIA!$A$2:$Q2273,14,0),"NÃO")</f>
        <v>0</v>
      </c>
      <c r="T859" s="35"/>
    </row>
    <row r="860" spans="1:20" ht="45" customHeight="1" x14ac:dyDescent="0.25">
      <c r="A860" s="2" t="str">
        <f t="shared" si="1"/>
        <v/>
      </c>
      <c r="B860" s="2"/>
      <c r="C860" s="43"/>
      <c r="D860" s="2"/>
      <c r="E860" s="2"/>
      <c r="F860" s="2"/>
      <c r="G860" s="11"/>
      <c r="H860" s="11"/>
      <c r="I860" s="2"/>
      <c r="J860" s="2"/>
      <c r="K860" s="2"/>
      <c r="L860" s="10"/>
      <c r="M860" s="9"/>
      <c r="N860" s="2"/>
      <c r="O860" s="2"/>
      <c r="P860" s="2"/>
      <c r="Q860" s="50"/>
      <c r="R860" s="50"/>
      <c r="S860" s="2">
        <f>IFERROR(VLOOKUP(A860,IMPORT_DESISTENCIA!$A$2:$Q2273,14,0),"NÃO")</f>
        <v>0</v>
      </c>
      <c r="T860" s="35"/>
    </row>
    <row r="861" spans="1:20" ht="45" customHeight="1" x14ac:dyDescent="0.25">
      <c r="A861" s="2" t="str">
        <f t="shared" si="1"/>
        <v/>
      </c>
      <c r="B861" s="2"/>
      <c r="C861" s="43"/>
      <c r="D861" s="2"/>
      <c r="E861" s="2"/>
      <c r="F861" s="2"/>
      <c r="G861" s="11"/>
      <c r="H861" s="11"/>
      <c r="I861" s="2"/>
      <c r="J861" s="2"/>
      <c r="K861" s="2"/>
      <c r="L861" s="10"/>
      <c r="M861" s="9"/>
      <c r="N861" s="2"/>
      <c r="O861" s="2"/>
      <c r="P861" s="2"/>
      <c r="Q861" s="50"/>
      <c r="R861" s="50"/>
      <c r="S861" s="2">
        <f>IFERROR(VLOOKUP(A861,IMPORT_DESISTENCIA!$A$2:$Q2273,14,0),"NÃO")</f>
        <v>0</v>
      </c>
      <c r="T861" s="35"/>
    </row>
    <row r="862" spans="1:20" ht="45" customHeight="1" x14ac:dyDescent="0.25">
      <c r="A862" s="2" t="str">
        <f t="shared" si="1"/>
        <v/>
      </c>
      <c r="B862" s="2"/>
      <c r="C862" s="43"/>
      <c r="D862" s="2"/>
      <c r="E862" s="2"/>
      <c r="F862" s="2"/>
      <c r="G862" s="11"/>
      <c r="H862" s="11"/>
      <c r="I862" s="2"/>
      <c r="J862" s="2"/>
      <c r="K862" s="2"/>
      <c r="L862" s="10"/>
      <c r="M862" s="9"/>
      <c r="N862" s="2"/>
      <c r="O862" s="2"/>
      <c r="P862" s="2"/>
      <c r="Q862" s="50"/>
      <c r="R862" s="50"/>
      <c r="S862" s="2">
        <f>IFERROR(VLOOKUP(A862,IMPORT_DESISTENCIA!$A$2:$Q2273,14,0),"NÃO")</f>
        <v>0</v>
      </c>
      <c r="T862" s="35"/>
    </row>
    <row r="863" spans="1:20" ht="45" customHeight="1" x14ac:dyDescent="0.25">
      <c r="A863" s="2" t="str">
        <f t="shared" si="1"/>
        <v/>
      </c>
      <c r="B863" s="2"/>
      <c r="C863" s="43"/>
      <c r="D863" s="2"/>
      <c r="E863" s="2"/>
      <c r="F863" s="2"/>
      <c r="G863" s="11"/>
      <c r="H863" s="11"/>
      <c r="I863" s="2"/>
      <c r="J863" s="2"/>
      <c r="K863" s="2"/>
      <c r="L863" s="10"/>
      <c r="M863" s="9"/>
      <c r="N863" s="2"/>
      <c r="O863" s="2"/>
      <c r="P863" s="2"/>
      <c r="Q863" s="50"/>
      <c r="R863" s="50"/>
      <c r="S863" s="2">
        <f>IFERROR(VLOOKUP(A863,IMPORT_DESISTENCIA!$A$2:$Q2273,14,0),"NÃO")</f>
        <v>0</v>
      </c>
      <c r="T863" s="35"/>
    </row>
    <row r="864" spans="1:20" ht="45" customHeight="1" x14ac:dyDescent="0.25">
      <c r="A864" s="2" t="str">
        <f t="shared" si="1"/>
        <v/>
      </c>
      <c r="B864" s="2"/>
      <c r="C864" s="43"/>
      <c r="D864" s="2"/>
      <c r="E864" s="2"/>
      <c r="F864" s="2"/>
      <c r="G864" s="11"/>
      <c r="H864" s="11"/>
      <c r="I864" s="2"/>
      <c r="J864" s="2"/>
      <c r="K864" s="2"/>
      <c r="L864" s="10"/>
      <c r="M864" s="9"/>
      <c r="N864" s="2"/>
      <c r="O864" s="2"/>
      <c r="P864" s="2"/>
      <c r="Q864" s="50"/>
      <c r="R864" s="50"/>
      <c r="S864" s="2">
        <f>IFERROR(VLOOKUP(A864,IMPORT_DESISTENCIA!$A$2:$Q2273,14,0),"NÃO")</f>
        <v>0</v>
      </c>
      <c r="T864" s="35"/>
    </row>
    <row r="865" spans="1:20" ht="45" customHeight="1" x14ac:dyDescent="0.25">
      <c r="A865" s="2" t="str">
        <f t="shared" si="1"/>
        <v/>
      </c>
      <c r="B865" s="2"/>
      <c r="C865" s="43"/>
      <c r="D865" s="2"/>
      <c r="E865" s="2"/>
      <c r="F865" s="2"/>
      <c r="G865" s="11"/>
      <c r="H865" s="11"/>
      <c r="I865" s="2"/>
      <c r="J865" s="2"/>
      <c r="K865" s="2"/>
      <c r="L865" s="10"/>
      <c r="M865" s="9"/>
      <c r="N865" s="2"/>
      <c r="O865" s="2"/>
      <c r="P865" s="2"/>
      <c r="Q865" s="50"/>
      <c r="R865" s="50"/>
      <c r="S865" s="2">
        <f>IFERROR(VLOOKUP(A865,IMPORT_DESISTENCIA!$A$2:$Q2273,14,0),"NÃO")</f>
        <v>0</v>
      </c>
      <c r="T865" s="35"/>
    </row>
    <row r="866" spans="1:20" ht="45" customHeight="1" x14ac:dyDescent="0.25">
      <c r="A866" s="2" t="str">
        <f t="shared" si="1"/>
        <v/>
      </c>
      <c r="B866" s="2"/>
      <c r="C866" s="43"/>
      <c r="D866" s="2"/>
      <c r="E866" s="2"/>
      <c r="F866" s="2"/>
      <c r="G866" s="11"/>
      <c r="H866" s="11"/>
      <c r="I866" s="2"/>
      <c r="J866" s="2"/>
      <c r="K866" s="2"/>
      <c r="L866" s="10"/>
      <c r="M866" s="9"/>
      <c r="N866" s="2"/>
      <c r="O866" s="2"/>
      <c r="P866" s="2"/>
      <c r="Q866" s="50"/>
      <c r="R866" s="50"/>
      <c r="S866" s="2">
        <f>IFERROR(VLOOKUP(A866,IMPORT_DESISTENCIA!$A$2:$Q2273,14,0),"NÃO")</f>
        <v>0</v>
      </c>
      <c r="T866" s="35"/>
    </row>
    <row r="867" spans="1:20" ht="45" customHeight="1" x14ac:dyDescent="0.25">
      <c r="A867" s="2" t="str">
        <f t="shared" si="1"/>
        <v/>
      </c>
      <c r="B867" s="2"/>
      <c r="C867" s="43"/>
      <c r="D867" s="2"/>
      <c r="E867" s="2"/>
      <c r="F867" s="2"/>
      <c r="G867" s="11"/>
      <c r="H867" s="11"/>
      <c r="I867" s="2"/>
      <c r="J867" s="2"/>
      <c r="K867" s="2"/>
      <c r="L867" s="10"/>
      <c r="M867" s="9"/>
      <c r="N867" s="2"/>
      <c r="O867" s="2"/>
      <c r="P867" s="2"/>
      <c r="Q867" s="50"/>
      <c r="R867" s="50"/>
      <c r="S867" s="2">
        <f>IFERROR(VLOOKUP(A867,IMPORT_DESISTENCIA!$A$2:$Q2273,14,0),"NÃO")</f>
        <v>0</v>
      </c>
      <c r="T867" s="35"/>
    </row>
    <row r="868" spans="1:20" ht="45" customHeight="1" x14ac:dyDescent="0.25">
      <c r="A868" s="2" t="str">
        <f t="shared" si="1"/>
        <v/>
      </c>
      <c r="B868" s="2"/>
      <c r="C868" s="43"/>
      <c r="D868" s="2"/>
      <c r="E868" s="2"/>
      <c r="F868" s="2"/>
      <c r="G868" s="11"/>
      <c r="H868" s="11"/>
      <c r="I868" s="2"/>
      <c r="J868" s="2"/>
      <c r="K868" s="2"/>
      <c r="L868" s="10"/>
      <c r="M868" s="9"/>
      <c r="N868" s="2"/>
      <c r="O868" s="2"/>
      <c r="P868" s="2"/>
      <c r="Q868" s="50"/>
      <c r="R868" s="50"/>
      <c r="S868" s="2">
        <f>IFERROR(VLOOKUP(A868,IMPORT_DESISTENCIA!$A$2:$Q2273,14,0),"NÃO")</f>
        <v>0</v>
      </c>
      <c r="T868" s="35"/>
    </row>
    <row r="869" spans="1:20" ht="45" customHeight="1" x14ac:dyDescent="0.25">
      <c r="A869" s="2" t="str">
        <f t="shared" si="1"/>
        <v/>
      </c>
      <c r="B869" s="2"/>
      <c r="C869" s="43"/>
      <c r="D869" s="2"/>
      <c r="E869" s="2"/>
      <c r="F869" s="2"/>
      <c r="G869" s="11"/>
      <c r="H869" s="11"/>
      <c r="I869" s="2"/>
      <c r="J869" s="2"/>
      <c r="K869" s="2"/>
      <c r="L869" s="10"/>
      <c r="M869" s="9"/>
      <c r="N869" s="2"/>
      <c r="O869" s="2"/>
      <c r="P869" s="2"/>
      <c r="Q869" s="50"/>
      <c r="R869" s="50"/>
      <c r="S869" s="2">
        <f>IFERROR(VLOOKUP(A869,IMPORT_DESISTENCIA!$A$2:$Q2273,14,0),"NÃO")</f>
        <v>0</v>
      </c>
      <c r="T869" s="35"/>
    </row>
    <row r="870" spans="1:20" ht="45" customHeight="1" x14ac:dyDescent="0.25">
      <c r="A870" s="2" t="str">
        <f t="shared" si="1"/>
        <v/>
      </c>
      <c r="B870" s="2"/>
      <c r="C870" s="43"/>
      <c r="D870" s="2"/>
      <c r="E870" s="2"/>
      <c r="F870" s="2"/>
      <c r="G870" s="11"/>
      <c r="H870" s="11"/>
      <c r="I870" s="2"/>
      <c r="J870" s="2"/>
      <c r="K870" s="2"/>
      <c r="L870" s="10"/>
      <c r="M870" s="9"/>
      <c r="N870" s="2"/>
      <c r="O870" s="2"/>
      <c r="P870" s="2"/>
      <c r="Q870" s="50"/>
      <c r="R870" s="50"/>
      <c r="S870" s="2">
        <f>IFERROR(VLOOKUP(A870,IMPORT_DESISTENCIA!$A$2:$Q2273,14,0),"NÃO")</f>
        <v>0</v>
      </c>
      <c r="T870" s="35"/>
    </row>
    <row r="871" spans="1:20" ht="45" customHeight="1" x14ac:dyDescent="0.25">
      <c r="A871" s="2" t="str">
        <f t="shared" si="1"/>
        <v/>
      </c>
      <c r="B871" s="2"/>
      <c r="C871" s="43"/>
      <c r="D871" s="2"/>
      <c r="E871" s="2"/>
      <c r="F871" s="2"/>
      <c r="G871" s="11"/>
      <c r="H871" s="11"/>
      <c r="I871" s="2"/>
      <c r="J871" s="2"/>
      <c r="K871" s="2"/>
      <c r="L871" s="10"/>
      <c r="M871" s="9"/>
      <c r="N871" s="2"/>
      <c r="O871" s="2"/>
      <c r="P871" s="2"/>
      <c r="Q871" s="50"/>
      <c r="R871" s="50"/>
      <c r="S871" s="2">
        <f>IFERROR(VLOOKUP(A871,IMPORT_DESISTENCIA!$A$2:$Q2273,14,0),"NÃO")</f>
        <v>0</v>
      </c>
      <c r="T871" s="35"/>
    </row>
    <row r="872" spans="1:20" ht="45" customHeight="1" x14ac:dyDescent="0.25">
      <c r="A872" s="2" t="str">
        <f t="shared" si="1"/>
        <v/>
      </c>
      <c r="B872" s="2"/>
      <c r="C872" s="43"/>
      <c r="D872" s="2"/>
      <c r="E872" s="2"/>
      <c r="F872" s="2"/>
      <c r="G872" s="11"/>
      <c r="H872" s="11"/>
      <c r="I872" s="2"/>
      <c r="J872" s="2"/>
      <c r="K872" s="2"/>
      <c r="L872" s="10"/>
      <c r="M872" s="9"/>
      <c r="N872" s="2"/>
      <c r="O872" s="2"/>
      <c r="P872" s="2"/>
      <c r="Q872" s="50"/>
      <c r="R872" s="50"/>
      <c r="S872" s="2">
        <f>IFERROR(VLOOKUP(A872,IMPORT_DESISTENCIA!$A$2:$Q2273,14,0),"NÃO")</f>
        <v>0</v>
      </c>
      <c r="T872" s="35"/>
    </row>
    <row r="873" spans="1:20" ht="45" customHeight="1" x14ac:dyDescent="0.25">
      <c r="A873" s="2" t="str">
        <f t="shared" si="1"/>
        <v/>
      </c>
      <c r="B873" s="2"/>
      <c r="C873" s="43"/>
      <c r="D873" s="2"/>
      <c r="E873" s="2"/>
      <c r="F873" s="2"/>
      <c r="G873" s="11"/>
      <c r="H873" s="11"/>
      <c r="I873" s="2"/>
      <c r="J873" s="2"/>
      <c r="K873" s="2"/>
      <c r="L873" s="10"/>
      <c r="M873" s="9"/>
      <c r="N873" s="2"/>
      <c r="O873" s="2"/>
      <c r="P873" s="2"/>
      <c r="Q873" s="50"/>
      <c r="R873" s="50"/>
      <c r="S873" s="2">
        <f>IFERROR(VLOOKUP(A873,IMPORT_DESISTENCIA!$A$2:$Q2273,14,0),"NÃO")</f>
        <v>0</v>
      </c>
      <c r="T873" s="35"/>
    </row>
    <row r="874" spans="1:20" ht="45" customHeight="1" x14ac:dyDescent="0.25">
      <c r="A874" s="2" t="str">
        <f t="shared" si="1"/>
        <v/>
      </c>
      <c r="B874" s="2"/>
      <c r="C874" s="43"/>
      <c r="D874" s="2"/>
      <c r="E874" s="2"/>
      <c r="F874" s="2"/>
      <c r="G874" s="11"/>
      <c r="H874" s="11"/>
      <c r="I874" s="2"/>
      <c r="J874" s="2"/>
      <c r="K874" s="2"/>
      <c r="L874" s="10"/>
      <c r="M874" s="9"/>
      <c r="N874" s="2"/>
      <c r="O874" s="2"/>
      <c r="P874" s="2"/>
      <c r="Q874" s="50"/>
      <c r="R874" s="50"/>
      <c r="S874" s="2">
        <f>IFERROR(VLOOKUP(A874,IMPORT_DESISTENCIA!$A$2:$Q2273,14,0),"NÃO")</f>
        <v>0</v>
      </c>
      <c r="T874" s="35"/>
    </row>
    <row r="875" spans="1:20" ht="45" customHeight="1" x14ac:dyDescent="0.25">
      <c r="A875" s="2" t="str">
        <f t="shared" si="1"/>
        <v/>
      </c>
      <c r="B875" s="2"/>
      <c r="C875" s="43"/>
      <c r="D875" s="2"/>
      <c r="E875" s="2"/>
      <c r="F875" s="2"/>
      <c r="G875" s="11"/>
      <c r="H875" s="11"/>
      <c r="I875" s="2"/>
      <c r="J875" s="2"/>
      <c r="K875" s="2"/>
      <c r="L875" s="10"/>
      <c r="M875" s="9"/>
      <c r="N875" s="2"/>
      <c r="O875" s="2"/>
      <c r="P875" s="2"/>
      <c r="Q875" s="50"/>
      <c r="R875" s="50"/>
      <c r="S875" s="2">
        <f>IFERROR(VLOOKUP(A875,IMPORT_DESISTENCIA!$A$2:$Q2273,14,0),"NÃO")</f>
        <v>0</v>
      </c>
      <c r="T875" s="35"/>
    </row>
    <row r="876" spans="1:20" ht="45" customHeight="1" x14ac:dyDescent="0.25">
      <c r="A876" s="2" t="str">
        <f t="shared" si="1"/>
        <v/>
      </c>
      <c r="B876" s="2"/>
      <c r="C876" s="43"/>
      <c r="D876" s="2"/>
      <c r="E876" s="2"/>
      <c r="F876" s="2"/>
      <c r="G876" s="11"/>
      <c r="H876" s="11"/>
      <c r="I876" s="2"/>
      <c r="J876" s="2"/>
      <c r="K876" s="2"/>
      <c r="L876" s="10"/>
      <c r="M876" s="9"/>
      <c r="N876" s="2"/>
      <c r="O876" s="2"/>
      <c r="P876" s="2"/>
      <c r="Q876" s="50"/>
      <c r="R876" s="50"/>
      <c r="S876" s="2">
        <f>IFERROR(VLOOKUP(A876,IMPORT_DESISTENCIA!$A$2:$Q2273,14,0),"NÃO")</f>
        <v>0</v>
      </c>
      <c r="T876" s="35"/>
    </row>
    <row r="877" spans="1:20" ht="45" customHeight="1" x14ac:dyDescent="0.25">
      <c r="A877" s="2" t="str">
        <f t="shared" si="1"/>
        <v/>
      </c>
      <c r="B877" s="2"/>
      <c r="C877" s="43"/>
      <c r="D877" s="2"/>
      <c r="E877" s="2"/>
      <c r="F877" s="2"/>
      <c r="G877" s="11"/>
      <c r="H877" s="11"/>
      <c r="I877" s="2"/>
      <c r="J877" s="2"/>
      <c r="K877" s="2"/>
      <c r="L877" s="10"/>
      <c r="M877" s="9"/>
      <c r="N877" s="2"/>
      <c r="O877" s="2"/>
      <c r="P877" s="2"/>
      <c r="Q877" s="50"/>
      <c r="R877" s="50"/>
      <c r="S877" s="2">
        <f>IFERROR(VLOOKUP(A877,IMPORT_DESISTENCIA!$A$2:$Q2273,14,0),"NÃO")</f>
        <v>0</v>
      </c>
      <c r="T877" s="35"/>
    </row>
    <row r="878" spans="1:20" ht="45" customHeight="1" x14ac:dyDescent="0.25">
      <c r="A878" s="2" t="str">
        <f t="shared" si="1"/>
        <v/>
      </c>
      <c r="B878" s="2"/>
      <c r="C878" s="43"/>
      <c r="D878" s="2"/>
      <c r="E878" s="2"/>
      <c r="F878" s="2"/>
      <c r="G878" s="11"/>
      <c r="H878" s="11"/>
      <c r="I878" s="2"/>
      <c r="J878" s="2"/>
      <c r="K878" s="2"/>
      <c r="L878" s="10"/>
      <c r="M878" s="9"/>
      <c r="N878" s="2"/>
      <c r="O878" s="2"/>
      <c r="P878" s="2"/>
      <c r="Q878" s="50"/>
      <c r="R878" s="50"/>
      <c r="S878" s="2">
        <f>IFERROR(VLOOKUP(A878,IMPORT_DESISTENCIA!$A$2:$Q2273,14,0),"NÃO")</f>
        <v>0</v>
      </c>
      <c r="T878" s="35"/>
    </row>
    <row r="879" spans="1:20" ht="45" customHeight="1" x14ac:dyDescent="0.25">
      <c r="A879" s="2" t="str">
        <f t="shared" si="1"/>
        <v/>
      </c>
      <c r="B879" s="2"/>
      <c r="C879" s="43"/>
      <c r="D879" s="2"/>
      <c r="E879" s="2"/>
      <c r="F879" s="2"/>
      <c r="G879" s="11"/>
      <c r="H879" s="11"/>
      <c r="I879" s="2"/>
      <c r="J879" s="2"/>
      <c r="K879" s="2"/>
      <c r="L879" s="10"/>
      <c r="M879" s="9"/>
      <c r="N879" s="2"/>
      <c r="O879" s="2"/>
      <c r="P879" s="2"/>
      <c r="Q879" s="50"/>
      <c r="R879" s="50"/>
      <c r="S879" s="2">
        <f>IFERROR(VLOOKUP(A879,IMPORT_DESISTENCIA!$A$2:$Q2273,14,0),"NÃO")</f>
        <v>0</v>
      </c>
      <c r="T879" s="35"/>
    </row>
    <row r="880" spans="1:20" ht="45" customHeight="1" x14ac:dyDescent="0.25">
      <c r="A880" s="2" t="str">
        <f t="shared" si="1"/>
        <v/>
      </c>
      <c r="B880" s="2"/>
      <c r="C880" s="43"/>
      <c r="D880" s="2"/>
      <c r="E880" s="2"/>
      <c r="F880" s="2"/>
      <c r="G880" s="11"/>
      <c r="H880" s="11"/>
      <c r="I880" s="2"/>
      <c r="J880" s="2"/>
      <c r="K880" s="2"/>
      <c r="L880" s="10"/>
      <c r="M880" s="9"/>
      <c r="N880" s="2"/>
      <c r="O880" s="2"/>
      <c r="P880" s="2"/>
      <c r="Q880" s="50"/>
      <c r="R880" s="50"/>
      <c r="S880" s="2">
        <f>IFERROR(VLOOKUP(A880,IMPORT_DESISTENCIA!$A$2:$Q2273,14,0),"NÃO")</f>
        <v>0</v>
      </c>
      <c r="T880" s="35"/>
    </row>
    <row r="881" spans="1:20" ht="45" customHeight="1" x14ac:dyDescent="0.25">
      <c r="A881" s="2" t="str">
        <f t="shared" si="1"/>
        <v/>
      </c>
      <c r="B881" s="2"/>
      <c r="C881" s="43"/>
      <c r="D881" s="2"/>
      <c r="E881" s="2"/>
      <c r="F881" s="2"/>
      <c r="G881" s="11"/>
      <c r="H881" s="11"/>
      <c r="I881" s="2"/>
      <c r="J881" s="2"/>
      <c r="K881" s="2"/>
      <c r="L881" s="10"/>
      <c r="M881" s="9"/>
      <c r="N881" s="2"/>
      <c r="O881" s="2"/>
      <c r="P881" s="2"/>
      <c r="Q881" s="50"/>
      <c r="R881" s="50"/>
      <c r="S881" s="2">
        <f>IFERROR(VLOOKUP(A881,IMPORT_DESISTENCIA!$A$2:$Q2273,14,0),"NÃO")</f>
        <v>0</v>
      </c>
      <c r="T881" s="35"/>
    </row>
    <row r="882" spans="1:20" ht="45" customHeight="1" x14ac:dyDescent="0.25">
      <c r="A882" s="2" t="str">
        <f t="shared" si="1"/>
        <v/>
      </c>
      <c r="B882" s="2"/>
      <c r="C882" s="43"/>
      <c r="D882" s="2"/>
      <c r="E882" s="2"/>
      <c r="F882" s="2"/>
      <c r="G882" s="11"/>
      <c r="H882" s="11"/>
      <c r="I882" s="2"/>
      <c r="J882" s="2"/>
      <c r="K882" s="2"/>
      <c r="L882" s="10"/>
      <c r="M882" s="9"/>
      <c r="N882" s="2"/>
      <c r="O882" s="2"/>
      <c r="P882" s="2"/>
      <c r="Q882" s="50"/>
      <c r="R882" s="50"/>
      <c r="S882" s="2">
        <f>IFERROR(VLOOKUP(A882,IMPORT_DESISTENCIA!$A$2:$Q2273,14,0),"NÃO")</f>
        <v>0</v>
      </c>
      <c r="T882" s="35"/>
    </row>
    <row r="883" spans="1:20" ht="45" customHeight="1" x14ac:dyDescent="0.25">
      <c r="A883" s="2" t="str">
        <f t="shared" si="1"/>
        <v/>
      </c>
      <c r="B883" s="2"/>
      <c r="C883" s="43"/>
      <c r="D883" s="2"/>
      <c r="E883" s="2"/>
      <c r="F883" s="2"/>
      <c r="G883" s="11"/>
      <c r="H883" s="11"/>
      <c r="I883" s="2"/>
      <c r="J883" s="2"/>
      <c r="K883" s="2"/>
      <c r="L883" s="10"/>
      <c r="M883" s="9"/>
      <c r="N883" s="2"/>
      <c r="O883" s="2"/>
      <c r="P883" s="2"/>
      <c r="Q883" s="50"/>
      <c r="R883" s="50"/>
      <c r="S883" s="2">
        <f>IFERROR(VLOOKUP(A883,IMPORT_DESISTENCIA!$A$2:$Q2273,14,0),"NÃO")</f>
        <v>0</v>
      </c>
      <c r="T883" s="35"/>
    </row>
    <row r="884" spans="1:20" ht="45" customHeight="1" x14ac:dyDescent="0.25">
      <c r="A884" s="2" t="str">
        <f t="shared" si="1"/>
        <v/>
      </c>
      <c r="B884" s="2"/>
      <c r="C884" s="43"/>
      <c r="D884" s="2"/>
      <c r="E884" s="2"/>
      <c r="F884" s="2"/>
      <c r="G884" s="11"/>
      <c r="H884" s="11"/>
      <c r="I884" s="2"/>
      <c r="J884" s="2"/>
      <c r="K884" s="2"/>
      <c r="L884" s="10"/>
      <c r="M884" s="9"/>
      <c r="N884" s="2"/>
      <c r="O884" s="2"/>
      <c r="P884" s="2"/>
      <c r="Q884" s="50"/>
      <c r="R884" s="50"/>
      <c r="S884" s="2">
        <f>IFERROR(VLOOKUP(A884,IMPORT_DESISTENCIA!$A$2:$Q2273,14,0),"NÃO")</f>
        <v>0</v>
      </c>
      <c r="T884" s="35"/>
    </row>
    <row r="885" spans="1:20" ht="45" customHeight="1" x14ac:dyDescent="0.25">
      <c r="A885" s="2" t="str">
        <f t="shared" si="1"/>
        <v/>
      </c>
      <c r="B885" s="2"/>
      <c r="C885" s="43"/>
      <c r="D885" s="2"/>
      <c r="E885" s="2"/>
      <c r="F885" s="2"/>
      <c r="G885" s="11"/>
      <c r="H885" s="11"/>
      <c r="I885" s="2"/>
      <c r="J885" s="2"/>
      <c r="K885" s="2"/>
      <c r="L885" s="10"/>
      <c r="M885" s="9"/>
      <c r="N885" s="2"/>
      <c r="O885" s="2"/>
      <c r="P885" s="2"/>
      <c r="Q885" s="50"/>
      <c r="R885" s="50"/>
      <c r="S885" s="2">
        <f>IFERROR(VLOOKUP(A885,IMPORT_DESISTENCIA!$A$2:$Q2273,14,0),"NÃO")</f>
        <v>0</v>
      </c>
      <c r="T885" s="35"/>
    </row>
    <row r="886" spans="1:20" ht="45" customHeight="1" x14ac:dyDescent="0.25">
      <c r="A886" s="2" t="str">
        <f t="shared" si="1"/>
        <v/>
      </c>
      <c r="B886" s="2"/>
      <c r="C886" s="43"/>
      <c r="D886" s="2"/>
      <c r="E886" s="2"/>
      <c r="F886" s="2"/>
      <c r="G886" s="11"/>
      <c r="H886" s="11"/>
      <c r="I886" s="2"/>
      <c r="J886" s="2"/>
      <c r="K886" s="2"/>
      <c r="L886" s="10"/>
      <c r="M886" s="9"/>
      <c r="N886" s="2"/>
      <c r="O886" s="2"/>
      <c r="P886" s="2"/>
      <c r="Q886" s="50"/>
      <c r="R886" s="50"/>
      <c r="S886" s="2">
        <f>IFERROR(VLOOKUP(A886,IMPORT_DESISTENCIA!$A$2:$Q2273,14,0),"NÃO")</f>
        <v>0</v>
      </c>
      <c r="T886" s="35"/>
    </row>
    <row r="887" spans="1:20" ht="45" customHeight="1" x14ac:dyDescent="0.25">
      <c r="A887" s="2" t="str">
        <f t="shared" si="1"/>
        <v/>
      </c>
      <c r="B887" s="2"/>
      <c r="C887" s="43"/>
      <c r="D887" s="2"/>
      <c r="E887" s="2"/>
      <c r="F887" s="2"/>
      <c r="G887" s="11"/>
      <c r="H887" s="11"/>
      <c r="I887" s="2"/>
      <c r="J887" s="2"/>
      <c r="K887" s="2"/>
      <c r="L887" s="10"/>
      <c r="M887" s="9"/>
      <c r="N887" s="2"/>
      <c r="O887" s="2"/>
      <c r="P887" s="2"/>
      <c r="Q887" s="50"/>
      <c r="R887" s="50"/>
      <c r="S887" s="2">
        <f>IFERROR(VLOOKUP(A887,IMPORT_DESISTENCIA!$A$2:$Q2273,14,0),"NÃO")</f>
        <v>0</v>
      </c>
      <c r="T887" s="35"/>
    </row>
    <row r="888" spans="1:20" ht="45" customHeight="1" x14ac:dyDescent="0.25">
      <c r="A888" s="2" t="str">
        <f t="shared" si="1"/>
        <v/>
      </c>
      <c r="B888" s="2"/>
      <c r="C888" s="43"/>
      <c r="D888" s="2"/>
      <c r="E888" s="2"/>
      <c r="F888" s="2"/>
      <c r="G888" s="11"/>
      <c r="H888" s="11"/>
      <c r="I888" s="2"/>
      <c r="J888" s="2"/>
      <c r="K888" s="2"/>
      <c r="L888" s="10"/>
      <c r="M888" s="9"/>
      <c r="N888" s="2"/>
      <c r="O888" s="2"/>
      <c r="P888" s="2"/>
      <c r="Q888" s="50"/>
      <c r="R888" s="50"/>
      <c r="S888" s="2">
        <f>IFERROR(VLOOKUP(A888,IMPORT_DESISTENCIA!$A$2:$Q2273,14,0),"NÃO")</f>
        <v>0</v>
      </c>
      <c r="T888" s="35"/>
    </row>
    <row r="889" spans="1:20" ht="45" customHeight="1" x14ac:dyDescent="0.25">
      <c r="A889" s="2" t="str">
        <f t="shared" si="1"/>
        <v/>
      </c>
      <c r="B889" s="2"/>
      <c r="C889" s="43"/>
      <c r="D889" s="2"/>
      <c r="E889" s="2"/>
      <c r="F889" s="2"/>
      <c r="G889" s="11"/>
      <c r="H889" s="11"/>
      <c r="I889" s="2"/>
      <c r="J889" s="2"/>
      <c r="K889" s="2"/>
      <c r="L889" s="10"/>
      <c r="M889" s="9"/>
      <c r="N889" s="2"/>
      <c r="O889" s="2"/>
      <c r="P889" s="2"/>
      <c r="Q889" s="50"/>
      <c r="R889" s="50"/>
      <c r="S889" s="2">
        <f>IFERROR(VLOOKUP(A889,IMPORT_DESISTENCIA!$A$2:$Q2273,14,0),"NÃO")</f>
        <v>0</v>
      </c>
      <c r="T889" s="35"/>
    </row>
    <row r="890" spans="1:20" ht="45" customHeight="1" x14ac:dyDescent="0.25">
      <c r="A890" s="2" t="str">
        <f t="shared" si="1"/>
        <v/>
      </c>
      <c r="B890" s="2"/>
      <c r="C890" s="43"/>
      <c r="D890" s="2"/>
      <c r="E890" s="2"/>
      <c r="F890" s="2"/>
      <c r="G890" s="11"/>
      <c r="H890" s="11"/>
      <c r="I890" s="2"/>
      <c r="J890" s="2"/>
      <c r="K890" s="2"/>
      <c r="L890" s="10"/>
      <c r="M890" s="9"/>
      <c r="N890" s="2"/>
      <c r="O890" s="2"/>
      <c r="P890" s="2"/>
      <c r="Q890" s="50"/>
      <c r="R890" s="50"/>
      <c r="S890" s="2">
        <f>IFERROR(VLOOKUP(A890,IMPORT_DESISTENCIA!$A$2:$Q2273,14,0),"NÃO")</f>
        <v>0</v>
      </c>
      <c r="T890" s="35"/>
    </row>
    <row r="891" spans="1:20" ht="45" customHeight="1" x14ac:dyDescent="0.25">
      <c r="A891" s="2" t="str">
        <f t="shared" si="1"/>
        <v/>
      </c>
      <c r="B891" s="2"/>
      <c r="C891" s="43"/>
      <c r="D891" s="2"/>
      <c r="E891" s="2"/>
      <c r="F891" s="2"/>
      <c r="G891" s="11"/>
      <c r="H891" s="11"/>
      <c r="I891" s="2"/>
      <c r="J891" s="2"/>
      <c r="K891" s="2"/>
      <c r="L891" s="10"/>
      <c r="M891" s="9"/>
      <c r="N891" s="2"/>
      <c r="O891" s="2"/>
      <c r="P891" s="2"/>
      <c r="Q891" s="50"/>
      <c r="R891" s="50"/>
      <c r="S891" s="2">
        <f>IFERROR(VLOOKUP(A891,IMPORT_DESISTENCIA!$A$2:$Q2273,14,0),"NÃO")</f>
        <v>0</v>
      </c>
      <c r="T891" s="35"/>
    </row>
    <row r="892" spans="1:20" ht="45" customHeight="1" x14ac:dyDescent="0.25">
      <c r="A892" s="2" t="str">
        <f t="shared" si="1"/>
        <v/>
      </c>
      <c r="B892" s="2"/>
      <c r="C892" s="43"/>
      <c r="D892" s="2"/>
      <c r="E892" s="2"/>
      <c r="F892" s="2"/>
      <c r="G892" s="11"/>
      <c r="H892" s="11"/>
      <c r="I892" s="2"/>
      <c r="J892" s="2"/>
      <c r="K892" s="2"/>
      <c r="L892" s="10"/>
      <c r="M892" s="9"/>
      <c r="N892" s="2"/>
      <c r="O892" s="2"/>
      <c r="P892" s="2"/>
      <c r="Q892" s="50"/>
      <c r="R892" s="50"/>
      <c r="S892" s="2">
        <f>IFERROR(VLOOKUP(A892,IMPORT_DESISTENCIA!$A$2:$Q2273,14,0),"NÃO")</f>
        <v>0</v>
      </c>
      <c r="T892" s="35"/>
    </row>
    <row r="893" spans="1:20" ht="45" customHeight="1" x14ac:dyDescent="0.25">
      <c r="A893" s="2" t="str">
        <f t="shared" si="1"/>
        <v/>
      </c>
      <c r="B893" s="2"/>
      <c r="C893" s="43"/>
      <c r="D893" s="2"/>
      <c r="E893" s="2"/>
      <c r="F893" s="2"/>
      <c r="G893" s="11"/>
      <c r="H893" s="11"/>
      <c r="I893" s="2"/>
      <c r="J893" s="2"/>
      <c r="K893" s="2"/>
      <c r="L893" s="10"/>
      <c r="M893" s="9"/>
      <c r="N893" s="2"/>
      <c r="O893" s="2"/>
      <c r="P893" s="2"/>
      <c r="Q893" s="50"/>
      <c r="R893" s="50"/>
      <c r="S893" s="2">
        <f>IFERROR(VLOOKUP(A893,IMPORT_DESISTENCIA!$A$2:$Q2273,14,0),"NÃO")</f>
        <v>0</v>
      </c>
      <c r="T893" s="35"/>
    </row>
    <row r="894" spans="1:20" ht="45" customHeight="1" x14ac:dyDescent="0.25">
      <c r="A894" s="2" t="str">
        <f t="shared" si="1"/>
        <v/>
      </c>
      <c r="B894" s="2"/>
      <c r="C894" s="43"/>
      <c r="D894" s="2"/>
      <c r="E894" s="2"/>
      <c r="F894" s="2"/>
      <c r="G894" s="11"/>
      <c r="H894" s="11"/>
      <c r="I894" s="2"/>
      <c r="J894" s="2"/>
      <c r="K894" s="2"/>
      <c r="L894" s="10"/>
      <c r="M894" s="9"/>
      <c r="N894" s="2"/>
      <c r="O894" s="2"/>
      <c r="P894" s="2"/>
      <c r="Q894" s="50"/>
      <c r="R894" s="50"/>
      <c r="S894" s="2">
        <f>IFERROR(VLOOKUP(A894,IMPORT_DESISTENCIA!$A$2:$Q2273,14,0),"NÃO")</f>
        <v>0</v>
      </c>
      <c r="T894" s="35"/>
    </row>
    <row r="895" spans="1:20" ht="45" customHeight="1" x14ac:dyDescent="0.25">
      <c r="A895" s="2" t="str">
        <f t="shared" si="1"/>
        <v/>
      </c>
      <c r="B895" s="2"/>
      <c r="C895" s="43"/>
      <c r="D895" s="2"/>
      <c r="E895" s="2"/>
      <c r="F895" s="2"/>
      <c r="G895" s="11"/>
      <c r="H895" s="11"/>
      <c r="I895" s="2"/>
      <c r="J895" s="2"/>
      <c r="K895" s="2"/>
      <c r="L895" s="10"/>
      <c r="M895" s="9"/>
      <c r="N895" s="2"/>
      <c r="O895" s="2"/>
      <c r="P895" s="2"/>
      <c r="Q895" s="50"/>
      <c r="R895" s="50"/>
      <c r="S895" s="2">
        <f>IFERROR(VLOOKUP(A895,IMPORT_DESISTENCIA!$A$2:$Q2273,14,0),"NÃO")</f>
        <v>0</v>
      </c>
      <c r="T895" s="35"/>
    </row>
    <row r="896" spans="1:20" ht="45" customHeight="1" x14ac:dyDescent="0.25">
      <c r="A896" s="2" t="str">
        <f t="shared" si="1"/>
        <v/>
      </c>
      <c r="B896" s="2"/>
      <c r="C896" s="43"/>
      <c r="D896" s="2"/>
      <c r="E896" s="2"/>
      <c r="F896" s="2"/>
      <c r="G896" s="11"/>
      <c r="H896" s="11"/>
      <c r="I896" s="2"/>
      <c r="J896" s="2"/>
      <c r="K896" s="2"/>
      <c r="L896" s="10"/>
      <c r="M896" s="9"/>
      <c r="N896" s="2"/>
      <c r="O896" s="2"/>
      <c r="P896" s="2"/>
      <c r="Q896" s="50"/>
      <c r="R896" s="50"/>
      <c r="S896" s="2">
        <f>IFERROR(VLOOKUP(A896,IMPORT_DESISTENCIA!$A$2:$Q2273,14,0),"NÃO")</f>
        <v>0</v>
      </c>
      <c r="T896" s="35"/>
    </row>
    <row r="897" spans="1:20" ht="45" customHeight="1" x14ac:dyDescent="0.25">
      <c r="A897" s="2" t="str">
        <f t="shared" si="1"/>
        <v/>
      </c>
      <c r="B897" s="2"/>
      <c r="C897" s="43"/>
      <c r="D897" s="2"/>
      <c r="E897" s="2"/>
      <c r="F897" s="2"/>
      <c r="G897" s="11"/>
      <c r="H897" s="11"/>
      <c r="I897" s="2"/>
      <c r="J897" s="2"/>
      <c r="K897" s="2"/>
      <c r="L897" s="10"/>
      <c r="M897" s="9"/>
      <c r="N897" s="2"/>
      <c r="O897" s="2"/>
      <c r="P897" s="2"/>
      <c r="Q897" s="50"/>
      <c r="R897" s="50"/>
      <c r="S897" s="2">
        <f>IFERROR(VLOOKUP(A897,IMPORT_DESISTENCIA!$A$2:$Q2273,14,0),"NÃO")</f>
        <v>0</v>
      </c>
      <c r="T897" s="35"/>
    </row>
    <row r="898" spans="1:20" ht="45" customHeight="1" x14ac:dyDescent="0.25">
      <c r="A898" s="2" t="str">
        <f t="shared" si="1"/>
        <v/>
      </c>
      <c r="B898" s="2"/>
      <c r="C898" s="43"/>
      <c r="D898" s="2"/>
      <c r="E898" s="2"/>
      <c r="F898" s="2"/>
      <c r="G898" s="11"/>
      <c r="H898" s="11"/>
      <c r="I898" s="2"/>
      <c r="J898" s="2"/>
      <c r="K898" s="2"/>
      <c r="L898" s="10"/>
      <c r="M898" s="9"/>
      <c r="N898" s="2"/>
      <c r="O898" s="2"/>
      <c r="P898" s="2"/>
      <c r="Q898" s="50"/>
      <c r="R898" s="50"/>
      <c r="S898" s="2">
        <f>IFERROR(VLOOKUP(A898,IMPORT_DESISTENCIA!$A$2:$Q2273,14,0),"NÃO")</f>
        <v>0</v>
      </c>
      <c r="T898" s="35"/>
    </row>
    <row r="899" spans="1:20" ht="45" customHeight="1" x14ac:dyDescent="0.25">
      <c r="A899" s="2" t="str">
        <f t="shared" si="1"/>
        <v/>
      </c>
      <c r="B899" s="2"/>
      <c r="C899" s="43"/>
      <c r="D899" s="2"/>
      <c r="E899" s="2"/>
      <c r="F899" s="2"/>
      <c r="G899" s="11"/>
      <c r="H899" s="11"/>
      <c r="I899" s="2"/>
      <c r="J899" s="2"/>
      <c r="K899" s="2"/>
      <c r="L899" s="10"/>
      <c r="M899" s="9"/>
      <c r="N899" s="2"/>
      <c r="O899" s="2"/>
      <c r="P899" s="2"/>
      <c r="Q899" s="50"/>
      <c r="R899" s="50"/>
      <c r="S899" s="2">
        <f>IFERROR(VLOOKUP(A899,IMPORT_DESISTENCIA!$A$2:$Q2273,14,0),"NÃO")</f>
        <v>0</v>
      </c>
      <c r="T899" s="35"/>
    </row>
    <row r="900" spans="1:20" ht="45" customHeight="1" x14ac:dyDescent="0.25">
      <c r="A900" s="2" t="str">
        <f t="shared" si="1"/>
        <v/>
      </c>
      <c r="B900" s="2"/>
      <c r="C900" s="43"/>
      <c r="D900" s="2"/>
      <c r="E900" s="2"/>
      <c r="F900" s="2"/>
      <c r="G900" s="11"/>
      <c r="H900" s="11"/>
      <c r="I900" s="2"/>
      <c r="J900" s="2"/>
      <c r="K900" s="2"/>
      <c r="L900" s="10"/>
      <c r="M900" s="9"/>
      <c r="N900" s="2"/>
      <c r="O900" s="2"/>
      <c r="P900" s="2"/>
      <c r="Q900" s="50"/>
      <c r="R900" s="50"/>
      <c r="S900" s="2">
        <f>IFERROR(VLOOKUP(A900,IMPORT_DESISTENCIA!$A$2:$Q2273,14,0),"NÃO")</f>
        <v>0</v>
      </c>
      <c r="T900" s="35"/>
    </row>
    <row r="901" spans="1:20" ht="45" customHeight="1" x14ac:dyDescent="0.25">
      <c r="A901" s="2" t="str">
        <f t="shared" si="1"/>
        <v/>
      </c>
      <c r="B901" s="2"/>
      <c r="C901" s="43"/>
      <c r="D901" s="2"/>
      <c r="E901" s="2"/>
      <c r="F901" s="2"/>
      <c r="G901" s="11"/>
      <c r="H901" s="11"/>
      <c r="I901" s="2"/>
      <c r="J901" s="2"/>
      <c r="K901" s="2"/>
      <c r="L901" s="10"/>
      <c r="M901" s="9"/>
      <c r="N901" s="2"/>
      <c r="O901" s="2"/>
      <c r="P901" s="2"/>
      <c r="Q901" s="50"/>
      <c r="R901" s="50"/>
      <c r="S901" s="2">
        <f>IFERROR(VLOOKUP(A901,IMPORT_DESISTENCIA!$A$2:$Q2273,14,0),"NÃO")</f>
        <v>0</v>
      </c>
      <c r="T901" s="35"/>
    </row>
    <row r="902" spans="1:20" ht="45" customHeight="1" x14ac:dyDescent="0.25">
      <c r="A902" s="2" t="str">
        <f t="shared" si="1"/>
        <v/>
      </c>
      <c r="B902" s="2"/>
      <c r="C902" s="43"/>
      <c r="D902" s="2"/>
      <c r="E902" s="2"/>
      <c r="F902" s="2"/>
      <c r="G902" s="11"/>
      <c r="H902" s="11"/>
      <c r="I902" s="2"/>
      <c r="J902" s="2"/>
      <c r="K902" s="2"/>
      <c r="L902" s="10"/>
      <c r="M902" s="9"/>
      <c r="N902" s="2"/>
      <c r="O902" s="2"/>
      <c r="P902" s="2"/>
      <c r="Q902" s="50"/>
      <c r="R902" s="50"/>
      <c r="S902" s="2">
        <f>IFERROR(VLOOKUP(A902,IMPORT_DESISTENCIA!$A$2:$Q2273,14,0),"NÃO")</f>
        <v>0</v>
      </c>
      <c r="T902" s="35"/>
    </row>
    <row r="903" spans="1:20" ht="45" customHeight="1" x14ac:dyDescent="0.25">
      <c r="A903" s="2" t="str">
        <f t="shared" si="1"/>
        <v/>
      </c>
      <c r="B903" s="2"/>
      <c r="C903" s="43"/>
      <c r="D903" s="2"/>
      <c r="E903" s="2"/>
      <c r="F903" s="2"/>
      <c r="G903" s="11"/>
      <c r="H903" s="11"/>
      <c r="I903" s="2"/>
      <c r="J903" s="2"/>
      <c r="K903" s="2"/>
      <c r="L903" s="10"/>
      <c r="M903" s="9"/>
      <c r="N903" s="2"/>
      <c r="O903" s="2"/>
      <c r="P903" s="2"/>
      <c r="Q903" s="50"/>
      <c r="R903" s="50"/>
      <c r="S903" s="2">
        <f>IFERROR(VLOOKUP(A903,IMPORT_DESISTENCIA!$A$2:$Q2273,14,0),"NÃO")</f>
        <v>0</v>
      </c>
      <c r="T903" s="35"/>
    </row>
    <row r="904" spans="1:20" ht="45" customHeight="1" x14ac:dyDescent="0.25">
      <c r="A904" s="2" t="str">
        <f t="shared" si="1"/>
        <v/>
      </c>
      <c r="B904" s="2"/>
      <c r="C904" s="43"/>
      <c r="D904" s="2"/>
      <c r="E904" s="2"/>
      <c r="F904" s="2"/>
      <c r="G904" s="11"/>
      <c r="H904" s="11"/>
      <c r="I904" s="2"/>
      <c r="J904" s="2"/>
      <c r="K904" s="2"/>
      <c r="L904" s="10"/>
      <c r="M904" s="9"/>
      <c r="N904" s="2"/>
      <c r="O904" s="2"/>
      <c r="P904" s="2"/>
      <c r="Q904" s="50"/>
      <c r="R904" s="50"/>
      <c r="S904" s="2">
        <f>IFERROR(VLOOKUP(A904,IMPORT_DESISTENCIA!$A$2:$Q2273,14,0),"NÃO")</f>
        <v>0</v>
      </c>
      <c r="T904" s="35"/>
    </row>
    <row r="905" spans="1:20" ht="45" customHeight="1" x14ac:dyDescent="0.25">
      <c r="A905" s="2" t="str">
        <f t="shared" si="1"/>
        <v/>
      </c>
      <c r="B905" s="2"/>
      <c r="C905" s="43"/>
      <c r="D905" s="2"/>
      <c r="E905" s="2"/>
      <c r="F905" s="2"/>
      <c r="G905" s="11"/>
      <c r="H905" s="11"/>
      <c r="I905" s="2"/>
      <c r="J905" s="2"/>
      <c r="K905" s="2"/>
      <c r="L905" s="10"/>
      <c r="M905" s="9"/>
      <c r="N905" s="2"/>
      <c r="O905" s="2"/>
      <c r="P905" s="2"/>
      <c r="Q905" s="50"/>
      <c r="R905" s="50"/>
      <c r="S905" s="2">
        <f>IFERROR(VLOOKUP(A905,IMPORT_DESISTENCIA!$A$2:$Q2273,14,0),"NÃO")</f>
        <v>0</v>
      </c>
      <c r="T905" s="35"/>
    </row>
    <row r="906" spans="1:20" ht="45" customHeight="1" x14ac:dyDescent="0.25">
      <c r="A906" s="2" t="str">
        <f t="shared" si="1"/>
        <v/>
      </c>
      <c r="B906" s="2"/>
      <c r="C906" s="43"/>
      <c r="D906" s="2"/>
      <c r="E906" s="2"/>
      <c r="F906" s="2"/>
      <c r="G906" s="11"/>
      <c r="H906" s="11"/>
      <c r="I906" s="2"/>
      <c r="J906" s="2"/>
      <c r="K906" s="2"/>
      <c r="L906" s="10"/>
      <c r="M906" s="9"/>
      <c r="N906" s="2"/>
      <c r="O906" s="2"/>
      <c r="P906" s="2"/>
      <c r="Q906" s="50"/>
      <c r="R906" s="50"/>
      <c r="S906" s="2">
        <f>IFERROR(VLOOKUP(A906,IMPORT_DESISTENCIA!$A$2:$Q2273,14,0),"NÃO")</f>
        <v>0</v>
      </c>
      <c r="T906" s="35"/>
    </row>
    <row r="907" spans="1:20" ht="45" customHeight="1" x14ac:dyDescent="0.25">
      <c r="A907" s="2" t="str">
        <f t="shared" si="1"/>
        <v/>
      </c>
      <c r="B907" s="2"/>
      <c r="C907" s="43"/>
      <c r="D907" s="2"/>
      <c r="E907" s="2"/>
      <c r="F907" s="2"/>
      <c r="G907" s="11"/>
      <c r="H907" s="11"/>
      <c r="I907" s="2"/>
      <c r="J907" s="2"/>
      <c r="K907" s="2"/>
      <c r="L907" s="10"/>
      <c r="M907" s="9"/>
      <c r="N907" s="2"/>
      <c r="O907" s="2"/>
      <c r="P907" s="2"/>
      <c r="Q907" s="50"/>
      <c r="R907" s="50"/>
      <c r="S907" s="2">
        <f>IFERROR(VLOOKUP(A907,IMPORT_DESISTENCIA!$A$2:$Q2273,14,0),"NÃO")</f>
        <v>0</v>
      </c>
      <c r="T907" s="35"/>
    </row>
    <row r="908" spans="1:20" ht="45" customHeight="1" x14ac:dyDescent="0.25">
      <c r="A908" s="2" t="str">
        <f t="shared" si="1"/>
        <v/>
      </c>
      <c r="B908" s="2"/>
      <c r="C908" s="43"/>
      <c r="D908" s="2"/>
      <c r="E908" s="2"/>
      <c r="F908" s="2"/>
      <c r="G908" s="11"/>
      <c r="H908" s="11"/>
      <c r="I908" s="2"/>
      <c r="J908" s="2"/>
      <c r="K908" s="2"/>
      <c r="L908" s="10"/>
      <c r="M908" s="9"/>
      <c r="N908" s="2"/>
      <c r="O908" s="2"/>
      <c r="P908" s="2"/>
      <c r="Q908" s="50"/>
      <c r="R908" s="50"/>
      <c r="S908" s="2">
        <f>IFERROR(VLOOKUP(A908,IMPORT_DESISTENCIA!$A$2:$Q2273,14,0),"NÃO")</f>
        <v>0</v>
      </c>
      <c r="T908" s="35"/>
    </row>
    <row r="909" spans="1:20" ht="45" customHeight="1" x14ac:dyDescent="0.25">
      <c r="A909" s="2" t="str">
        <f t="shared" si="1"/>
        <v/>
      </c>
      <c r="B909" s="2"/>
      <c r="C909" s="43"/>
      <c r="D909" s="2"/>
      <c r="E909" s="2"/>
      <c r="F909" s="2"/>
      <c r="G909" s="11"/>
      <c r="H909" s="11"/>
      <c r="I909" s="2"/>
      <c r="J909" s="2"/>
      <c r="K909" s="2"/>
      <c r="L909" s="10"/>
      <c r="M909" s="9"/>
      <c r="N909" s="2"/>
      <c r="O909" s="2"/>
      <c r="P909" s="2"/>
      <c r="Q909" s="50"/>
      <c r="R909" s="50"/>
      <c r="S909" s="2">
        <f>IFERROR(VLOOKUP(A909,IMPORT_DESISTENCIA!$A$2:$Q2273,14,0),"NÃO")</f>
        <v>0</v>
      </c>
      <c r="T909" s="35"/>
    </row>
    <row r="910" spans="1:20" ht="45" customHeight="1" x14ac:dyDescent="0.25">
      <c r="A910" s="2" t="str">
        <f t="shared" si="1"/>
        <v/>
      </c>
      <c r="B910" s="2"/>
      <c r="C910" s="43"/>
      <c r="D910" s="2"/>
      <c r="E910" s="2"/>
      <c r="F910" s="2"/>
      <c r="G910" s="11"/>
      <c r="H910" s="11"/>
      <c r="I910" s="2"/>
      <c r="J910" s="2"/>
      <c r="K910" s="2"/>
      <c r="L910" s="10"/>
      <c r="M910" s="9"/>
      <c r="N910" s="2"/>
      <c r="O910" s="2"/>
      <c r="P910" s="2"/>
      <c r="Q910" s="50"/>
      <c r="R910" s="50"/>
      <c r="S910" s="2">
        <f>IFERROR(VLOOKUP(A910,IMPORT_DESISTENCIA!$A$2:$Q2273,14,0),"NÃO")</f>
        <v>0</v>
      </c>
      <c r="T910" s="35"/>
    </row>
    <row r="911" spans="1:20" ht="45" customHeight="1" x14ac:dyDescent="0.25">
      <c r="A911" s="2" t="str">
        <f t="shared" si="1"/>
        <v/>
      </c>
      <c r="B911" s="2"/>
      <c r="C911" s="43"/>
      <c r="D911" s="2"/>
      <c r="E911" s="2"/>
      <c r="F911" s="2"/>
      <c r="G911" s="11"/>
      <c r="H911" s="11"/>
      <c r="I911" s="2"/>
      <c r="J911" s="2"/>
      <c r="K911" s="2"/>
      <c r="L911" s="10"/>
      <c r="M911" s="9"/>
      <c r="N911" s="2"/>
      <c r="O911" s="2"/>
      <c r="P911" s="2"/>
      <c r="Q911" s="50"/>
      <c r="R911" s="50"/>
      <c r="S911" s="2">
        <f>IFERROR(VLOOKUP(A911,IMPORT_DESISTENCIA!$A$2:$Q2273,14,0),"NÃO")</f>
        <v>0</v>
      </c>
      <c r="T911" s="35"/>
    </row>
    <row r="912" spans="1:20" ht="45" customHeight="1" x14ac:dyDescent="0.25">
      <c r="A912" s="2" t="str">
        <f t="shared" si="1"/>
        <v/>
      </c>
      <c r="B912" s="2"/>
      <c r="C912" s="43"/>
      <c r="D912" s="2"/>
      <c r="E912" s="2"/>
      <c r="F912" s="2"/>
      <c r="G912" s="11"/>
      <c r="H912" s="11"/>
      <c r="I912" s="2"/>
      <c r="J912" s="2"/>
      <c r="K912" s="2"/>
      <c r="L912" s="10"/>
      <c r="M912" s="9"/>
      <c r="N912" s="2"/>
      <c r="O912" s="2"/>
      <c r="P912" s="2"/>
      <c r="Q912" s="50"/>
      <c r="R912" s="50"/>
      <c r="S912" s="2">
        <f>IFERROR(VLOOKUP(A912,IMPORT_DESISTENCIA!$A$2:$Q2273,14,0),"NÃO")</f>
        <v>0</v>
      </c>
      <c r="T912" s="35"/>
    </row>
    <row r="913" spans="1:20" ht="45" customHeight="1" x14ac:dyDescent="0.25">
      <c r="A913" s="2" t="str">
        <f t="shared" si="1"/>
        <v/>
      </c>
      <c r="B913" s="2"/>
      <c r="C913" s="43"/>
      <c r="D913" s="2"/>
      <c r="E913" s="2"/>
      <c r="F913" s="2"/>
      <c r="G913" s="11"/>
      <c r="H913" s="11"/>
      <c r="I913" s="2"/>
      <c r="J913" s="2"/>
      <c r="K913" s="2"/>
      <c r="L913" s="10"/>
      <c r="M913" s="9"/>
      <c r="N913" s="2"/>
      <c r="O913" s="2"/>
      <c r="P913" s="2"/>
      <c r="Q913" s="50"/>
      <c r="R913" s="50"/>
      <c r="S913" s="2">
        <f>IFERROR(VLOOKUP(A913,IMPORT_DESISTENCIA!$A$2:$Q2273,14,0),"NÃO")</f>
        <v>0</v>
      </c>
      <c r="T913" s="35"/>
    </row>
    <row r="914" spans="1:20" ht="45" customHeight="1" x14ac:dyDescent="0.25">
      <c r="A914" s="2" t="str">
        <f t="shared" si="1"/>
        <v/>
      </c>
      <c r="B914" s="2"/>
      <c r="C914" s="43"/>
      <c r="D914" s="2"/>
      <c r="E914" s="2"/>
      <c r="F914" s="2"/>
      <c r="G914" s="11"/>
      <c r="H914" s="11"/>
      <c r="I914" s="2"/>
      <c r="J914" s="2"/>
      <c r="K914" s="2"/>
      <c r="L914" s="10"/>
      <c r="M914" s="9"/>
      <c r="N914" s="2"/>
      <c r="O914" s="2"/>
      <c r="P914" s="2"/>
      <c r="Q914" s="50"/>
      <c r="R914" s="50"/>
      <c r="S914" s="2">
        <f>IFERROR(VLOOKUP(A914,IMPORT_DESISTENCIA!$A$2:$Q2273,14,0),"NÃO")</f>
        <v>0</v>
      </c>
      <c r="T914" s="35"/>
    </row>
    <row r="915" spans="1:20" ht="45" customHeight="1" x14ac:dyDescent="0.25">
      <c r="A915" s="2" t="str">
        <f t="shared" si="1"/>
        <v/>
      </c>
      <c r="B915" s="2"/>
      <c r="C915" s="43"/>
      <c r="D915" s="2"/>
      <c r="E915" s="2"/>
      <c r="F915" s="2"/>
      <c r="G915" s="11"/>
      <c r="H915" s="11"/>
      <c r="I915" s="2"/>
      <c r="J915" s="2"/>
      <c r="K915" s="2"/>
      <c r="L915" s="10"/>
      <c r="M915" s="9"/>
      <c r="N915" s="2"/>
      <c r="O915" s="2"/>
      <c r="P915" s="2"/>
      <c r="Q915" s="50"/>
      <c r="R915" s="50"/>
      <c r="S915" s="2">
        <f>IFERROR(VLOOKUP(A915,IMPORT_DESISTENCIA!$A$2:$Q2273,14,0),"NÃO")</f>
        <v>0</v>
      </c>
      <c r="T915" s="35"/>
    </row>
    <row r="916" spans="1:20" ht="45" customHeight="1" x14ac:dyDescent="0.25">
      <c r="A916" s="2" t="str">
        <f t="shared" si="1"/>
        <v/>
      </c>
      <c r="B916" s="2"/>
      <c r="C916" s="43"/>
      <c r="D916" s="2"/>
      <c r="E916" s="2"/>
      <c r="F916" s="2"/>
      <c r="G916" s="11"/>
      <c r="H916" s="11"/>
      <c r="I916" s="2"/>
      <c r="J916" s="2"/>
      <c r="K916" s="2"/>
      <c r="L916" s="10"/>
      <c r="M916" s="9"/>
      <c r="N916" s="2"/>
      <c r="O916" s="2"/>
      <c r="P916" s="2"/>
      <c r="Q916" s="50"/>
      <c r="R916" s="50"/>
      <c r="S916" s="2">
        <f>IFERROR(VLOOKUP(A916,IMPORT_DESISTENCIA!$A$2:$Q2273,14,0),"NÃO")</f>
        <v>0</v>
      </c>
      <c r="T916" s="35"/>
    </row>
    <row r="917" spans="1:20" ht="45" customHeight="1" x14ac:dyDescent="0.25">
      <c r="A917" s="2" t="str">
        <f t="shared" si="1"/>
        <v/>
      </c>
      <c r="B917" s="2"/>
      <c r="C917" s="43"/>
      <c r="D917" s="2"/>
      <c r="E917" s="2"/>
      <c r="F917" s="2"/>
      <c r="G917" s="11"/>
      <c r="H917" s="11"/>
      <c r="I917" s="2"/>
      <c r="J917" s="2"/>
      <c r="K917" s="2"/>
      <c r="L917" s="10"/>
      <c r="M917" s="9"/>
      <c r="N917" s="2"/>
      <c r="O917" s="2"/>
      <c r="P917" s="2"/>
      <c r="Q917" s="50"/>
      <c r="R917" s="50"/>
      <c r="S917" s="2">
        <f>IFERROR(VLOOKUP(A917,IMPORT_DESISTENCIA!$A$2:$Q2273,14,0),"NÃO")</f>
        <v>0</v>
      </c>
      <c r="T917" s="35"/>
    </row>
    <row r="918" spans="1:20" ht="45" customHeight="1" x14ac:dyDescent="0.25">
      <c r="A918" s="2" t="str">
        <f t="shared" si="1"/>
        <v/>
      </c>
      <c r="B918" s="2"/>
      <c r="C918" s="43"/>
      <c r="D918" s="2"/>
      <c r="E918" s="2"/>
      <c r="F918" s="2"/>
      <c r="G918" s="11"/>
      <c r="H918" s="11"/>
      <c r="I918" s="2"/>
      <c r="J918" s="2"/>
      <c r="K918" s="2"/>
      <c r="L918" s="10"/>
      <c r="M918" s="9"/>
      <c r="N918" s="2"/>
      <c r="O918" s="2"/>
      <c r="P918" s="2"/>
      <c r="Q918" s="50"/>
      <c r="R918" s="50"/>
      <c r="S918" s="2">
        <f>IFERROR(VLOOKUP(A918,IMPORT_DESISTENCIA!$A$2:$Q2273,14,0),"NÃO")</f>
        <v>0</v>
      </c>
      <c r="T918" s="35"/>
    </row>
    <row r="919" spans="1:20" ht="45" customHeight="1" x14ac:dyDescent="0.25">
      <c r="A919" s="2" t="str">
        <f t="shared" si="1"/>
        <v/>
      </c>
      <c r="B919" s="2"/>
      <c r="C919" s="43"/>
      <c r="D919" s="2"/>
      <c r="E919" s="2"/>
      <c r="F919" s="2"/>
      <c r="G919" s="11"/>
      <c r="H919" s="11"/>
      <c r="I919" s="2"/>
      <c r="J919" s="2"/>
      <c r="K919" s="2"/>
      <c r="L919" s="10"/>
      <c r="M919" s="9"/>
      <c r="N919" s="2"/>
      <c r="O919" s="2"/>
      <c r="P919" s="2"/>
      <c r="Q919" s="50"/>
      <c r="R919" s="50"/>
      <c r="S919" s="2">
        <f>IFERROR(VLOOKUP(A919,IMPORT_DESISTENCIA!$A$2:$Q2273,14,0),"NÃO")</f>
        <v>0</v>
      </c>
      <c r="T919" s="35"/>
    </row>
    <row r="920" spans="1:20" ht="45" customHeight="1" x14ac:dyDescent="0.25">
      <c r="A920" s="2" t="str">
        <f t="shared" si="1"/>
        <v/>
      </c>
      <c r="B920" s="2"/>
      <c r="C920" s="43"/>
      <c r="D920" s="2"/>
      <c r="E920" s="2"/>
      <c r="F920" s="2"/>
      <c r="G920" s="11"/>
      <c r="H920" s="11"/>
      <c r="I920" s="2"/>
      <c r="J920" s="2"/>
      <c r="K920" s="2"/>
      <c r="L920" s="10"/>
      <c r="M920" s="9"/>
      <c r="N920" s="2"/>
      <c r="O920" s="2"/>
      <c r="P920" s="2"/>
      <c r="Q920" s="50"/>
      <c r="R920" s="50"/>
      <c r="S920" s="2">
        <f>IFERROR(VLOOKUP(A920,IMPORT_DESISTENCIA!$A$2:$Q2273,14,0),"NÃO")</f>
        <v>0</v>
      </c>
      <c r="T920" s="35"/>
    </row>
    <row r="921" spans="1:20" ht="45" customHeight="1" x14ac:dyDescent="0.25">
      <c r="A921" s="2" t="str">
        <f t="shared" si="1"/>
        <v/>
      </c>
      <c r="B921" s="2"/>
      <c r="C921" s="43"/>
      <c r="D921" s="2"/>
      <c r="E921" s="2"/>
      <c r="F921" s="2"/>
      <c r="G921" s="11"/>
      <c r="H921" s="11"/>
      <c r="I921" s="2"/>
      <c r="J921" s="2"/>
      <c r="K921" s="2"/>
      <c r="L921" s="10"/>
      <c r="M921" s="9"/>
      <c r="N921" s="2"/>
      <c r="O921" s="2"/>
      <c r="P921" s="2"/>
      <c r="Q921" s="50"/>
      <c r="R921" s="50"/>
      <c r="S921" s="2">
        <f>IFERROR(VLOOKUP(A921,IMPORT_DESISTENCIA!$A$2:$Q2273,14,0),"NÃO")</f>
        <v>0</v>
      </c>
      <c r="T921" s="35"/>
    </row>
    <row r="922" spans="1:20" ht="45" customHeight="1" x14ac:dyDescent="0.25">
      <c r="A922" s="2" t="str">
        <f t="shared" si="1"/>
        <v/>
      </c>
      <c r="B922" s="2"/>
      <c r="C922" s="43"/>
      <c r="D922" s="2"/>
      <c r="E922" s="2"/>
      <c r="F922" s="2"/>
      <c r="G922" s="11"/>
      <c r="H922" s="11"/>
      <c r="I922" s="2"/>
      <c r="J922" s="2"/>
      <c r="K922" s="2"/>
      <c r="L922" s="10"/>
      <c r="M922" s="9"/>
      <c r="N922" s="2"/>
      <c r="O922" s="2"/>
      <c r="P922" s="2"/>
      <c r="Q922" s="50"/>
      <c r="R922" s="50"/>
      <c r="S922" s="2">
        <f>IFERROR(VLOOKUP(A922,IMPORT_DESISTENCIA!$A$2:$Q2273,14,0),"NÃO")</f>
        <v>0</v>
      </c>
      <c r="T922" s="35"/>
    </row>
    <row r="923" spans="1:20" ht="45" customHeight="1" x14ac:dyDescent="0.25">
      <c r="A923" s="2" t="str">
        <f t="shared" si="1"/>
        <v/>
      </c>
      <c r="B923" s="2"/>
      <c r="C923" s="43"/>
      <c r="D923" s="2"/>
      <c r="E923" s="2"/>
      <c r="F923" s="2"/>
      <c r="G923" s="11"/>
      <c r="H923" s="11"/>
      <c r="I923" s="2"/>
      <c r="J923" s="2"/>
      <c r="K923" s="2"/>
      <c r="L923" s="10"/>
      <c r="M923" s="9"/>
      <c r="N923" s="2"/>
      <c r="O923" s="2"/>
      <c r="P923" s="2"/>
      <c r="Q923" s="50"/>
      <c r="R923" s="50"/>
      <c r="S923" s="2">
        <f>IFERROR(VLOOKUP(A923,IMPORT_DESISTENCIA!$A$2:$Q2273,14,0),"NÃO")</f>
        <v>0</v>
      </c>
      <c r="T923" s="35"/>
    </row>
    <row r="924" spans="1:20" ht="45" customHeight="1" x14ac:dyDescent="0.25">
      <c r="A924" s="2" t="str">
        <f t="shared" si="1"/>
        <v/>
      </c>
      <c r="B924" s="2"/>
      <c r="C924" s="43"/>
      <c r="D924" s="2"/>
      <c r="E924" s="2"/>
      <c r="F924" s="2"/>
      <c r="G924" s="11"/>
      <c r="H924" s="11"/>
      <c r="I924" s="2"/>
      <c r="J924" s="2"/>
      <c r="K924" s="2"/>
      <c r="L924" s="10"/>
      <c r="M924" s="9"/>
      <c r="N924" s="2"/>
      <c r="O924" s="2"/>
      <c r="P924" s="2"/>
      <c r="Q924" s="50"/>
      <c r="R924" s="50"/>
      <c r="S924" s="2">
        <f>IFERROR(VLOOKUP(A924,IMPORT_DESISTENCIA!$A$2:$Q2273,14,0),"NÃO")</f>
        <v>0</v>
      </c>
      <c r="T924" s="35"/>
    </row>
    <row r="925" spans="1:20" ht="45" customHeight="1" x14ac:dyDescent="0.25">
      <c r="A925" s="2" t="str">
        <f t="shared" si="1"/>
        <v/>
      </c>
      <c r="B925" s="2"/>
      <c r="C925" s="43"/>
      <c r="D925" s="2"/>
      <c r="E925" s="2"/>
      <c r="F925" s="2"/>
      <c r="G925" s="11"/>
      <c r="H925" s="11"/>
      <c r="I925" s="2"/>
      <c r="J925" s="2"/>
      <c r="K925" s="2"/>
      <c r="L925" s="10"/>
      <c r="M925" s="9"/>
      <c r="N925" s="2"/>
      <c r="O925" s="2"/>
      <c r="P925" s="2"/>
      <c r="Q925" s="50"/>
      <c r="R925" s="50"/>
      <c r="S925" s="2">
        <f>IFERROR(VLOOKUP(A925,IMPORT_DESISTENCIA!$A$2:$Q2273,14,0),"NÃO")</f>
        <v>0</v>
      </c>
      <c r="T925" s="35"/>
    </row>
    <row r="926" spans="1:20" ht="45" customHeight="1" x14ac:dyDescent="0.25">
      <c r="A926" s="2" t="str">
        <f t="shared" si="1"/>
        <v/>
      </c>
      <c r="B926" s="2"/>
      <c r="C926" s="43"/>
      <c r="D926" s="2"/>
      <c r="E926" s="2"/>
      <c r="F926" s="2"/>
      <c r="G926" s="11"/>
      <c r="H926" s="11"/>
      <c r="I926" s="2"/>
      <c r="J926" s="2"/>
      <c r="K926" s="2"/>
      <c r="L926" s="10"/>
      <c r="M926" s="9"/>
      <c r="N926" s="2"/>
      <c r="O926" s="2"/>
      <c r="P926" s="2"/>
      <c r="Q926" s="50"/>
      <c r="R926" s="50"/>
      <c r="S926" s="2">
        <f>IFERROR(VLOOKUP(A926,IMPORT_DESISTENCIA!$A$2:$Q2273,14,0),"NÃO")</f>
        <v>0</v>
      </c>
      <c r="T926" s="35"/>
    </row>
    <row r="927" spans="1:20" ht="45" customHeight="1" x14ac:dyDescent="0.25">
      <c r="A927" s="2" t="str">
        <f t="shared" si="1"/>
        <v/>
      </c>
      <c r="B927" s="2"/>
      <c r="C927" s="43"/>
      <c r="D927" s="2"/>
      <c r="E927" s="2"/>
      <c r="F927" s="2"/>
      <c r="G927" s="11"/>
      <c r="H927" s="11"/>
      <c r="I927" s="2"/>
      <c r="J927" s="2"/>
      <c r="K927" s="2"/>
      <c r="L927" s="10"/>
      <c r="M927" s="9"/>
      <c r="N927" s="2"/>
      <c r="O927" s="2"/>
      <c r="P927" s="2"/>
      <c r="Q927" s="50"/>
      <c r="R927" s="50"/>
      <c r="S927" s="2">
        <f>IFERROR(VLOOKUP(A927,IMPORT_DESISTENCIA!$A$2:$Q2273,14,0),"NÃO")</f>
        <v>0</v>
      </c>
      <c r="T927" s="35"/>
    </row>
    <row r="928" spans="1:20" ht="45" customHeight="1" x14ac:dyDescent="0.25">
      <c r="A928" s="2" t="str">
        <f t="shared" si="1"/>
        <v/>
      </c>
      <c r="B928" s="2"/>
      <c r="C928" s="43"/>
      <c r="D928" s="2"/>
      <c r="E928" s="2"/>
      <c r="F928" s="2"/>
      <c r="G928" s="11"/>
      <c r="H928" s="11"/>
      <c r="I928" s="2"/>
      <c r="J928" s="2"/>
      <c r="K928" s="2"/>
      <c r="L928" s="10"/>
      <c r="M928" s="9"/>
      <c r="N928" s="2"/>
      <c r="O928" s="2"/>
      <c r="P928" s="2"/>
      <c r="Q928" s="50"/>
      <c r="R928" s="50"/>
      <c r="S928" s="2">
        <f>IFERROR(VLOOKUP(A928,IMPORT_DESISTENCIA!$A$2:$Q2273,14,0),"NÃO")</f>
        <v>0</v>
      </c>
      <c r="T928" s="35"/>
    </row>
    <row r="929" spans="1:20" ht="45" customHeight="1" x14ac:dyDescent="0.25">
      <c r="A929" s="2" t="str">
        <f t="shared" si="1"/>
        <v/>
      </c>
      <c r="B929" s="2"/>
      <c r="C929" s="43"/>
      <c r="D929" s="2"/>
      <c r="E929" s="2"/>
      <c r="F929" s="2"/>
      <c r="G929" s="11"/>
      <c r="H929" s="11"/>
      <c r="I929" s="2"/>
      <c r="J929" s="2"/>
      <c r="K929" s="2"/>
      <c r="L929" s="10"/>
      <c r="M929" s="9"/>
      <c r="N929" s="2"/>
      <c r="O929" s="2"/>
      <c r="P929" s="2"/>
      <c r="Q929" s="50"/>
      <c r="R929" s="50"/>
      <c r="S929" s="2">
        <f>IFERROR(VLOOKUP(A929,IMPORT_DESISTENCIA!$A$2:$Q2273,14,0),"NÃO")</f>
        <v>0</v>
      </c>
      <c r="T929" s="35"/>
    </row>
    <row r="930" spans="1:20" ht="45" customHeight="1" x14ac:dyDescent="0.25">
      <c r="A930" s="2" t="str">
        <f t="shared" si="1"/>
        <v/>
      </c>
      <c r="B930" s="2"/>
      <c r="C930" s="43"/>
      <c r="D930" s="2"/>
      <c r="E930" s="2"/>
      <c r="F930" s="2"/>
      <c r="G930" s="11"/>
      <c r="H930" s="11"/>
      <c r="I930" s="2"/>
      <c r="J930" s="2"/>
      <c r="K930" s="2"/>
      <c r="L930" s="10"/>
      <c r="M930" s="9"/>
      <c r="N930" s="2"/>
      <c r="O930" s="2"/>
      <c r="P930" s="2"/>
      <c r="Q930" s="50"/>
      <c r="R930" s="50"/>
      <c r="S930" s="2">
        <f>IFERROR(VLOOKUP(A930,IMPORT_DESISTENCIA!$A$2:$Q2273,14,0),"NÃO")</f>
        <v>0</v>
      </c>
      <c r="T930" s="35"/>
    </row>
    <row r="931" spans="1:20" ht="45" customHeight="1" x14ac:dyDescent="0.25">
      <c r="A931" s="2" t="str">
        <f t="shared" si="1"/>
        <v/>
      </c>
      <c r="B931" s="2"/>
      <c r="C931" s="43"/>
      <c r="D931" s="2"/>
      <c r="E931" s="2"/>
      <c r="F931" s="2"/>
      <c r="G931" s="11"/>
      <c r="H931" s="11"/>
      <c r="I931" s="2"/>
      <c r="J931" s="2"/>
      <c r="K931" s="2"/>
      <c r="L931" s="10"/>
      <c r="M931" s="9"/>
      <c r="N931" s="2"/>
      <c r="O931" s="2"/>
      <c r="P931" s="2"/>
      <c r="Q931" s="50"/>
      <c r="R931" s="50"/>
      <c r="S931" s="2">
        <f>IFERROR(VLOOKUP(A931,IMPORT_DESISTENCIA!$A$2:$Q2273,14,0),"NÃO")</f>
        <v>0</v>
      </c>
      <c r="T931" s="35"/>
    </row>
    <row r="932" spans="1:20" ht="45" customHeight="1" x14ac:dyDescent="0.25">
      <c r="A932" s="2" t="str">
        <f t="shared" si="1"/>
        <v/>
      </c>
      <c r="B932" s="2"/>
      <c r="C932" s="43"/>
      <c r="D932" s="2"/>
      <c r="E932" s="2"/>
      <c r="F932" s="2"/>
      <c r="G932" s="11"/>
      <c r="H932" s="11"/>
      <c r="I932" s="2"/>
      <c r="J932" s="2"/>
      <c r="K932" s="2"/>
      <c r="L932" s="10"/>
      <c r="M932" s="9"/>
      <c r="N932" s="2"/>
      <c r="O932" s="2"/>
      <c r="P932" s="2"/>
      <c r="Q932" s="50"/>
      <c r="R932" s="50"/>
      <c r="S932" s="2">
        <f>IFERROR(VLOOKUP(A932,IMPORT_DESISTENCIA!$A$2:$Q2273,14,0),"NÃO")</f>
        <v>0</v>
      </c>
      <c r="T932" s="35"/>
    </row>
    <row r="933" spans="1:20" ht="45" customHeight="1" x14ac:dyDescent="0.25">
      <c r="A933" s="2" t="str">
        <f t="shared" si="1"/>
        <v/>
      </c>
      <c r="B933" s="2"/>
      <c r="C933" s="43"/>
      <c r="D933" s="2"/>
      <c r="E933" s="2"/>
      <c r="F933" s="2"/>
      <c r="G933" s="11"/>
      <c r="H933" s="11"/>
      <c r="I933" s="2"/>
      <c r="J933" s="2"/>
      <c r="K933" s="2"/>
      <c r="L933" s="10"/>
      <c r="M933" s="9"/>
      <c r="N933" s="2"/>
      <c r="O933" s="2"/>
      <c r="P933" s="2"/>
      <c r="Q933" s="50"/>
      <c r="R933" s="50"/>
      <c r="S933" s="2">
        <f>IFERROR(VLOOKUP(A933,IMPORT_DESISTENCIA!$A$2:$Q2273,14,0),"NÃO")</f>
        <v>0</v>
      </c>
      <c r="T933" s="35"/>
    </row>
    <row r="934" spans="1:20" ht="45" customHeight="1" x14ac:dyDescent="0.25">
      <c r="A934" s="2" t="str">
        <f t="shared" si="1"/>
        <v/>
      </c>
      <c r="B934" s="2"/>
      <c r="C934" s="43"/>
      <c r="D934" s="2"/>
      <c r="E934" s="2"/>
      <c r="F934" s="2"/>
      <c r="G934" s="11"/>
      <c r="H934" s="11"/>
      <c r="I934" s="2"/>
      <c r="J934" s="2"/>
      <c r="K934" s="2"/>
      <c r="L934" s="10"/>
      <c r="M934" s="9"/>
      <c r="N934" s="2"/>
      <c r="O934" s="2"/>
      <c r="P934" s="2"/>
      <c r="Q934" s="50"/>
      <c r="R934" s="50"/>
      <c r="S934" s="2">
        <f>IFERROR(VLOOKUP(A934,IMPORT_DESISTENCIA!$A$2:$Q2273,14,0),"NÃO")</f>
        <v>0</v>
      </c>
      <c r="T934" s="35"/>
    </row>
    <row r="935" spans="1:20" ht="45" customHeight="1" x14ac:dyDescent="0.25">
      <c r="A935" s="2" t="str">
        <f t="shared" si="1"/>
        <v/>
      </c>
      <c r="B935" s="2"/>
      <c r="C935" s="43"/>
      <c r="D935" s="2"/>
      <c r="E935" s="2"/>
      <c r="F935" s="2"/>
      <c r="G935" s="11"/>
      <c r="H935" s="11"/>
      <c r="I935" s="2"/>
      <c r="J935" s="2"/>
      <c r="K935" s="2"/>
      <c r="L935" s="10"/>
      <c r="M935" s="9"/>
      <c r="N935" s="2"/>
      <c r="O935" s="2"/>
      <c r="P935" s="2"/>
      <c r="Q935" s="50"/>
      <c r="R935" s="50"/>
      <c r="S935" s="2">
        <f>IFERROR(VLOOKUP(A935,IMPORT_DESISTENCIA!$A$2:$Q2273,14,0),"NÃO")</f>
        <v>0</v>
      </c>
      <c r="T935" s="35"/>
    </row>
    <row r="936" spans="1:20" ht="45" customHeight="1" x14ac:dyDescent="0.25">
      <c r="A936" s="2" t="str">
        <f t="shared" si="1"/>
        <v/>
      </c>
      <c r="B936" s="2"/>
      <c r="C936" s="43"/>
      <c r="D936" s="2"/>
      <c r="E936" s="2"/>
      <c r="F936" s="2"/>
      <c r="G936" s="11"/>
      <c r="H936" s="11"/>
      <c r="I936" s="2"/>
      <c r="J936" s="2"/>
      <c r="K936" s="2"/>
      <c r="L936" s="10"/>
      <c r="M936" s="9"/>
      <c r="N936" s="2"/>
      <c r="O936" s="2"/>
      <c r="P936" s="2"/>
      <c r="Q936" s="50"/>
      <c r="R936" s="50"/>
      <c r="S936" s="2">
        <f>IFERROR(VLOOKUP(A936,IMPORT_DESISTENCIA!$A$2:$Q2273,14,0),"NÃO")</f>
        <v>0</v>
      </c>
      <c r="T936" s="35"/>
    </row>
    <row r="937" spans="1:20" ht="45" customHeight="1" x14ac:dyDescent="0.25">
      <c r="A937" s="2" t="str">
        <f t="shared" si="1"/>
        <v/>
      </c>
      <c r="B937" s="2"/>
      <c r="C937" s="43"/>
      <c r="D937" s="2"/>
      <c r="E937" s="2"/>
      <c r="F937" s="2"/>
      <c r="G937" s="11"/>
      <c r="H937" s="11"/>
      <c r="I937" s="2"/>
      <c r="J937" s="2"/>
      <c r="K937" s="2"/>
      <c r="L937" s="10"/>
      <c r="M937" s="9"/>
      <c r="N937" s="2"/>
      <c r="O937" s="2"/>
      <c r="P937" s="2"/>
      <c r="Q937" s="50"/>
      <c r="R937" s="50"/>
      <c r="S937" s="2">
        <f>IFERROR(VLOOKUP(A937,IMPORT_DESISTENCIA!$A$2:$Q2273,14,0),"NÃO")</f>
        <v>0</v>
      </c>
      <c r="T937" s="35"/>
    </row>
    <row r="938" spans="1:20" ht="45" customHeight="1" x14ac:dyDescent="0.25">
      <c r="A938" s="2" t="str">
        <f t="shared" si="1"/>
        <v/>
      </c>
      <c r="B938" s="2"/>
      <c r="C938" s="43"/>
      <c r="D938" s="2"/>
      <c r="E938" s="2"/>
      <c r="F938" s="2"/>
      <c r="G938" s="11"/>
      <c r="H938" s="11"/>
      <c r="I938" s="2"/>
      <c r="J938" s="2"/>
      <c r="K938" s="2"/>
      <c r="L938" s="10"/>
      <c r="M938" s="9"/>
      <c r="N938" s="2"/>
      <c r="O938" s="2"/>
      <c r="P938" s="2"/>
      <c r="Q938" s="50"/>
      <c r="R938" s="50"/>
      <c r="S938" s="2">
        <f>IFERROR(VLOOKUP(A938,IMPORT_DESISTENCIA!$A$2:$Q2273,14,0),"NÃO")</f>
        <v>0</v>
      </c>
      <c r="T938" s="35"/>
    </row>
    <row r="939" spans="1:20" ht="45" customHeight="1" x14ac:dyDescent="0.25">
      <c r="A939" s="2" t="str">
        <f t="shared" si="1"/>
        <v/>
      </c>
      <c r="B939" s="2"/>
      <c r="C939" s="43"/>
      <c r="D939" s="2"/>
      <c r="E939" s="2"/>
      <c r="F939" s="2"/>
      <c r="G939" s="11"/>
      <c r="H939" s="11"/>
      <c r="I939" s="2"/>
      <c r="J939" s="2"/>
      <c r="K939" s="2"/>
      <c r="L939" s="10"/>
      <c r="M939" s="9"/>
      <c r="N939" s="2"/>
      <c r="O939" s="2"/>
      <c r="P939" s="2"/>
      <c r="Q939" s="50"/>
      <c r="R939" s="50"/>
      <c r="S939" s="2">
        <f>IFERROR(VLOOKUP(A939,IMPORT_DESISTENCIA!$A$2:$Q2273,14,0),"NÃO")</f>
        <v>0</v>
      </c>
      <c r="T939" s="35"/>
    </row>
    <row r="940" spans="1:20" ht="45" customHeight="1" x14ac:dyDescent="0.25">
      <c r="A940" s="2" t="str">
        <f t="shared" si="1"/>
        <v/>
      </c>
      <c r="B940" s="2"/>
      <c r="C940" s="43"/>
      <c r="D940" s="2"/>
      <c r="E940" s="2"/>
      <c r="F940" s="2"/>
      <c r="G940" s="11"/>
      <c r="H940" s="11"/>
      <c r="I940" s="2"/>
      <c r="J940" s="2"/>
      <c r="K940" s="2"/>
      <c r="L940" s="10"/>
      <c r="M940" s="9"/>
      <c r="N940" s="2"/>
      <c r="O940" s="2"/>
      <c r="P940" s="2"/>
      <c r="Q940" s="50"/>
      <c r="R940" s="50"/>
      <c r="S940" s="2">
        <f>IFERROR(VLOOKUP(A940,IMPORT_DESISTENCIA!$A$2:$Q2273,14,0),"NÃO")</f>
        <v>0</v>
      </c>
      <c r="T940" s="35"/>
    </row>
    <row r="941" spans="1:20" ht="45" customHeight="1" x14ac:dyDescent="0.25">
      <c r="A941" s="2" t="str">
        <f t="shared" si="1"/>
        <v/>
      </c>
      <c r="B941" s="2"/>
      <c r="C941" s="43"/>
      <c r="D941" s="2"/>
      <c r="E941" s="2"/>
      <c r="F941" s="2"/>
      <c r="G941" s="11"/>
      <c r="H941" s="11"/>
      <c r="I941" s="2"/>
      <c r="J941" s="2"/>
      <c r="K941" s="2"/>
      <c r="L941" s="10"/>
      <c r="M941" s="9"/>
      <c r="N941" s="2"/>
      <c r="O941" s="2"/>
      <c r="P941" s="2"/>
      <c r="Q941" s="50"/>
      <c r="R941" s="50"/>
      <c r="S941" s="2">
        <f>IFERROR(VLOOKUP(A941,IMPORT_DESISTENCIA!$A$2:$Q2273,14,0),"NÃO")</f>
        <v>0</v>
      </c>
      <c r="T941" s="35"/>
    </row>
    <row r="942" spans="1:20" ht="45" customHeight="1" x14ac:dyDescent="0.25">
      <c r="A942" s="2" t="str">
        <f t="shared" si="1"/>
        <v/>
      </c>
      <c r="B942" s="2"/>
      <c r="C942" s="43"/>
      <c r="D942" s="2"/>
      <c r="E942" s="2"/>
      <c r="F942" s="2"/>
      <c r="G942" s="11"/>
      <c r="H942" s="11"/>
      <c r="I942" s="2"/>
      <c r="J942" s="2"/>
      <c r="K942" s="2"/>
      <c r="L942" s="10"/>
      <c r="M942" s="9"/>
      <c r="N942" s="2"/>
      <c r="O942" s="2"/>
      <c r="P942" s="2"/>
      <c r="Q942" s="50"/>
      <c r="R942" s="50"/>
      <c r="S942" s="2">
        <f>IFERROR(VLOOKUP(A942,IMPORT_DESISTENCIA!$A$2:$Q2273,14,0),"NÃO")</f>
        <v>0</v>
      </c>
      <c r="T942" s="35"/>
    </row>
    <row r="943" spans="1:20" ht="45" customHeight="1" x14ac:dyDescent="0.25">
      <c r="A943" s="2" t="str">
        <f t="shared" si="1"/>
        <v/>
      </c>
      <c r="B943" s="2"/>
      <c r="C943" s="43"/>
      <c r="D943" s="2"/>
      <c r="E943" s="2"/>
      <c r="F943" s="2"/>
      <c r="G943" s="11"/>
      <c r="H943" s="11"/>
      <c r="I943" s="2"/>
      <c r="J943" s="2"/>
      <c r="K943" s="2"/>
      <c r="L943" s="10"/>
      <c r="M943" s="9"/>
      <c r="N943" s="2"/>
      <c r="O943" s="2"/>
      <c r="P943" s="2"/>
      <c r="Q943" s="50"/>
      <c r="R943" s="50"/>
      <c r="S943" s="2">
        <f>IFERROR(VLOOKUP(A943,IMPORT_DESISTENCIA!$A$2:$Q2273,14,0),"NÃO")</f>
        <v>0</v>
      </c>
      <c r="T943" s="35"/>
    </row>
    <row r="944" spans="1:20" ht="45" customHeight="1" x14ac:dyDescent="0.25">
      <c r="A944" s="2" t="str">
        <f t="shared" si="1"/>
        <v/>
      </c>
      <c r="B944" s="2"/>
      <c r="C944" s="43"/>
      <c r="D944" s="2"/>
      <c r="E944" s="2"/>
      <c r="F944" s="2"/>
      <c r="G944" s="11"/>
      <c r="H944" s="11"/>
      <c r="I944" s="2"/>
      <c r="J944" s="2"/>
      <c r="K944" s="2"/>
      <c r="L944" s="10"/>
      <c r="M944" s="9"/>
      <c r="N944" s="2"/>
      <c r="O944" s="2"/>
      <c r="P944" s="2"/>
      <c r="Q944" s="50"/>
      <c r="R944" s="50"/>
      <c r="S944" s="2">
        <f>IFERROR(VLOOKUP(A944,IMPORT_DESISTENCIA!$A$2:$Q2273,14,0),"NÃO")</f>
        <v>0</v>
      </c>
      <c r="T944" s="35"/>
    </row>
    <row r="945" spans="1:20" ht="45" customHeight="1" x14ac:dyDescent="0.25">
      <c r="A945" s="2" t="str">
        <f t="shared" si="1"/>
        <v/>
      </c>
      <c r="B945" s="2"/>
      <c r="C945" s="43"/>
      <c r="D945" s="2"/>
      <c r="E945" s="2"/>
      <c r="F945" s="2"/>
      <c r="G945" s="11"/>
      <c r="H945" s="11"/>
      <c r="I945" s="2"/>
      <c r="J945" s="2"/>
      <c r="K945" s="2"/>
      <c r="L945" s="10"/>
      <c r="M945" s="9"/>
      <c r="N945" s="2"/>
      <c r="O945" s="2"/>
      <c r="P945" s="2"/>
      <c r="Q945" s="50"/>
      <c r="R945" s="50"/>
      <c r="S945" s="2">
        <f>IFERROR(VLOOKUP(A945,IMPORT_DESISTENCIA!$A$2:$Q2273,14,0),"NÃO")</f>
        <v>0</v>
      </c>
      <c r="T945" s="35"/>
    </row>
    <row r="946" spans="1:20" ht="45" customHeight="1" x14ac:dyDescent="0.25">
      <c r="A946" s="2" t="str">
        <f t="shared" si="1"/>
        <v/>
      </c>
      <c r="B946" s="2"/>
      <c r="C946" s="43"/>
      <c r="D946" s="2"/>
      <c r="E946" s="2"/>
      <c r="F946" s="2"/>
      <c r="G946" s="11"/>
      <c r="H946" s="11"/>
      <c r="I946" s="2"/>
      <c r="J946" s="2"/>
      <c r="K946" s="2"/>
      <c r="L946" s="10"/>
      <c r="M946" s="9"/>
      <c r="N946" s="2"/>
      <c r="O946" s="2"/>
      <c r="P946" s="2"/>
      <c r="Q946" s="50"/>
      <c r="R946" s="50"/>
      <c r="S946" s="2">
        <f>IFERROR(VLOOKUP(A946,IMPORT_DESISTENCIA!$A$2:$Q2273,14,0),"NÃO")</f>
        <v>0</v>
      </c>
      <c r="T946" s="35"/>
    </row>
    <row r="947" spans="1:20" ht="45" customHeight="1" x14ac:dyDescent="0.25">
      <c r="A947" s="2" t="str">
        <f t="shared" si="1"/>
        <v/>
      </c>
      <c r="B947" s="2"/>
      <c r="C947" s="43"/>
      <c r="D947" s="2"/>
      <c r="E947" s="2"/>
      <c r="F947" s="2"/>
      <c r="G947" s="11"/>
      <c r="H947" s="11"/>
      <c r="I947" s="2"/>
      <c r="J947" s="2"/>
      <c r="K947" s="2"/>
      <c r="L947" s="10"/>
      <c r="M947" s="9"/>
      <c r="N947" s="2"/>
      <c r="O947" s="2"/>
      <c r="P947" s="2"/>
      <c r="Q947" s="50"/>
      <c r="R947" s="50"/>
      <c r="S947" s="2">
        <f>IFERROR(VLOOKUP(A947,IMPORT_DESISTENCIA!$A$2:$Q2273,14,0),"NÃO")</f>
        <v>0</v>
      </c>
      <c r="T947" s="35"/>
    </row>
    <row r="948" spans="1:20" ht="45" customHeight="1" x14ac:dyDescent="0.25">
      <c r="A948" s="2" t="str">
        <f t="shared" si="1"/>
        <v/>
      </c>
      <c r="B948" s="2"/>
      <c r="C948" s="43"/>
      <c r="D948" s="2"/>
      <c r="E948" s="2"/>
      <c r="F948" s="2"/>
      <c r="G948" s="11"/>
      <c r="H948" s="11"/>
      <c r="I948" s="2"/>
      <c r="J948" s="2"/>
      <c r="K948" s="2"/>
      <c r="L948" s="10"/>
      <c r="M948" s="9"/>
      <c r="N948" s="2"/>
      <c r="O948" s="2"/>
      <c r="P948" s="2"/>
      <c r="Q948" s="50"/>
      <c r="R948" s="50"/>
      <c r="S948" s="2">
        <f>IFERROR(VLOOKUP(A948,IMPORT_DESISTENCIA!$A$2:$Q2273,14,0),"NÃO")</f>
        <v>0</v>
      </c>
      <c r="T948" s="35"/>
    </row>
    <row r="949" spans="1:20" ht="45" customHeight="1" x14ac:dyDescent="0.25">
      <c r="A949" s="2" t="str">
        <f t="shared" si="1"/>
        <v/>
      </c>
      <c r="B949" s="2"/>
      <c r="C949" s="43"/>
      <c r="D949" s="2"/>
      <c r="E949" s="2"/>
      <c r="F949" s="2"/>
      <c r="G949" s="11"/>
      <c r="H949" s="11"/>
      <c r="I949" s="2"/>
      <c r="J949" s="2"/>
      <c r="K949" s="2"/>
      <c r="L949" s="10"/>
      <c r="M949" s="9"/>
      <c r="N949" s="2"/>
      <c r="O949" s="2"/>
      <c r="P949" s="2"/>
      <c r="Q949" s="50"/>
      <c r="R949" s="50"/>
      <c r="S949" s="2">
        <f>IFERROR(VLOOKUP(A949,IMPORT_DESISTENCIA!$A$2:$Q2273,14,0),"NÃO")</f>
        <v>0</v>
      </c>
      <c r="T949" s="35"/>
    </row>
    <row r="950" spans="1:20" ht="45" customHeight="1" x14ac:dyDescent="0.25">
      <c r="A950" s="2" t="str">
        <f t="shared" si="1"/>
        <v/>
      </c>
      <c r="B950" s="2"/>
      <c r="C950" s="43"/>
      <c r="D950" s="2"/>
      <c r="E950" s="2"/>
      <c r="F950" s="2"/>
      <c r="G950" s="11"/>
      <c r="H950" s="11"/>
      <c r="I950" s="2"/>
      <c r="J950" s="2"/>
      <c r="K950" s="2"/>
      <c r="L950" s="10"/>
      <c r="M950" s="9"/>
      <c r="N950" s="2"/>
      <c r="O950" s="2"/>
      <c r="P950" s="2"/>
      <c r="Q950" s="50"/>
      <c r="R950" s="50"/>
      <c r="S950" s="2">
        <f>IFERROR(VLOOKUP(A950,IMPORT_DESISTENCIA!$A$2:$Q2273,14,0),"NÃO")</f>
        <v>0</v>
      </c>
      <c r="T950" s="35"/>
    </row>
    <row r="951" spans="1:20" ht="45" customHeight="1" x14ac:dyDescent="0.25">
      <c r="A951" s="2" t="str">
        <f t="shared" si="1"/>
        <v/>
      </c>
      <c r="B951" s="2"/>
      <c r="C951" s="43"/>
      <c r="D951" s="2"/>
      <c r="E951" s="2"/>
      <c r="F951" s="2"/>
      <c r="G951" s="11"/>
      <c r="H951" s="11"/>
      <c r="I951" s="2"/>
      <c r="J951" s="2"/>
      <c r="K951" s="2"/>
      <c r="L951" s="10"/>
      <c r="M951" s="9"/>
      <c r="N951" s="2"/>
      <c r="O951" s="2"/>
      <c r="P951" s="2"/>
      <c r="Q951" s="50"/>
      <c r="R951" s="50"/>
      <c r="S951" s="2">
        <f>IFERROR(VLOOKUP(A951,IMPORT_DESISTENCIA!$A$2:$Q2273,14,0),"NÃO")</f>
        <v>0</v>
      </c>
      <c r="T951" s="35"/>
    </row>
    <row r="952" spans="1:20" ht="45" customHeight="1" x14ac:dyDescent="0.25">
      <c r="A952" s="2" t="str">
        <f t="shared" si="1"/>
        <v/>
      </c>
      <c r="B952" s="2"/>
      <c r="C952" s="43"/>
      <c r="D952" s="2"/>
      <c r="E952" s="2"/>
      <c r="F952" s="2"/>
      <c r="G952" s="11"/>
      <c r="H952" s="11"/>
      <c r="I952" s="2"/>
      <c r="J952" s="2"/>
      <c r="K952" s="2"/>
      <c r="L952" s="10"/>
      <c r="M952" s="9"/>
      <c r="N952" s="2"/>
      <c r="O952" s="2"/>
      <c r="P952" s="2"/>
      <c r="Q952" s="50"/>
      <c r="R952" s="50"/>
      <c r="S952" s="2">
        <f>IFERROR(VLOOKUP(A952,IMPORT_DESISTENCIA!$A$2:$Q2273,14,0),"NÃO")</f>
        <v>0</v>
      </c>
      <c r="T952" s="35"/>
    </row>
    <row r="953" spans="1:20" ht="45" customHeight="1" x14ac:dyDescent="0.25">
      <c r="A953" s="2" t="str">
        <f t="shared" si="1"/>
        <v/>
      </c>
      <c r="B953" s="2"/>
      <c r="C953" s="43"/>
      <c r="D953" s="2"/>
      <c r="E953" s="2"/>
      <c r="F953" s="2"/>
      <c r="G953" s="11"/>
      <c r="H953" s="11"/>
      <c r="I953" s="2"/>
      <c r="J953" s="2"/>
      <c r="K953" s="2"/>
      <c r="L953" s="10"/>
      <c r="M953" s="9"/>
      <c r="N953" s="2"/>
      <c r="O953" s="2"/>
      <c r="P953" s="2"/>
      <c r="Q953" s="50"/>
      <c r="R953" s="50"/>
      <c r="S953" s="2">
        <f>IFERROR(VLOOKUP(A953,IMPORT_DESISTENCIA!$A$2:$Q2273,14,0),"NÃO")</f>
        <v>0</v>
      </c>
      <c r="T953" s="35"/>
    </row>
    <row r="954" spans="1:20" ht="45" customHeight="1" x14ac:dyDescent="0.25">
      <c r="A954" s="2" t="str">
        <f t="shared" si="1"/>
        <v/>
      </c>
      <c r="B954" s="2"/>
      <c r="C954" s="43"/>
      <c r="D954" s="2"/>
      <c r="E954" s="2"/>
      <c r="F954" s="2"/>
      <c r="G954" s="11"/>
      <c r="H954" s="11"/>
      <c r="I954" s="2"/>
      <c r="J954" s="2"/>
      <c r="K954" s="2"/>
      <c r="L954" s="10"/>
      <c r="M954" s="9"/>
      <c r="N954" s="2"/>
      <c r="O954" s="2"/>
      <c r="P954" s="2"/>
      <c r="Q954" s="50"/>
      <c r="R954" s="50"/>
      <c r="S954" s="2">
        <f>IFERROR(VLOOKUP(A954,IMPORT_DESISTENCIA!$A$2:$Q2273,14,0),"NÃO")</f>
        <v>0</v>
      </c>
      <c r="T954" s="35"/>
    </row>
    <row r="955" spans="1:20" ht="45" customHeight="1" x14ac:dyDescent="0.25">
      <c r="A955" s="2" t="str">
        <f t="shared" si="1"/>
        <v/>
      </c>
      <c r="B955" s="2"/>
      <c r="C955" s="43"/>
      <c r="D955" s="2"/>
      <c r="E955" s="2"/>
      <c r="F955" s="2"/>
      <c r="G955" s="11"/>
      <c r="H955" s="11"/>
      <c r="I955" s="2"/>
      <c r="J955" s="2"/>
      <c r="K955" s="2"/>
      <c r="L955" s="10"/>
      <c r="M955" s="9"/>
      <c r="N955" s="2"/>
      <c r="O955" s="2"/>
      <c r="P955" s="2"/>
      <c r="Q955" s="50"/>
      <c r="R955" s="50"/>
      <c r="S955" s="2">
        <f>IFERROR(VLOOKUP(A955,IMPORT_DESISTENCIA!$A$2:$Q2273,14,0),"NÃO")</f>
        <v>0</v>
      </c>
      <c r="T955" s="35"/>
    </row>
    <row r="956" spans="1:20" ht="45" customHeight="1" x14ac:dyDescent="0.25">
      <c r="A956" s="2" t="str">
        <f t="shared" si="1"/>
        <v/>
      </c>
      <c r="B956" s="2"/>
      <c r="C956" s="43"/>
      <c r="D956" s="2"/>
      <c r="E956" s="2"/>
      <c r="F956" s="2"/>
      <c r="G956" s="11"/>
      <c r="H956" s="11"/>
      <c r="I956" s="2"/>
      <c r="J956" s="2"/>
      <c r="K956" s="2"/>
      <c r="L956" s="10"/>
      <c r="M956" s="9"/>
      <c r="N956" s="2"/>
      <c r="O956" s="2"/>
      <c r="P956" s="2"/>
      <c r="Q956" s="50"/>
      <c r="R956" s="50"/>
      <c r="S956" s="2">
        <f>IFERROR(VLOOKUP(A956,IMPORT_DESISTENCIA!$A$2:$Q2273,14,0),"NÃO")</f>
        <v>0</v>
      </c>
      <c r="T956" s="35"/>
    </row>
    <row r="957" spans="1:20" ht="45" customHeight="1" x14ac:dyDescent="0.25">
      <c r="A957" s="2" t="str">
        <f t="shared" si="1"/>
        <v/>
      </c>
      <c r="B957" s="2"/>
      <c r="C957" s="43"/>
      <c r="D957" s="2"/>
      <c r="E957" s="2"/>
      <c r="F957" s="2"/>
      <c r="G957" s="11"/>
      <c r="H957" s="11"/>
      <c r="I957" s="2"/>
      <c r="J957" s="2"/>
      <c r="K957" s="2"/>
      <c r="L957" s="10"/>
      <c r="M957" s="9"/>
      <c r="N957" s="2"/>
      <c r="O957" s="2"/>
      <c r="P957" s="2"/>
      <c r="Q957" s="50"/>
      <c r="R957" s="50"/>
      <c r="S957" s="2">
        <f>IFERROR(VLOOKUP(A957,IMPORT_DESISTENCIA!$A$2:$Q2273,14,0),"NÃO")</f>
        <v>0</v>
      </c>
      <c r="T957" s="35"/>
    </row>
    <row r="958" spans="1:20" ht="45" customHeight="1" x14ac:dyDescent="0.25">
      <c r="A958" s="2" t="str">
        <f t="shared" si="1"/>
        <v/>
      </c>
      <c r="B958" s="2"/>
      <c r="C958" s="43"/>
      <c r="D958" s="2"/>
      <c r="E958" s="2"/>
      <c r="F958" s="2"/>
      <c r="G958" s="11"/>
      <c r="H958" s="11"/>
      <c r="I958" s="2"/>
      <c r="J958" s="2"/>
      <c r="K958" s="2"/>
      <c r="L958" s="10"/>
      <c r="M958" s="9"/>
      <c r="N958" s="2"/>
      <c r="O958" s="2"/>
      <c r="P958" s="2"/>
      <c r="Q958" s="50"/>
      <c r="R958" s="50"/>
      <c r="S958" s="2">
        <f>IFERROR(VLOOKUP(A958,IMPORT_DESISTENCIA!$A$2:$Q2273,14,0),"NÃO")</f>
        <v>0</v>
      </c>
      <c r="T958" s="35"/>
    </row>
    <row r="959" spans="1:20" ht="45" customHeight="1" x14ac:dyDescent="0.25">
      <c r="A959" s="2" t="str">
        <f t="shared" si="1"/>
        <v/>
      </c>
      <c r="B959" s="2"/>
      <c r="C959" s="43"/>
      <c r="D959" s="2"/>
      <c r="E959" s="2"/>
      <c r="F959" s="2"/>
      <c r="G959" s="11"/>
      <c r="H959" s="11"/>
      <c r="I959" s="2"/>
      <c r="J959" s="2"/>
      <c r="K959" s="2"/>
      <c r="L959" s="10"/>
      <c r="M959" s="9"/>
      <c r="N959" s="2"/>
      <c r="O959" s="2"/>
      <c r="P959" s="2"/>
      <c r="Q959" s="50"/>
      <c r="R959" s="50"/>
      <c r="S959" s="2">
        <f>IFERROR(VLOOKUP(A959,IMPORT_DESISTENCIA!$A$2:$Q2273,14,0),"NÃO")</f>
        <v>0</v>
      </c>
      <c r="T959" s="35"/>
    </row>
    <row r="960" spans="1:20" ht="45" customHeight="1" x14ac:dyDescent="0.25">
      <c r="A960" s="2" t="str">
        <f t="shared" si="1"/>
        <v/>
      </c>
      <c r="B960" s="2"/>
      <c r="C960" s="43"/>
      <c r="D960" s="2"/>
      <c r="E960" s="2"/>
      <c r="F960" s="2"/>
      <c r="G960" s="11"/>
      <c r="H960" s="11"/>
      <c r="I960" s="2"/>
      <c r="J960" s="2"/>
      <c r="K960" s="2"/>
      <c r="L960" s="10"/>
      <c r="M960" s="9"/>
      <c r="N960" s="2"/>
      <c r="O960" s="2"/>
      <c r="P960" s="2"/>
      <c r="Q960" s="50"/>
      <c r="R960" s="50"/>
      <c r="S960" s="2">
        <f>IFERROR(VLOOKUP(A960,IMPORT_DESISTENCIA!$A$2:$Q2273,14,0),"NÃO")</f>
        <v>0</v>
      </c>
      <c r="T960" s="35"/>
    </row>
    <row r="961" spans="1:20" ht="45" customHeight="1" x14ac:dyDescent="0.25">
      <c r="A961" s="2" t="str">
        <f t="shared" si="1"/>
        <v/>
      </c>
      <c r="B961" s="2"/>
      <c r="C961" s="43"/>
      <c r="D961" s="2"/>
      <c r="E961" s="2"/>
      <c r="F961" s="2"/>
      <c r="G961" s="11"/>
      <c r="H961" s="11"/>
      <c r="I961" s="2"/>
      <c r="J961" s="2"/>
      <c r="K961" s="2"/>
      <c r="L961" s="10"/>
      <c r="M961" s="9"/>
      <c r="N961" s="2"/>
      <c r="O961" s="2"/>
      <c r="P961" s="2"/>
      <c r="Q961" s="50"/>
      <c r="R961" s="50"/>
      <c r="S961" s="2">
        <f>IFERROR(VLOOKUP(A961,IMPORT_DESISTENCIA!$A$2:$Q2273,14,0),"NÃO")</f>
        <v>0</v>
      </c>
      <c r="T961" s="35"/>
    </row>
    <row r="962" spans="1:20" ht="45" customHeight="1" x14ac:dyDescent="0.25">
      <c r="A962" s="2" t="str">
        <f t="shared" si="1"/>
        <v/>
      </c>
      <c r="B962" s="2"/>
      <c r="C962" s="43"/>
      <c r="D962" s="2"/>
      <c r="E962" s="2"/>
      <c r="F962" s="2"/>
      <c r="G962" s="11"/>
      <c r="H962" s="11"/>
      <c r="I962" s="2"/>
      <c r="J962" s="2"/>
      <c r="K962" s="2"/>
      <c r="L962" s="10"/>
      <c r="M962" s="9"/>
      <c r="N962" s="2"/>
      <c r="O962" s="2"/>
      <c r="P962" s="2"/>
      <c r="Q962" s="50"/>
      <c r="R962" s="50"/>
      <c r="S962" s="2">
        <f>IFERROR(VLOOKUP(A962,IMPORT_DESISTENCIA!$A$2:$Q2273,14,0),"NÃO")</f>
        <v>0</v>
      </c>
      <c r="T962" s="35"/>
    </row>
    <row r="963" spans="1:20" ht="45" customHeight="1" x14ac:dyDescent="0.25">
      <c r="A963" s="2" t="str">
        <f t="shared" si="1"/>
        <v/>
      </c>
      <c r="B963" s="2"/>
      <c r="C963" s="43"/>
      <c r="D963" s="2"/>
      <c r="E963" s="2"/>
      <c r="F963" s="2"/>
      <c r="G963" s="11"/>
      <c r="H963" s="11"/>
      <c r="I963" s="2"/>
      <c r="J963" s="2"/>
      <c r="K963" s="2"/>
      <c r="L963" s="10"/>
      <c r="M963" s="9"/>
      <c r="N963" s="2"/>
      <c r="O963" s="2"/>
      <c r="P963" s="2"/>
      <c r="Q963" s="50"/>
      <c r="R963" s="50"/>
      <c r="S963" s="2">
        <f>IFERROR(VLOOKUP(A963,IMPORT_DESISTENCIA!$A$2:$Q2273,14,0),"NÃO")</f>
        <v>0</v>
      </c>
      <c r="T963" s="35"/>
    </row>
    <row r="964" spans="1:20" ht="45" customHeight="1" x14ac:dyDescent="0.25">
      <c r="A964" s="2" t="str">
        <f t="shared" si="1"/>
        <v/>
      </c>
      <c r="B964" s="2"/>
      <c r="C964" s="43"/>
      <c r="D964" s="2"/>
      <c r="E964" s="2"/>
      <c r="F964" s="2"/>
      <c r="G964" s="11"/>
      <c r="H964" s="11"/>
      <c r="I964" s="2"/>
      <c r="J964" s="2"/>
      <c r="K964" s="2"/>
      <c r="L964" s="10"/>
      <c r="M964" s="9"/>
      <c r="N964" s="2"/>
      <c r="O964" s="2"/>
      <c r="P964" s="2"/>
      <c r="Q964" s="50"/>
      <c r="R964" s="50"/>
      <c r="S964" s="2">
        <f>IFERROR(VLOOKUP(A964,IMPORT_DESISTENCIA!$A$2:$Q2273,14,0),"NÃO")</f>
        <v>0</v>
      </c>
      <c r="T964" s="35"/>
    </row>
    <row r="965" spans="1:20" ht="45" customHeight="1" x14ac:dyDescent="0.25">
      <c r="A965" s="2" t="str">
        <f t="shared" si="1"/>
        <v/>
      </c>
      <c r="B965" s="2"/>
      <c r="C965" s="43"/>
      <c r="D965" s="2"/>
      <c r="E965" s="2"/>
      <c r="F965" s="2"/>
      <c r="G965" s="11"/>
      <c r="H965" s="11"/>
      <c r="I965" s="2"/>
      <c r="J965" s="2"/>
      <c r="K965" s="2"/>
      <c r="L965" s="10"/>
      <c r="M965" s="9"/>
      <c r="N965" s="2"/>
      <c r="O965" s="2"/>
      <c r="P965" s="2"/>
      <c r="Q965" s="50"/>
      <c r="R965" s="50"/>
      <c r="S965" s="2">
        <f>IFERROR(VLOOKUP(A965,IMPORT_DESISTENCIA!$A$2:$Q2273,14,0),"NÃO")</f>
        <v>0</v>
      </c>
      <c r="T965" s="35"/>
    </row>
    <row r="966" spans="1:20" ht="45" customHeight="1" x14ac:dyDescent="0.25">
      <c r="A966" s="2" t="str">
        <f t="shared" si="1"/>
        <v/>
      </c>
      <c r="B966" s="2"/>
      <c r="C966" s="43"/>
      <c r="D966" s="2"/>
      <c r="E966" s="2"/>
      <c r="F966" s="2"/>
      <c r="G966" s="11"/>
      <c r="H966" s="11"/>
      <c r="I966" s="2"/>
      <c r="J966" s="2"/>
      <c r="K966" s="2"/>
      <c r="L966" s="10"/>
      <c r="M966" s="9"/>
      <c r="N966" s="2"/>
      <c r="O966" s="2"/>
      <c r="P966" s="2"/>
      <c r="Q966" s="50"/>
      <c r="R966" s="50"/>
      <c r="S966" s="2">
        <f>IFERROR(VLOOKUP(A966,IMPORT_DESISTENCIA!$A$2:$Q2273,14,0),"NÃO")</f>
        <v>0</v>
      </c>
      <c r="T966" s="35"/>
    </row>
    <row r="967" spans="1:20" ht="45" customHeight="1" x14ac:dyDescent="0.25">
      <c r="A967" s="2" t="str">
        <f t="shared" si="1"/>
        <v/>
      </c>
      <c r="B967" s="2"/>
      <c r="C967" s="43"/>
      <c r="D967" s="2"/>
      <c r="E967" s="2"/>
      <c r="F967" s="2"/>
      <c r="G967" s="11"/>
      <c r="H967" s="11"/>
      <c r="I967" s="2"/>
      <c r="J967" s="2"/>
      <c r="K967" s="2"/>
      <c r="L967" s="10"/>
      <c r="M967" s="9"/>
      <c r="N967" s="2"/>
      <c r="O967" s="2"/>
      <c r="P967" s="2"/>
      <c r="Q967" s="50"/>
      <c r="R967" s="50"/>
      <c r="S967" s="2">
        <f>IFERROR(VLOOKUP(A967,IMPORT_DESISTENCIA!$A$2:$Q2273,14,0),"NÃO")</f>
        <v>0</v>
      </c>
      <c r="T967" s="35"/>
    </row>
    <row r="968" spans="1:20" ht="45" customHeight="1" x14ac:dyDescent="0.25">
      <c r="A968" s="2" t="str">
        <f t="shared" si="1"/>
        <v/>
      </c>
      <c r="B968" s="2"/>
      <c r="C968" s="43"/>
      <c r="D968" s="2"/>
      <c r="E968" s="2"/>
      <c r="F968" s="2"/>
      <c r="G968" s="11"/>
      <c r="H968" s="11"/>
      <c r="I968" s="2"/>
      <c r="J968" s="2"/>
      <c r="K968" s="2"/>
      <c r="L968" s="10"/>
      <c r="M968" s="9"/>
      <c r="N968" s="2"/>
      <c r="O968" s="2"/>
      <c r="P968" s="2"/>
      <c r="Q968" s="50"/>
      <c r="R968" s="50"/>
      <c r="S968" s="2">
        <f>IFERROR(VLOOKUP(A968,IMPORT_DESISTENCIA!$A$2:$Q2273,14,0),"NÃO")</f>
        <v>0</v>
      </c>
      <c r="T968" s="35"/>
    </row>
    <row r="969" spans="1:20" ht="45" customHeight="1" x14ac:dyDescent="0.25">
      <c r="A969" s="2" t="str">
        <f t="shared" si="1"/>
        <v/>
      </c>
      <c r="B969" s="2"/>
      <c r="C969" s="43"/>
      <c r="D969" s="2"/>
      <c r="E969" s="2"/>
      <c r="F969" s="2"/>
      <c r="G969" s="11"/>
      <c r="H969" s="11"/>
      <c r="I969" s="2"/>
      <c r="J969" s="2"/>
      <c r="K969" s="2"/>
      <c r="L969" s="10"/>
      <c r="M969" s="9"/>
      <c r="N969" s="2"/>
      <c r="O969" s="2"/>
      <c r="P969" s="2"/>
      <c r="Q969" s="50"/>
      <c r="R969" s="50"/>
      <c r="S969" s="2">
        <f>IFERROR(VLOOKUP(A969,IMPORT_DESISTENCIA!$A$2:$Q2273,14,0),"NÃO")</f>
        <v>0</v>
      </c>
      <c r="T969" s="35"/>
    </row>
    <row r="970" spans="1:20" ht="45" customHeight="1" x14ac:dyDescent="0.25">
      <c r="A970" s="2" t="str">
        <f t="shared" si="1"/>
        <v/>
      </c>
      <c r="B970" s="2"/>
      <c r="C970" s="43"/>
      <c r="D970" s="2"/>
      <c r="E970" s="2"/>
      <c r="F970" s="2"/>
      <c r="G970" s="11"/>
      <c r="H970" s="11"/>
      <c r="I970" s="2"/>
      <c r="J970" s="2"/>
      <c r="K970" s="2"/>
      <c r="L970" s="10"/>
      <c r="M970" s="9"/>
      <c r="N970" s="2"/>
      <c r="O970" s="2"/>
      <c r="P970" s="2"/>
      <c r="Q970" s="50"/>
      <c r="R970" s="50"/>
      <c r="S970" s="2">
        <f>IFERROR(VLOOKUP(A970,IMPORT_DESISTENCIA!$A$2:$Q2273,14,0),"NÃO")</f>
        <v>0</v>
      </c>
      <c r="T970" s="35"/>
    </row>
    <row r="971" spans="1:20" ht="45" customHeight="1" x14ac:dyDescent="0.25">
      <c r="A971" s="2" t="str">
        <f t="shared" si="1"/>
        <v/>
      </c>
      <c r="B971" s="2"/>
      <c r="C971" s="43"/>
      <c r="D971" s="2"/>
      <c r="E971" s="2"/>
      <c r="F971" s="2"/>
      <c r="G971" s="11"/>
      <c r="H971" s="11"/>
      <c r="I971" s="2"/>
      <c r="J971" s="2"/>
      <c r="K971" s="2"/>
      <c r="L971" s="10"/>
      <c r="M971" s="9"/>
      <c r="N971" s="2"/>
      <c r="O971" s="2"/>
      <c r="P971" s="2"/>
      <c r="Q971" s="50"/>
      <c r="R971" s="50"/>
      <c r="S971" s="2">
        <f>IFERROR(VLOOKUP(A971,IMPORT_DESISTENCIA!$A$2:$Q2273,14,0),"NÃO")</f>
        <v>0</v>
      </c>
      <c r="T971" s="35"/>
    </row>
    <row r="972" spans="1:20" ht="45" customHeight="1" x14ac:dyDescent="0.25">
      <c r="A972" s="2" t="str">
        <f t="shared" si="1"/>
        <v/>
      </c>
      <c r="B972" s="2"/>
      <c r="C972" s="43"/>
      <c r="D972" s="2"/>
      <c r="E972" s="2"/>
      <c r="F972" s="2"/>
      <c r="G972" s="11"/>
      <c r="H972" s="11"/>
      <c r="I972" s="2"/>
      <c r="J972" s="2"/>
      <c r="K972" s="2"/>
      <c r="L972" s="10"/>
      <c r="M972" s="9"/>
      <c r="N972" s="2"/>
      <c r="O972" s="2"/>
      <c r="P972" s="2"/>
      <c r="Q972" s="50"/>
      <c r="R972" s="50"/>
      <c r="S972" s="2">
        <f>IFERROR(VLOOKUP(A972,IMPORT_DESISTENCIA!$A$2:$Q2273,14,0),"NÃO")</f>
        <v>0</v>
      </c>
      <c r="T972" s="35"/>
    </row>
    <row r="973" spans="1:20" ht="45" customHeight="1" x14ac:dyDescent="0.25">
      <c r="A973" s="2" t="str">
        <f t="shared" si="1"/>
        <v/>
      </c>
      <c r="B973" s="2"/>
      <c r="C973" s="43"/>
      <c r="D973" s="2"/>
      <c r="E973" s="2"/>
      <c r="F973" s="2"/>
      <c r="G973" s="11"/>
      <c r="H973" s="11"/>
      <c r="I973" s="2"/>
      <c r="J973" s="2"/>
      <c r="K973" s="2"/>
      <c r="L973" s="10"/>
      <c r="M973" s="9"/>
      <c r="N973" s="2"/>
      <c r="O973" s="2"/>
      <c r="P973" s="2"/>
      <c r="Q973" s="50"/>
      <c r="R973" s="50"/>
      <c r="S973" s="2">
        <f>IFERROR(VLOOKUP(A973,IMPORT_DESISTENCIA!$A$2:$Q2273,14,0),"NÃO")</f>
        <v>0</v>
      </c>
      <c r="T973" s="35"/>
    </row>
    <row r="974" spans="1:20" ht="45" customHeight="1" x14ac:dyDescent="0.25">
      <c r="A974" s="2" t="str">
        <f t="shared" si="1"/>
        <v/>
      </c>
      <c r="B974" s="2"/>
      <c r="C974" s="43"/>
      <c r="D974" s="2"/>
      <c r="E974" s="2"/>
      <c r="F974" s="2"/>
      <c r="G974" s="11"/>
      <c r="H974" s="11"/>
      <c r="I974" s="2"/>
      <c r="J974" s="2"/>
      <c r="K974" s="2"/>
      <c r="L974" s="10"/>
      <c r="M974" s="9"/>
      <c r="N974" s="2"/>
      <c r="O974" s="2"/>
      <c r="P974" s="2"/>
      <c r="Q974" s="50"/>
      <c r="R974" s="50"/>
      <c r="S974" s="2">
        <f>IFERROR(VLOOKUP(A974,IMPORT_DESISTENCIA!$A$2:$Q2273,14,0),"NÃO")</f>
        <v>0</v>
      </c>
      <c r="T974" s="35"/>
    </row>
    <row r="975" spans="1:20" ht="45" customHeight="1" x14ac:dyDescent="0.25">
      <c r="A975" s="2" t="str">
        <f t="shared" si="1"/>
        <v/>
      </c>
      <c r="B975" s="2"/>
      <c r="C975" s="43"/>
      <c r="D975" s="2"/>
      <c r="E975" s="2"/>
      <c r="F975" s="2"/>
      <c r="G975" s="11"/>
      <c r="H975" s="11"/>
      <c r="I975" s="2"/>
      <c r="J975" s="2"/>
      <c r="K975" s="2"/>
      <c r="L975" s="10"/>
      <c r="M975" s="9"/>
      <c r="N975" s="2"/>
      <c r="O975" s="2"/>
      <c r="P975" s="2"/>
      <c r="Q975" s="50"/>
      <c r="R975" s="50"/>
      <c r="S975" s="2">
        <f>IFERROR(VLOOKUP(A975,IMPORT_DESISTENCIA!$A$2:$Q2273,14,0),"NÃO")</f>
        <v>0</v>
      </c>
      <c r="T975" s="35"/>
    </row>
    <row r="976" spans="1:20" ht="45" customHeight="1" x14ac:dyDescent="0.25">
      <c r="A976" s="2" t="str">
        <f t="shared" si="1"/>
        <v/>
      </c>
      <c r="B976" s="2"/>
      <c r="C976" s="43"/>
      <c r="D976" s="2"/>
      <c r="E976" s="2"/>
      <c r="F976" s="2"/>
      <c r="G976" s="11"/>
      <c r="H976" s="11"/>
      <c r="I976" s="2"/>
      <c r="J976" s="2"/>
      <c r="K976" s="2"/>
      <c r="L976" s="10"/>
      <c r="M976" s="9"/>
      <c r="N976" s="2"/>
      <c r="O976" s="2"/>
      <c r="P976" s="2"/>
      <c r="Q976" s="50"/>
      <c r="R976" s="50"/>
      <c r="S976" s="2">
        <f>IFERROR(VLOOKUP(A976,IMPORT_DESISTENCIA!$A$2:$Q2273,14,0),"NÃO")</f>
        <v>0</v>
      </c>
      <c r="T976" s="35"/>
    </row>
    <row r="977" spans="1:20" ht="45" customHeight="1" x14ac:dyDescent="0.25">
      <c r="A977" s="2" t="str">
        <f t="shared" si="1"/>
        <v/>
      </c>
      <c r="B977" s="2"/>
      <c r="C977" s="43"/>
      <c r="D977" s="2"/>
      <c r="E977" s="2"/>
      <c r="F977" s="2"/>
      <c r="G977" s="11"/>
      <c r="H977" s="11"/>
      <c r="I977" s="2"/>
      <c r="J977" s="2"/>
      <c r="K977" s="2"/>
      <c r="L977" s="10"/>
      <c r="M977" s="9"/>
      <c r="N977" s="2"/>
      <c r="O977" s="2"/>
      <c r="P977" s="2"/>
      <c r="Q977" s="50"/>
      <c r="R977" s="50"/>
      <c r="S977" s="2">
        <f>IFERROR(VLOOKUP(A977,IMPORT_DESISTENCIA!$A$2:$Q2273,14,0),"NÃO")</f>
        <v>0</v>
      </c>
      <c r="T977" s="35"/>
    </row>
    <row r="978" spans="1:20" ht="45" customHeight="1" x14ac:dyDescent="0.25">
      <c r="A978" s="2" t="str">
        <f t="shared" si="1"/>
        <v/>
      </c>
      <c r="B978" s="2"/>
      <c r="C978" s="43"/>
      <c r="D978" s="2"/>
      <c r="E978" s="2"/>
      <c r="F978" s="2"/>
      <c r="G978" s="11"/>
      <c r="H978" s="11"/>
      <c r="I978" s="2"/>
      <c r="J978" s="2"/>
      <c r="K978" s="2"/>
      <c r="L978" s="10"/>
      <c r="M978" s="9"/>
      <c r="N978" s="2"/>
      <c r="O978" s="2"/>
      <c r="P978" s="2"/>
      <c r="Q978" s="50"/>
      <c r="R978" s="50"/>
      <c r="S978" s="2">
        <f>IFERROR(VLOOKUP(A978,IMPORT_DESISTENCIA!$A$2:$Q2273,14,0),"NÃO")</f>
        <v>0</v>
      </c>
      <c r="T978" s="35"/>
    </row>
    <row r="979" spans="1:20" ht="45" customHeight="1" x14ac:dyDescent="0.25">
      <c r="A979" s="2" t="str">
        <f t="shared" si="1"/>
        <v/>
      </c>
      <c r="B979" s="2"/>
      <c r="C979" s="43"/>
      <c r="D979" s="2"/>
      <c r="E979" s="2"/>
      <c r="F979" s="2"/>
      <c r="G979" s="11"/>
      <c r="H979" s="11"/>
      <c r="I979" s="2"/>
      <c r="J979" s="2"/>
      <c r="K979" s="2"/>
      <c r="L979" s="10"/>
      <c r="M979" s="9"/>
      <c r="N979" s="2"/>
      <c r="O979" s="2"/>
      <c r="P979" s="2"/>
      <c r="Q979" s="50"/>
      <c r="R979" s="50"/>
      <c r="S979" s="2">
        <f>IFERROR(VLOOKUP(A979,IMPORT_DESISTENCIA!$A$2:$Q2273,14,0),"NÃO")</f>
        <v>0</v>
      </c>
      <c r="T979" s="35"/>
    </row>
    <row r="980" spans="1:20" ht="45" customHeight="1" x14ac:dyDescent="0.25">
      <c r="A980" s="2" t="str">
        <f t="shared" si="1"/>
        <v/>
      </c>
      <c r="B980" s="2"/>
      <c r="C980" s="43"/>
      <c r="D980" s="2"/>
      <c r="E980" s="2"/>
      <c r="F980" s="2"/>
      <c r="G980" s="11"/>
      <c r="H980" s="11"/>
      <c r="I980" s="2"/>
      <c r="J980" s="2"/>
      <c r="K980" s="2"/>
      <c r="L980" s="10"/>
      <c r="M980" s="9"/>
      <c r="N980" s="2"/>
      <c r="O980" s="2"/>
      <c r="P980" s="2"/>
      <c r="Q980" s="50"/>
      <c r="R980" s="50"/>
      <c r="S980" s="2">
        <f>IFERROR(VLOOKUP(A980,IMPORT_DESISTENCIA!$A$2:$Q2273,14,0),"NÃO")</f>
        <v>0</v>
      </c>
      <c r="T980" s="35"/>
    </row>
    <row r="981" spans="1:20" ht="45" customHeight="1" x14ac:dyDescent="0.25">
      <c r="A981" s="2" t="str">
        <f t="shared" si="1"/>
        <v/>
      </c>
      <c r="B981" s="2"/>
      <c r="C981" s="43"/>
      <c r="D981" s="2"/>
      <c r="E981" s="2"/>
      <c r="F981" s="2"/>
      <c r="G981" s="11"/>
      <c r="H981" s="11"/>
      <c r="I981" s="2"/>
      <c r="J981" s="2"/>
      <c r="K981" s="2"/>
      <c r="L981" s="10"/>
      <c r="M981" s="9"/>
      <c r="N981" s="2"/>
      <c r="O981" s="2"/>
      <c r="P981" s="2"/>
      <c r="Q981" s="50"/>
      <c r="R981" s="50"/>
      <c r="S981" s="2">
        <f>IFERROR(VLOOKUP(A981,IMPORT_DESISTENCIA!$A$2:$Q2273,14,0),"NÃO")</f>
        <v>0</v>
      </c>
      <c r="T981" s="35"/>
    </row>
    <row r="982" spans="1:20" ht="45" customHeight="1" x14ac:dyDescent="0.25">
      <c r="A982" s="2" t="str">
        <f t="shared" si="1"/>
        <v/>
      </c>
      <c r="B982" s="2"/>
      <c r="C982" s="43"/>
      <c r="D982" s="2"/>
      <c r="E982" s="2"/>
      <c r="F982" s="2"/>
      <c r="G982" s="11"/>
      <c r="H982" s="11"/>
      <c r="I982" s="2"/>
      <c r="J982" s="2"/>
      <c r="K982" s="2"/>
      <c r="L982" s="10"/>
      <c r="M982" s="9"/>
      <c r="N982" s="2"/>
      <c r="O982" s="2"/>
      <c r="P982" s="2"/>
      <c r="Q982" s="50"/>
      <c r="R982" s="50"/>
      <c r="S982" s="2">
        <f>IFERROR(VLOOKUP(A982,IMPORT_DESISTENCIA!$A$2:$Q2273,14,0),"NÃO")</f>
        <v>0</v>
      </c>
      <c r="T982" s="35"/>
    </row>
    <row r="983" spans="1:20" ht="45" customHeight="1" x14ac:dyDescent="0.25">
      <c r="A983" s="2" t="str">
        <f t="shared" si="1"/>
        <v/>
      </c>
      <c r="B983" s="2"/>
      <c r="C983" s="43"/>
      <c r="D983" s="2"/>
      <c r="E983" s="2"/>
      <c r="F983" s="2"/>
      <c r="G983" s="11"/>
      <c r="H983" s="11"/>
      <c r="I983" s="2"/>
      <c r="J983" s="2"/>
      <c r="K983" s="2"/>
      <c r="L983" s="10"/>
      <c r="M983" s="9"/>
      <c r="N983" s="2"/>
      <c r="O983" s="2"/>
      <c r="P983" s="2"/>
      <c r="Q983" s="50"/>
      <c r="R983" s="50"/>
      <c r="S983" s="2">
        <f>IFERROR(VLOOKUP(A983,IMPORT_DESISTENCIA!$A$2:$Q2273,14,0),"NÃO")</f>
        <v>0</v>
      </c>
      <c r="T983" s="35"/>
    </row>
    <row r="984" spans="1:20" ht="45" customHeight="1" x14ac:dyDescent="0.25">
      <c r="A984" s="2" t="str">
        <f t="shared" si="1"/>
        <v/>
      </c>
      <c r="B984" s="2"/>
      <c r="C984" s="43"/>
      <c r="D984" s="2"/>
      <c r="E984" s="2"/>
      <c r="F984" s="2"/>
      <c r="G984" s="11"/>
      <c r="H984" s="11"/>
      <c r="I984" s="2"/>
      <c r="J984" s="2"/>
      <c r="K984" s="2"/>
      <c r="L984" s="10"/>
      <c r="M984" s="9"/>
      <c r="N984" s="2"/>
      <c r="O984" s="2"/>
      <c r="P984" s="2"/>
      <c r="Q984" s="50"/>
      <c r="R984" s="50"/>
      <c r="S984" s="2">
        <f>IFERROR(VLOOKUP(A984,IMPORT_DESISTENCIA!$A$2:$Q2273,14,0),"NÃO")</f>
        <v>0</v>
      </c>
      <c r="T984" s="35"/>
    </row>
    <row r="985" spans="1:20" ht="45" customHeight="1" x14ac:dyDescent="0.25">
      <c r="A985" s="2" t="str">
        <f t="shared" si="1"/>
        <v/>
      </c>
      <c r="B985" s="2"/>
      <c r="C985" s="43"/>
      <c r="D985" s="2"/>
      <c r="E985" s="2"/>
      <c r="F985" s="2"/>
      <c r="G985" s="11"/>
      <c r="H985" s="11"/>
      <c r="I985" s="2"/>
      <c r="J985" s="2"/>
      <c r="K985" s="2"/>
      <c r="L985" s="10"/>
      <c r="M985" s="9"/>
      <c r="N985" s="2"/>
      <c r="O985" s="2"/>
      <c r="P985" s="2"/>
      <c r="Q985" s="50"/>
      <c r="R985" s="50"/>
      <c r="S985" s="2">
        <f>IFERROR(VLOOKUP(A985,IMPORT_DESISTENCIA!$A$2:$Q2273,14,0),"NÃO")</f>
        <v>0</v>
      </c>
      <c r="T985" s="35"/>
    </row>
    <row r="986" spans="1:20" ht="45" customHeight="1" x14ac:dyDescent="0.25">
      <c r="A986" s="2" t="str">
        <f t="shared" si="1"/>
        <v/>
      </c>
      <c r="B986" s="2"/>
      <c r="C986" s="43"/>
      <c r="D986" s="2"/>
      <c r="E986" s="2"/>
      <c r="F986" s="2"/>
      <c r="G986" s="11"/>
      <c r="H986" s="11"/>
      <c r="I986" s="2"/>
      <c r="J986" s="2"/>
      <c r="K986" s="2"/>
      <c r="L986" s="10"/>
      <c r="M986" s="9"/>
      <c r="N986" s="2"/>
      <c r="O986" s="2"/>
      <c r="P986" s="2"/>
      <c r="Q986" s="50"/>
      <c r="R986" s="50"/>
      <c r="S986" s="2">
        <f>IFERROR(VLOOKUP(A986,IMPORT_DESISTENCIA!$A$2:$Q2273,14,0),"NÃO")</f>
        <v>0</v>
      </c>
      <c r="T986" s="35"/>
    </row>
    <row r="987" spans="1:20" ht="45" customHeight="1" x14ac:dyDescent="0.25">
      <c r="A987" s="2" t="str">
        <f t="shared" si="1"/>
        <v/>
      </c>
      <c r="B987" s="2"/>
      <c r="C987" s="43"/>
      <c r="D987" s="2"/>
      <c r="E987" s="2"/>
      <c r="F987" s="2"/>
      <c r="G987" s="11"/>
      <c r="H987" s="11"/>
      <c r="I987" s="2"/>
      <c r="J987" s="2"/>
      <c r="K987" s="2"/>
      <c r="L987" s="10"/>
      <c r="M987" s="9"/>
      <c r="N987" s="2"/>
      <c r="O987" s="2"/>
      <c r="P987" s="2"/>
      <c r="Q987" s="50"/>
      <c r="R987" s="50"/>
      <c r="S987" s="2">
        <f>IFERROR(VLOOKUP(A987,IMPORT_DESISTENCIA!$A$2:$Q2273,14,0),"NÃO")</f>
        <v>0</v>
      </c>
      <c r="T987" s="35"/>
    </row>
    <row r="988" spans="1:20" ht="45" customHeight="1" x14ac:dyDescent="0.25">
      <c r="A988" s="2" t="str">
        <f t="shared" si="1"/>
        <v/>
      </c>
      <c r="B988" s="2"/>
      <c r="C988" s="43"/>
      <c r="D988" s="2"/>
      <c r="E988" s="2"/>
      <c r="F988" s="2"/>
      <c r="G988" s="11"/>
      <c r="H988" s="11"/>
      <c r="I988" s="2"/>
      <c r="J988" s="2"/>
      <c r="K988" s="2"/>
      <c r="L988" s="10"/>
      <c r="M988" s="9"/>
      <c r="N988" s="2"/>
      <c r="O988" s="2"/>
      <c r="P988" s="2"/>
      <c r="Q988" s="50"/>
      <c r="R988" s="50"/>
      <c r="S988" s="2">
        <f>IFERROR(VLOOKUP(A988,IMPORT_DESISTENCIA!$A$2:$Q2273,14,0),"NÃO")</f>
        <v>0</v>
      </c>
      <c r="T988" s="35"/>
    </row>
    <row r="989" spans="1:20" ht="45" customHeight="1" x14ac:dyDescent="0.25">
      <c r="A989" s="2" t="str">
        <f t="shared" si="1"/>
        <v/>
      </c>
      <c r="B989" s="2"/>
      <c r="C989" s="43"/>
      <c r="D989" s="2"/>
      <c r="E989" s="2"/>
      <c r="F989" s="2"/>
      <c r="G989" s="11"/>
      <c r="H989" s="11"/>
      <c r="I989" s="2"/>
      <c r="J989" s="2"/>
      <c r="K989" s="2"/>
      <c r="L989" s="10"/>
      <c r="M989" s="9"/>
      <c r="N989" s="2"/>
      <c r="O989" s="2"/>
      <c r="P989" s="2"/>
      <c r="Q989" s="50"/>
      <c r="R989" s="50"/>
      <c r="S989" s="2">
        <f>IFERROR(VLOOKUP(A989,IMPORT_DESISTENCIA!$A$2:$Q2273,14,0),"NÃO")</f>
        <v>0</v>
      </c>
      <c r="T989" s="35"/>
    </row>
    <row r="990" spans="1:20" ht="45" customHeight="1" x14ac:dyDescent="0.25">
      <c r="A990" s="2" t="str">
        <f t="shared" si="1"/>
        <v/>
      </c>
      <c r="B990" s="2"/>
      <c r="C990" s="43"/>
      <c r="D990" s="2"/>
      <c r="E990" s="2"/>
      <c r="F990" s="2"/>
      <c r="G990" s="11"/>
      <c r="H990" s="11"/>
      <c r="I990" s="2"/>
      <c r="J990" s="2"/>
      <c r="K990" s="2"/>
      <c r="L990" s="10"/>
      <c r="M990" s="9"/>
      <c r="N990" s="2"/>
      <c r="O990" s="2"/>
      <c r="P990" s="2"/>
      <c r="Q990" s="50"/>
      <c r="R990" s="50"/>
      <c r="S990" s="2">
        <f>IFERROR(VLOOKUP(A990,IMPORT_DESISTENCIA!$A$2:$Q2273,14,0),"NÃO")</f>
        <v>0</v>
      </c>
      <c r="T990" s="35"/>
    </row>
    <row r="991" spans="1:20" ht="45" customHeight="1" x14ac:dyDescent="0.25">
      <c r="A991" s="2" t="str">
        <f t="shared" si="1"/>
        <v/>
      </c>
      <c r="B991" s="2"/>
      <c r="C991" s="43"/>
      <c r="D991" s="2"/>
      <c r="E991" s="2"/>
      <c r="F991" s="2"/>
      <c r="G991" s="11"/>
      <c r="H991" s="11"/>
      <c r="I991" s="2"/>
      <c r="J991" s="2"/>
      <c r="K991" s="2"/>
      <c r="L991" s="10"/>
      <c r="M991" s="9"/>
      <c r="N991" s="2"/>
      <c r="O991" s="2"/>
      <c r="P991" s="2"/>
      <c r="Q991" s="50"/>
      <c r="R991" s="50"/>
      <c r="S991" s="2">
        <f>IFERROR(VLOOKUP(A991,IMPORT_DESISTENCIA!$A$2:$Q2273,14,0),"NÃO")</f>
        <v>0</v>
      </c>
      <c r="T991" s="35"/>
    </row>
    <row r="992" spans="1:20" ht="45" customHeight="1" x14ac:dyDescent="0.25">
      <c r="A992" s="2" t="str">
        <f t="shared" si="1"/>
        <v/>
      </c>
      <c r="B992" s="2"/>
      <c r="C992" s="43"/>
      <c r="D992" s="2"/>
      <c r="E992" s="2"/>
      <c r="F992" s="2"/>
      <c r="G992" s="11"/>
      <c r="H992" s="11"/>
      <c r="I992" s="2"/>
      <c r="J992" s="2"/>
      <c r="K992" s="2"/>
      <c r="L992" s="10"/>
      <c r="M992" s="9"/>
      <c r="N992" s="2"/>
      <c r="O992" s="2"/>
      <c r="P992" s="2"/>
      <c r="Q992" s="50"/>
      <c r="R992" s="50"/>
      <c r="S992" s="2">
        <f>IFERROR(VLOOKUP(A992,IMPORT_DESISTENCIA!$A$2:$Q2273,14,0),"NÃO")</f>
        <v>0</v>
      </c>
      <c r="T992" s="35"/>
    </row>
    <row r="993" spans="1:20" ht="45" customHeight="1" x14ac:dyDescent="0.25">
      <c r="A993" s="2" t="str">
        <f t="shared" si="1"/>
        <v/>
      </c>
      <c r="B993" s="2"/>
      <c r="C993" s="43"/>
      <c r="D993" s="2"/>
      <c r="E993" s="2"/>
      <c r="F993" s="2"/>
      <c r="G993" s="11"/>
      <c r="H993" s="11"/>
      <c r="I993" s="2"/>
      <c r="J993" s="2"/>
      <c r="K993" s="2"/>
      <c r="L993" s="10"/>
      <c r="M993" s="9"/>
      <c r="N993" s="2"/>
      <c r="O993" s="2"/>
      <c r="P993" s="2"/>
      <c r="Q993" s="50"/>
      <c r="R993" s="50"/>
      <c r="S993" s="2">
        <f>IFERROR(VLOOKUP(A993,IMPORT_DESISTENCIA!$A$2:$Q2273,14,0),"NÃO")</f>
        <v>0</v>
      </c>
      <c r="T993" s="35"/>
    </row>
    <row r="994" spans="1:20" ht="45" customHeight="1" x14ac:dyDescent="0.25">
      <c r="A994" s="2" t="str">
        <f t="shared" si="1"/>
        <v/>
      </c>
      <c r="B994" s="2"/>
      <c r="C994" s="43"/>
      <c r="D994" s="2"/>
      <c r="E994" s="2"/>
      <c r="F994" s="2"/>
      <c r="G994" s="11"/>
      <c r="H994" s="11"/>
      <c r="I994" s="2"/>
      <c r="J994" s="2"/>
      <c r="K994" s="2"/>
      <c r="L994" s="10"/>
      <c r="M994" s="9"/>
      <c r="N994" s="2"/>
      <c r="O994" s="2"/>
      <c r="P994" s="2"/>
      <c r="Q994" s="50"/>
      <c r="R994" s="50"/>
      <c r="S994" s="2">
        <f>IFERROR(VLOOKUP(A994,IMPORT_DESISTENCIA!$A$2:$Q2273,14,0),"NÃO")</f>
        <v>0</v>
      </c>
      <c r="T994" s="35"/>
    </row>
    <row r="995" spans="1:20" ht="45" customHeight="1" x14ac:dyDescent="0.25">
      <c r="A995" s="2" t="str">
        <f t="shared" si="1"/>
        <v/>
      </c>
      <c r="B995" s="2"/>
      <c r="C995" s="43"/>
      <c r="D995" s="2"/>
      <c r="E995" s="2"/>
      <c r="F995" s="2"/>
      <c r="G995" s="11"/>
      <c r="H995" s="11"/>
      <c r="I995" s="2"/>
      <c r="J995" s="2"/>
      <c r="K995" s="2"/>
      <c r="L995" s="10"/>
      <c r="M995" s="9"/>
      <c r="N995" s="2"/>
      <c r="O995" s="2"/>
      <c r="P995" s="2"/>
      <c r="Q995" s="50"/>
      <c r="R995" s="50"/>
      <c r="S995" s="2">
        <f>IFERROR(VLOOKUP(A995,IMPORT_DESISTENCIA!$A$2:$Q2273,14,0),"NÃO")</f>
        <v>0</v>
      </c>
      <c r="T995" s="35"/>
    </row>
    <row r="996" spans="1:20" ht="45" customHeight="1" x14ac:dyDescent="0.25">
      <c r="A996" s="2" t="str">
        <f t="shared" si="1"/>
        <v/>
      </c>
      <c r="B996" s="2"/>
      <c r="C996" s="43"/>
      <c r="D996" s="2"/>
      <c r="E996" s="2"/>
      <c r="F996" s="2"/>
      <c r="G996" s="11"/>
      <c r="H996" s="11"/>
      <c r="I996" s="2"/>
      <c r="J996" s="2"/>
      <c r="K996" s="2"/>
      <c r="L996" s="10"/>
      <c r="M996" s="9"/>
      <c r="N996" s="2"/>
      <c r="O996" s="2"/>
      <c r="P996" s="2"/>
      <c r="Q996" s="50"/>
      <c r="R996" s="50"/>
      <c r="S996" s="2">
        <f>IFERROR(VLOOKUP(A996,IMPORT_DESISTENCIA!$A$2:$Q2273,14,0),"NÃO")</f>
        <v>0</v>
      </c>
      <c r="T996" s="35"/>
    </row>
    <row r="997" spans="1:20" ht="45" customHeight="1" x14ac:dyDescent="0.25">
      <c r="A997" s="2" t="str">
        <f t="shared" si="1"/>
        <v/>
      </c>
      <c r="B997" s="2"/>
      <c r="C997" s="43"/>
      <c r="D997" s="2"/>
      <c r="E997" s="2"/>
      <c r="F997" s="2"/>
      <c r="G997" s="11"/>
      <c r="H997" s="11"/>
      <c r="I997" s="2"/>
      <c r="J997" s="2"/>
      <c r="K997" s="2"/>
      <c r="L997" s="10"/>
      <c r="M997" s="9"/>
      <c r="N997" s="2"/>
      <c r="O997" s="2"/>
      <c r="P997" s="2"/>
      <c r="Q997" s="50"/>
      <c r="R997" s="50"/>
      <c r="S997" s="2">
        <f>IFERROR(VLOOKUP(A997,IMPORT_DESISTENCIA!$A$2:$Q2273,14,0),"NÃO")</f>
        <v>0</v>
      </c>
      <c r="T997" s="35"/>
    </row>
    <row r="998" spans="1:20" ht="45" customHeight="1" x14ac:dyDescent="0.25">
      <c r="A998" s="2" t="str">
        <f t="shared" si="1"/>
        <v/>
      </c>
      <c r="B998" s="2"/>
      <c r="C998" s="43"/>
      <c r="D998" s="2"/>
      <c r="E998" s="2"/>
      <c r="F998" s="2"/>
      <c r="G998" s="11"/>
      <c r="H998" s="11"/>
      <c r="I998" s="2"/>
      <c r="J998" s="2"/>
      <c r="K998" s="2"/>
      <c r="L998" s="10"/>
      <c r="M998" s="9"/>
      <c r="N998" s="2"/>
      <c r="O998" s="2"/>
      <c r="P998" s="2"/>
      <c r="Q998" s="50"/>
      <c r="R998" s="50"/>
      <c r="S998" s="2">
        <f>IFERROR(VLOOKUP(A998,IMPORT_DESISTENCIA!$A$2:$Q2273,14,0),"NÃO")</f>
        <v>0</v>
      </c>
      <c r="T998" s="35"/>
    </row>
    <row r="999" spans="1:20" ht="45" customHeight="1" x14ac:dyDescent="0.25">
      <c r="A999" s="2" t="str">
        <f t="shared" si="1"/>
        <v/>
      </c>
      <c r="B999" s="2"/>
      <c r="C999" s="43"/>
      <c r="D999" s="2"/>
      <c r="E999" s="2"/>
      <c r="F999" s="2"/>
      <c r="G999" s="11"/>
      <c r="H999" s="11"/>
      <c r="I999" s="2"/>
      <c r="J999" s="2"/>
      <c r="K999" s="2"/>
      <c r="L999" s="10"/>
      <c r="M999" s="9"/>
      <c r="N999" s="2"/>
      <c r="O999" s="2"/>
      <c r="P999" s="2"/>
      <c r="Q999" s="50"/>
      <c r="R999" s="50"/>
      <c r="S999" s="2">
        <f>IFERROR(VLOOKUP(A999,IMPORT_DESISTENCIA!$A$2:$Q2273,14,0),"NÃO")</f>
        <v>0</v>
      </c>
      <c r="T999" s="35"/>
    </row>
    <row r="1000" spans="1:20" ht="45" customHeight="1" x14ac:dyDescent="0.25">
      <c r="A1000" s="2" t="str">
        <f t="shared" si="1"/>
        <v/>
      </c>
      <c r="B1000" s="2"/>
      <c r="C1000" s="43"/>
      <c r="D1000" s="2"/>
      <c r="E1000" s="2"/>
      <c r="F1000" s="2"/>
      <c r="G1000" s="11"/>
      <c r="H1000" s="11"/>
      <c r="I1000" s="2"/>
      <c r="J1000" s="2"/>
      <c r="K1000" s="2"/>
      <c r="L1000" s="10"/>
      <c r="M1000" s="9"/>
      <c r="N1000" s="2"/>
      <c r="O1000" s="2"/>
      <c r="P1000" s="2"/>
      <c r="Q1000" s="50"/>
      <c r="R1000" s="50"/>
      <c r="S1000" s="2">
        <f>IFERROR(VLOOKUP(A1000,IMPORT_DESISTENCIA!$A$2:$Q2273,14,0),"NÃO")</f>
        <v>0</v>
      </c>
      <c r="T1000" s="35"/>
    </row>
    <row r="1001" spans="1:20" ht="45" customHeight="1" x14ac:dyDescent="0.25">
      <c r="A1001" s="2" t="str">
        <f t="shared" si="1"/>
        <v/>
      </c>
      <c r="B1001" s="2"/>
      <c r="C1001" s="43"/>
      <c r="D1001" s="2"/>
      <c r="E1001" s="2"/>
      <c r="F1001" s="2"/>
      <c r="G1001" s="11"/>
      <c r="H1001" s="11"/>
      <c r="I1001" s="2"/>
      <c r="J1001" s="2"/>
      <c r="K1001" s="2"/>
      <c r="L1001" s="10"/>
      <c r="M1001" s="9"/>
      <c r="N1001" s="2"/>
      <c r="O1001" s="2"/>
      <c r="P1001" s="2"/>
      <c r="Q1001" s="50"/>
      <c r="R1001" s="50"/>
      <c r="S1001" s="2">
        <f>IFERROR(VLOOKUP(A1001,IMPORT_DESISTENCIA!$A$2:$Q2273,14,0),"NÃO")</f>
        <v>0</v>
      </c>
      <c r="T1001" s="35"/>
    </row>
    <row r="1002" spans="1:20" ht="45" customHeight="1" x14ac:dyDescent="0.25">
      <c r="A1002" s="2" t="str">
        <f t="shared" si="1"/>
        <v/>
      </c>
      <c r="B1002" s="2"/>
      <c r="C1002" s="43"/>
      <c r="D1002" s="2"/>
      <c r="E1002" s="2"/>
      <c r="F1002" s="2"/>
      <c r="G1002" s="11"/>
      <c r="H1002" s="11"/>
      <c r="I1002" s="2"/>
      <c r="J1002" s="2"/>
      <c r="K1002" s="2"/>
      <c r="L1002" s="10"/>
      <c r="M1002" s="9"/>
      <c r="N1002" s="2"/>
      <c r="O1002" s="2"/>
      <c r="P1002" s="2"/>
      <c r="Q1002" s="50"/>
      <c r="R1002" s="50"/>
      <c r="S1002" s="2">
        <f>IFERROR(VLOOKUP(A1002,IMPORT_DESISTENCIA!$A$2:$Q2273,14,0),"NÃO")</f>
        <v>0</v>
      </c>
      <c r="T1002" s="35"/>
    </row>
    <row r="1003" spans="1:20" ht="45" customHeight="1" x14ac:dyDescent="0.25">
      <c r="A1003" s="2" t="str">
        <f t="shared" si="1"/>
        <v/>
      </c>
      <c r="B1003" s="2"/>
      <c r="C1003" s="43"/>
      <c r="D1003" s="2"/>
      <c r="E1003" s="2"/>
      <c r="F1003" s="2"/>
      <c r="G1003" s="11"/>
      <c r="H1003" s="11"/>
      <c r="I1003" s="2"/>
      <c r="J1003" s="2"/>
      <c r="K1003" s="2"/>
      <c r="L1003" s="10"/>
      <c r="M1003" s="9"/>
      <c r="N1003" s="2"/>
      <c r="O1003" s="2"/>
      <c r="P1003" s="2"/>
      <c r="Q1003" s="50"/>
      <c r="R1003" s="50"/>
      <c r="S1003" s="2">
        <f>IFERROR(VLOOKUP(A1003,IMPORT_DESISTENCIA!$A$2:$Q2273,14,0),"NÃO")</f>
        <v>0</v>
      </c>
      <c r="T1003" s="35"/>
    </row>
    <row r="1004" spans="1:20" ht="45" customHeight="1" x14ac:dyDescent="0.25">
      <c r="A1004" s="2" t="str">
        <f t="shared" si="1"/>
        <v/>
      </c>
      <c r="B1004" s="2"/>
      <c r="C1004" s="43"/>
      <c r="D1004" s="2"/>
      <c r="E1004" s="2"/>
      <c r="F1004" s="2"/>
      <c r="G1004" s="11"/>
      <c r="H1004" s="11"/>
      <c r="I1004" s="2"/>
      <c r="J1004" s="2"/>
      <c r="K1004" s="2"/>
      <c r="L1004" s="10"/>
      <c r="M1004" s="9"/>
      <c r="N1004" s="2"/>
      <c r="O1004" s="2"/>
      <c r="P1004" s="2"/>
      <c r="Q1004" s="50"/>
      <c r="R1004" s="50"/>
      <c r="S1004" s="2">
        <f>IFERROR(VLOOKUP(A1004,IMPORT_DESISTENCIA!$A$2:$Q2273,14,0),"NÃO")</f>
        <v>0</v>
      </c>
      <c r="T1004" s="35"/>
    </row>
    <row r="1005" spans="1:20" ht="45" customHeight="1" x14ac:dyDescent="0.25">
      <c r="A1005" s="2" t="str">
        <f t="shared" si="1"/>
        <v/>
      </c>
      <c r="B1005" s="2"/>
      <c r="C1005" s="43"/>
      <c r="D1005" s="2"/>
      <c r="E1005" s="2"/>
      <c r="F1005" s="2"/>
      <c r="G1005" s="11"/>
      <c r="H1005" s="11"/>
      <c r="I1005" s="2"/>
      <c r="J1005" s="2"/>
      <c r="K1005" s="2"/>
      <c r="L1005" s="10"/>
      <c r="M1005" s="9"/>
      <c r="N1005" s="2"/>
      <c r="O1005" s="2"/>
      <c r="P1005" s="2"/>
      <c r="Q1005" s="50"/>
      <c r="R1005" s="50"/>
      <c r="S1005" s="2">
        <f>IFERROR(VLOOKUP(A1005,IMPORT_DESISTENCIA!$A$2:$Q2273,14,0),"NÃO")</f>
        <v>0</v>
      </c>
      <c r="T1005" s="35"/>
    </row>
    <row r="1006" spans="1:20" ht="45" customHeight="1" x14ac:dyDescent="0.25">
      <c r="A1006" s="2" t="str">
        <f t="shared" si="1"/>
        <v/>
      </c>
      <c r="B1006" s="2"/>
      <c r="C1006" s="43"/>
      <c r="D1006" s="2"/>
      <c r="E1006" s="2"/>
      <c r="F1006" s="2"/>
      <c r="G1006" s="11"/>
      <c r="H1006" s="11"/>
      <c r="I1006" s="2"/>
      <c r="J1006" s="2"/>
      <c r="K1006" s="2"/>
      <c r="L1006" s="10"/>
      <c r="M1006" s="9"/>
      <c r="N1006" s="2"/>
      <c r="O1006" s="2"/>
      <c r="P1006" s="2"/>
      <c r="Q1006" s="50"/>
      <c r="R1006" s="50"/>
      <c r="S1006" s="2">
        <f>IFERROR(VLOOKUP(A1006,IMPORT_DESISTENCIA!$A$2:$Q2273,14,0),"NÃO")</f>
        <v>0</v>
      </c>
      <c r="T1006" s="35"/>
    </row>
    <row r="1007" spans="1:20" ht="45" customHeight="1" x14ac:dyDescent="0.25">
      <c r="A1007" s="2" t="str">
        <f t="shared" si="1"/>
        <v/>
      </c>
      <c r="B1007" s="2"/>
      <c r="C1007" s="43"/>
      <c r="D1007" s="2"/>
      <c r="E1007" s="2"/>
      <c r="F1007" s="2"/>
      <c r="G1007" s="11"/>
      <c r="H1007" s="11"/>
      <c r="I1007" s="2"/>
      <c r="J1007" s="2"/>
      <c r="K1007" s="2"/>
      <c r="L1007" s="10"/>
      <c r="M1007" s="9"/>
      <c r="N1007" s="2"/>
      <c r="O1007" s="2"/>
      <c r="P1007" s="2"/>
      <c r="Q1007" s="50"/>
      <c r="R1007" s="50"/>
      <c r="S1007" s="2">
        <f>IFERROR(VLOOKUP(A1007,IMPORT_DESISTENCIA!$A$2:$Q2273,14,0),"NÃO")</f>
        <v>0</v>
      </c>
      <c r="T1007" s="35"/>
    </row>
    <row r="1008" spans="1:20" ht="45" customHeight="1" x14ac:dyDescent="0.25">
      <c r="A1008" s="2" t="str">
        <f t="shared" si="1"/>
        <v/>
      </c>
      <c r="B1008" s="2"/>
      <c r="C1008" s="43"/>
      <c r="D1008" s="2"/>
      <c r="E1008" s="2"/>
      <c r="F1008" s="2"/>
      <c r="G1008" s="11"/>
      <c r="H1008" s="11"/>
      <c r="I1008" s="2"/>
      <c r="J1008" s="2"/>
      <c r="K1008" s="2"/>
      <c r="L1008" s="10"/>
      <c r="M1008" s="9"/>
      <c r="N1008" s="2"/>
      <c r="O1008" s="2"/>
      <c r="P1008" s="2"/>
      <c r="Q1008" s="50"/>
      <c r="R1008" s="50"/>
      <c r="S1008" s="2">
        <f>IFERROR(VLOOKUP(A1008,IMPORT_DESISTENCIA!$A$2:$Q2273,14,0),"NÃO")</f>
        <v>0</v>
      </c>
      <c r="T1008" s="35"/>
    </row>
    <row r="1009" spans="1:20" ht="45" customHeight="1" x14ac:dyDescent="0.25">
      <c r="A1009" s="2" t="str">
        <f t="shared" si="1"/>
        <v/>
      </c>
      <c r="B1009" s="2"/>
      <c r="C1009" s="43"/>
      <c r="D1009" s="2"/>
      <c r="E1009" s="2"/>
      <c r="F1009" s="2"/>
      <c r="G1009" s="11"/>
      <c r="H1009" s="11"/>
      <c r="I1009" s="2"/>
      <c r="J1009" s="2"/>
      <c r="K1009" s="2"/>
      <c r="L1009" s="10"/>
      <c r="M1009" s="9"/>
      <c r="N1009" s="2"/>
      <c r="O1009" s="2"/>
      <c r="P1009" s="2"/>
      <c r="Q1009" s="50"/>
      <c r="R1009" s="50"/>
      <c r="S1009" s="2">
        <f>IFERROR(VLOOKUP(A1009,IMPORT_DESISTENCIA!$A$2:$Q2273,14,0),"NÃO")</f>
        <v>0</v>
      </c>
      <c r="T1009" s="35"/>
    </row>
    <row r="1010" spans="1:20" ht="45" customHeight="1" x14ac:dyDescent="0.25">
      <c r="A1010" s="2" t="str">
        <f t="shared" si="1"/>
        <v/>
      </c>
      <c r="B1010" s="2"/>
      <c r="C1010" s="43"/>
      <c r="D1010" s="2"/>
      <c r="E1010" s="2"/>
      <c r="F1010" s="2"/>
      <c r="G1010" s="11"/>
      <c r="H1010" s="11"/>
      <c r="I1010" s="2"/>
      <c r="J1010" s="2"/>
      <c r="K1010" s="2"/>
      <c r="L1010" s="10"/>
      <c r="M1010" s="9"/>
      <c r="N1010" s="2"/>
      <c r="O1010" s="2"/>
      <c r="P1010" s="2"/>
      <c r="Q1010" s="50"/>
      <c r="R1010" s="50"/>
      <c r="S1010" s="2">
        <f>IFERROR(VLOOKUP(A1010,IMPORT_DESISTENCIA!$A$2:$Q2273,14,0),"NÃO")</f>
        <v>0</v>
      </c>
      <c r="T1010" s="35"/>
    </row>
    <row r="1011" spans="1:20" ht="45" customHeight="1" x14ac:dyDescent="0.25">
      <c r="A1011" s="2" t="str">
        <f t="shared" si="1"/>
        <v/>
      </c>
      <c r="B1011" s="2"/>
      <c r="C1011" s="43"/>
      <c r="D1011" s="2"/>
      <c r="E1011" s="2"/>
      <c r="F1011" s="2"/>
      <c r="G1011" s="11"/>
      <c r="H1011" s="11"/>
      <c r="I1011" s="2"/>
      <c r="J1011" s="2"/>
      <c r="K1011" s="2"/>
      <c r="L1011" s="10"/>
      <c r="M1011" s="9"/>
      <c r="N1011" s="2"/>
      <c r="O1011" s="2"/>
      <c r="P1011" s="2"/>
      <c r="Q1011" s="50"/>
      <c r="R1011" s="50"/>
      <c r="S1011" s="2">
        <f>IFERROR(VLOOKUP(A1011,IMPORT_DESISTENCIA!$A$2:$Q2273,14,0),"NÃO")</f>
        <v>0</v>
      </c>
      <c r="T1011" s="35"/>
    </row>
    <row r="1012" spans="1:20" ht="45" customHeight="1" x14ac:dyDescent="0.25">
      <c r="A1012" s="2" t="str">
        <f t="shared" si="1"/>
        <v/>
      </c>
      <c r="B1012" s="2"/>
      <c r="C1012" s="43"/>
      <c r="D1012" s="2"/>
      <c r="E1012" s="2"/>
      <c r="F1012" s="2"/>
      <c r="G1012" s="11"/>
      <c r="H1012" s="11"/>
      <c r="I1012" s="2"/>
      <c r="J1012" s="2"/>
      <c r="K1012" s="2"/>
      <c r="L1012" s="10"/>
      <c r="M1012" s="9"/>
      <c r="N1012" s="2"/>
      <c r="O1012" s="2"/>
      <c r="P1012" s="2"/>
      <c r="Q1012" s="50"/>
      <c r="R1012" s="50"/>
      <c r="S1012" s="2">
        <f>IFERROR(VLOOKUP(A1012,IMPORT_DESISTENCIA!$A$2:$Q2273,14,0),"NÃO")</f>
        <v>0</v>
      </c>
      <c r="T1012" s="35"/>
    </row>
    <row r="1013" spans="1:20" ht="45" customHeight="1" x14ac:dyDescent="0.25">
      <c r="A1013" s="2" t="str">
        <f t="shared" si="1"/>
        <v/>
      </c>
      <c r="B1013" s="2"/>
      <c r="C1013" s="43"/>
      <c r="D1013" s="2"/>
      <c r="E1013" s="2"/>
      <c r="F1013" s="2"/>
      <c r="G1013" s="11"/>
      <c r="H1013" s="11"/>
      <c r="I1013" s="2"/>
      <c r="J1013" s="2"/>
      <c r="K1013" s="2"/>
      <c r="L1013" s="10"/>
      <c r="M1013" s="9"/>
      <c r="N1013" s="2"/>
      <c r="O1013" s="2"/>
      <c r="P1013" s="2"/>
      <c r="Q1013" s="50"/>
      <c r="R1013" s="50"/>
      <c r="S1013" s="2">
        <f>IFERROR(VLOOKUP(A1013,IMPORT_DESISTENCIA!$A$2:$Q2273,14,0),"NÃO")</f>
        <v>0</v>
      </c>
      <c r="T1013" s="35"/>
    </row>
    <row r="1014" spans="1:20" ht="45" customHeight="1" x14ac:dyDescent="0.25">
      <c r="A1014" s="2" t="str">
        <f t="shared" si="1"/>
        <v/>
      </c>
      <c r="B1014" s="2"/>
      <c r="C1014" s="43"/>
      <c r="D1014" s="2"/>
      <c r="E1014" s="2"/>
      <c r="F1014" s="2"/>
      <c r="G1014" s="11"/>
      <c r="H1014" s="11"/>
      <c r="I1014" s="2"/>
      <c r="J1014" s="2"/>
      <c r="K1014" s="2"/>
      <c r="L1014" s="10"/>
      <c r="M1014" s="9"/>
      <c r="N1014" s="2"/>
      <c r="O1014" s="2"/>
      <c r="P1014" s="2"/>
      <c r="Q1014" s="50"/>
      <c r="R1014" s="50"/>
      <c r="S1014" s="2">
        <f>IFERROR(VLOOKUP(A1014,IMPORT_DESISTENCIA!$A$2:$Q2273,14,0),"NÃO")</f>
        <v>0</v>
      </c>
      <c r="T1014" s="35"/>
    </row>
    <row r="1015" spans="1:20" ht="45" customHeight="1" x14ac:dyDescent="0.25">
      <c r="A1015" s="2" t="str">
        <f t="shared" si="1"/>
        <v/>
      </c>
      <c r="B1015" s="2"/>
      <c r="C1015" s="43"/>
      <c r="D1015" s="2"/>
      <c r="E1015" s="2"/>
      <c r="F1015" s="2"/>
      <c r="G1015" s="11"/>
      <c r="H1015" s="11"/>
      <c r="I1015" s="2"/>
      <c r="J1015" s="2"/>
      <c r="K1015" s="2"/>
      <c r="L1015" s="10"/>
      <c r="M1015" s="9"/>
      <c r="N1015" s="2"/>
      <c r="O1015" s="2"/>
      <c r="P1015" s="2"/>
      <c r="Q1015" s="50"/>
      <c r="R1015" s="50"/>
      <c r="S1015" s="2">
        <f>IFERROR(VLOOKUP(A1015,IMPORT_DESISTENCIA!$A$2:$Q2273,14,0),"NÃO")</f>
        <v>0</v>
      </c>
      <c r="T1015" s="35"/>
    </row>
    <row r="1016" spans="1:20" ht="45" customHeight="1" x14ac:dyDescent="0.25">
      <c r="A1016" s="2" t="str">
        <f t="shared" si="1"/>
        <v/>
      </c>
      <c r="B1016" s="2"/>
      <c r="C1016" s="43"/>
      <c r="D1016" s="2"/>
      <c r="E1016" s="2"/>
      <c r="F1016" s="2"/>
      <c r="G1016" s="11"/>
      <c r="H1016" s="11"/>
      <c r="I1016" s="2"/>
      <c r="J1016" s="2"/>
      <c r="K1016" s="2"/>
      <c r="L1016" s="10"/>
      <c r="M1016" s="9"/>
      <c r="N1016" s="2"/>
      <c r="O1016" s="2"/>
      <c r="P1016" s="2"/>
      <c r="Q1016" s="50"/>
      <c r="R1016" s="50"/>
      <c r="S1016" s="2">
        <f>IFERROR(VLOOKUP(A1016,IMPORT_DESISTENCIA!$A$2:$Q2273,14,0),"NÃO")</f>
        <v>0</v>
      </c>
      <c r="T1016" s="35"/>
    </row>
    <row r="1017" spans="1:20" ht="45" customHeight="1" x14ac:dyDescent="0.25">
      <c r="A1017" s="2" t="str">
        <f t="shared" si="1"/>
        <v/>
      </c>
      <c r="B1017" s="2"/>
      <c r="C1017" s="43"/>
      <c r="D1017" s="2"/>
      <c r="E1017" s="2"/>
      <c r="F1017" s="2"/>
      <c r="G1017" s="11"/>
      <c r="H1017" s="11"/>
      <c r="I1017" s="2"/>
      <c r="J1017" s="2"/>
      <c r="K1017" s="2"/>
      <c r="L1017" s="10"/>
      <c r="M1017" s="9"/>
      <c r="N1017" s="2"/>
      <c r="O1017" s="2"/>
      <c r="P1017" s="2"/>
      <c r="Q1017" s="50"/>
      <c r="R1017" s="50"/>
      <c r="S1017" s="2">
        <f>IFERROR(VLOOKUP(A1017,IMPORT_DESISTENCIA!$A$2:$Q2273,14,0),"NÃO")</f>
        <v>0</v>
      </c>
      <c r="T1017" s="35"/>
    </row>
    <row r="1018" spans="1:20" ht="45" customHeight="1" x14ac:dyDescent="0.25">
      <c r="A1018" s="2" t="str">
        <f t="shared" si="1"/>
        <v/>
      </c>
      <c r="B1018" s="2"/>
      <c r="C1018" s="43"/>
      <c r="D1018" s="2"/>
      <c r="E1018" s="2"/>
      <c r="F1018" s="2"/>
      <c r="G1018" s="11"/>
      <c r="H1018" s="11"/>
      <c r="I1018" s="2"/>
      <c r="J1018" s="2"/>
      <c r="K1018" s="2"/>
      <c r="L1018" s="10"/>
      <c r="M1018" s="9"/>
      <c r="N1018" s="2"/>
      <c r="O1018" s="2"/>
      <c r="P1018" s="2"/>
      <c r="Q1018" s="50"/>
      <c r="R1018" s="50"/>
      <c r="S1018" s="2">
        <f>IFERROR(VLOOKUP(A1018,IMPORT_DESISTENCIA!$A$2:$Q2273,14,0),"NÃO")</f>
        <v>0</v>
      </c>
      <c r="T1018" s="35"/>
    </row>
    <row r="1019" spans="1:20" ht="45" customHeight="1" x14ac:dyDescent="0.25">
      <c r="A1019" s="2" t="str">
        <f t="shared" si="1"/>
        <v/>
      </c>
      <c r="B1019" s="2"/>
      <c r="C1019" s="43"/>
      <c r="D1019" s="2"/>
      <c r="E1019" s="2"/>
      <c r="F1019" s="2"/>
      <c r="G1019" s="11"/>
      <c r="H1019" s="11"/>
      <c r="I1019" s="2"/>
      <c r="J1019" s="2"/>
      <c r="K1019" s="2"/>
      <c r="L1019" s="10"/>
      <c r="M1019" s="9"/>
      <c r="N1019" s="2"/>
      <c r="O1019" s="2"/>
      <c r="P1019" s="2"/>
      <c r="Q1019" s="50"/>
      <c r="R1019" s="50"/>
      <c r="S1019" s="2">
        <f>IFERROR(VLOOKUP(A1019,IMPORT_DESISTENCIA!$A$2:$Q2273,14,0),"NÃO")</f>
        <v>0</v>
      </c>
      <c r="T1019" s="35"/>
    </row>
    <row r="1020" spans="1:20" ht="45" customHeight="1" x14ac:dyDescent="0.25">
      <c r="A1020" s="2" t="str">
        <f t="shared" si="1"/>
        <v/>
      </c>
      <c r="B1020" s="2"/>
      <c r="C1020" s="43"/>
      <c r="D1020" s="2"/>
      <c r="E1020" s="2"/>
      <c r="F1020" s="2"/>
      <c r="G1020" s="11"/>
      <c r="H1020" s="11"/>
      <c r="I1020" s="2"/>
      <c r="J1020" s="2"/>
      <c r="K1020" s="2"/>
      <c r="L1020" s="10"/>
      <c r="M1020" s="9"/>
      <c r="N1020" s="2"/>
      <c r="O1020" s="2"/>
      <c r="P1020" s="2"/>
      <c r="Q1020" s="50"/>
      <c r="R1020" s="50"/>
      <c r="S1020" s="2">
        <f>IFERROR(VLOOKUP(A1020,IMPORT_DESISTENCIA!$A$2:$Q2273,14,0),"NÃO")</f>
        <v>0</v>
      </c>
      <c r="T1020" s="35"/>
    </row>
    <row r="1021" spans="1:20" ht="45" customHeight="1" x14ac:dyDescent="0.25">
      <c r="A1021" s="2" t="str">
        <f t="shared" si="1"/>
        <v/>
      </c>
      <c r="B1021" s="2"/>
      <c r="C1021" s="43"/>
      <c r="D1021" s="2"/>
      <c r="E1021" s="2"/>
      <c r="F1021" s="2"/>
      <c r="G1021" s="11"/>
      <c r="H1021" s="11"/>
      <c r="I1021" s="2"/>
      <c r="J1021" s="2"/>
      <c r="K1021" s="2"/>
      <c r="L1021" s="10"/>
      <c r="M1021" s="9"/>
      <c r="N1021" s="2"/>
      <c r="O1021" s="2"/>
      <c r="P1021" s="2"/>
      <c r="Q1021" s="50"/>
      <c r="R1021" s="50"/>
      <c r="S1021" s="2">
        <f>IFERROR(VLOOKUP(A1021,IMPORT_DESISTENCIA!$A$2:$Q2273,14,0),"NÃO")</f>
        <v>0</v>
      </c>
      <c r="T1021" s="35"/>
    </row>
    <row r="1022" spans="1:20" ht="45" customHeight="1" x14ac:dyDescent="0.25">
      <c r="A1022" s="2" t="str">
        <f t="shared" si="1"/>
        <v/>
      </c>
      <c r="B1022" s="2"/>
      <c r="C1022" s="43"/>
      <c r="D1022" s="2"/>
      <c r="E1022" s="2"/>
      <c r="F1022" s="2"/>
      <c r="G1022" s="11"/>
      <c r="H1022" s="11"/>
      <c r="I1022" s="2"/>
      <c r="J1022" s="2"/>
      <c r="K1022" s="2"/>
      <c r="L1022" s="10"/>
      <c r="M1022" s="9"/>
      <c r="N1022" s="2"/>
      <c r="O1022" s="2"/>
      <c r="P1022" s="2"/>
      <c r="Q1022" s="50"/>
      <c r="R1022" s="50"/>
      <c r="S1022" s="2">
        <f>IFERROR(VLOOKUP(A1022,IMPORT_DESISTENCIA!$A$2:$Q2273,14,0),"NÃO")</f>
        <v>0</v>
      </c>
      <c r="T1022" s="35"/>
    </row>
    <row r="1023" spans="1:20" ht="45" customHeight="1" x14ac:dyDescent="0.25">
      <c r="A1023" s="2" t="str">
        <f t="shared" si="1"/>
        <v/>
      </c>
      <c r="B1023" s="2"/>
      <c r="C1023" s="43"/>
      <c r="D1023" s="2"/>
      <c r="E1023" s="2"/>
      <c r="F1023" s="2"/>
      <c r="G1023" s="11"/>
      <c r="H1023" s="11"/>
      <c r="I1023" s="2"/>
      <c r="J1023" s="2"/>
      <c r="K1023" s="2"/>
      <c r="L1023" s="10"/>
      <c r="M1023" s="9"/>
      <c r="N1023" s="2"/>
      <c r="O1023" s="2"/>
      <c r="P1023" s="2"/>
      <c r="Q1023" s="50"/>
      <c r="R1023" s="50"/>
      <c r="S1023" s="2">
        <f>IFERROR(VLOOKUP(A1023,IMPORT_DESISTENCIA!$A$2:$Q2273,14,0),"NÃO")</f>
        <v>0</v>
      </c>
      <c r="T1023" s="35"/>
    </row>
    <row r="1024" spans="1:20" ht="45" customHeight="1" x14ac:dyDescent="0.25">
      <c r="A1024" s="2" t="str">
        <f t="shared" si="1"/>
        <v/>
      </c>
      <c r="B1024" s="2"/>
      <c r="C1024" s="43"/>
      <c r="D1024" s="2"/>
      <c r="E1024" s="2"/>
      <c r="F1024" s="2"/>
      <c r="G1024" s="11"/>
      <c r="H1024" s="11"/>
      <c r="I1024" s="2"/>
      <c r="J1024" s="2"/>
      <c r="K1024" s="2"/>
      <c r="L1024" s="10"/>
      <c r="M1024" s="9"/>
      <c r="N1024" s="2"/>
      <c r="O1024" s="2"/>
      <c r="P1024" s="2"/>
      <c r="Q1024" s="50"/>
      <c r="R1024" s="50"/>
      <c r="S1024" s="2">
        <f>IFERROR(VLOOKUP(A1024,IMPORT_DESISTENCIA!$A$2:$Q2273,14,0),"NÃO")</f>
        <v>0</v>
      </c>
      <c r="T1024" s="35"/>
    </row>
    <row r="1025" spans="1:20" ht="45" customHeight="1" x14ac:dyDescent="0.25">
      <c r="A1025" s="2" t="str">
        <f t="shared" si="1"/>
        <v/>
      </c>
      <c r="B1025" s="2"/>
      <c r="C1025" s="43"/>
      <c r="D1025" s="2"/>
      <c r="E1025" s="2"/>
      <c r="F1025" s="2"/>
      <c r="G1025" s="11"/>
      <c r="H1025" s="11"/>
      <c r="I1025" s="2"/>
      <c r="J1025" s="2"/>
      <c r="K1025" s="2"/>
      <c r="L1025" s="10"/>
      <c r="M1025" s="9"/>
      <c r="N1025" s="2"/>
      <c r="O1025" s="2"/>
      <c r="P1025" s="2"/>
      <c r="Q1025" s="50"/>
      <c r="R1025" s="50"/>
      <c r="S1025" s="2">
        <f>IFERROR(VLOOKUP(A1025,IMPORT_DESISTENCIA!$A$2:$Q2273,14,0),"NÃO")</f>
        <v>0</v>
      </c>
      <c r="T1025" s="35"/>
    </row>
    <row r="1026" spans="1:20" ht="45" customHeight="1" x14ac:dyDescent="0.25">
      <c r="A1026" s="2" t="str">
        <f t="shared" si="1"/>
        <v/>
      </c>
      <c r="B1026" s="2"/>
      <c r="C1026" s="43"/>
      <c r="D1026" s="2"/>
      <c r="E1026" s="2"/>
      <c r="F1026" s="2"/>
      <c r="G1026" s="11"/>
      <c r="H1026" s="11"/>
      <c r="I1026" s="2"/>
      <c r="J1026" s="2"/>
      <c r="K1026" s="2"/>
      <c r="L1026" s="10"/>
      <c r="M1026" s="9"/>
      <c r="N1026" s="2"/>
      <c r="O1026" s="2"/>
      <c r="P1026" s="2"/>
      <c r="Q1026" s="50"/>
      <c r="R1026" s="50"/>
      <c r="S1026" s="2">
        <f>IFERROR(VLOOKUP(A1026,IMPORT_DESISTENCIA!$A$2:$Q2273,14,0),"NÃO")</f>
        <v>0</v>
      </c>
      <c r="T1026" s="35"/>
    </row>
    <row r="1027" spans="1:20" ht="45" customHeight="1" x14ac:dyDescent="0.25">
      <c r="A1027" s="2" t="str">
        <f t="shared" si="1"/>
        <v/>
      </c>
      <c r="B1027" s="2"/>
      <c r="C1027" s="43"/>
      <c r="D1027" s="2"/>
      <c r="E1027" s="2"/>
      <c r="F1027" s="2"/>
      <c r="G1027" s="11"/>
      <c r="H1027" s="11"/>
      <c r="I1027" s="2"/>
      <c r="J1027" s="2"/>
      <c r="K1027" s="2"/>
      <c r="L1027" s="10"/>
      <c r="M1027" s="9"/>
      <c r="N1027" s="2"/>
      <c r="O1027" s="2"/>
      <c r="P1027" s="2"/>
      <c r="Q1027" s="50"/>
      <c r="R1027" s="50"/>
      <c r="S1027" s="2">
        <f>IFERROR(VLOOKUP(A1027,IMPORT_DESISTENCIA!$A$2:$Q2273,14,0),"NÃO")</f>
        <v>0</v>
      </c>
      <c r="T1027" s="35"/>
    </row>
    <row r="1028" spans="1:20" ht="45" customHeight="1" x14ac:dyDescent="0.25">
      <c r="A1028" s="2" t="str">
        <f t="shared" si="1"/>
        <v/>
      </c>
      <c r="B1028" s="2"/>
      <c r="C1028" s="43"/>
      <c r="D1028" s="2"/>
      <c r="E1028" s="2"/>
      <c r="F1028" s="2"/>
      <c r="G1028" s="11"/>
      <c r="H1028" s="11"/>
      <c r="I1028" s="2"/>
      <c r="J1028" s="2"/>
      <c r="K1028" s="2"/>
      <c r="L1028" s="10"/>
      <c r="M1028" s="9"/>
      <c r="N1028" s="2"/>
      <c r="O1028" s="2"/>
      <c r="P1028" s="2"/>
      <c r="Q1028" s="50"/>
      <c r="R1028" s="50"/>
      <c r="S1028" s="2">
        <f>IFERROR(VLOOKUP(A1028,IMPORT_DESISTENCIA!$A$2:$Q2273,14,0),"NÃO")</f>
        <v>0</v>
      </c>
      <c r="T1028" s="35"/>
    </row>
    <row r="1029" spans="1:20" ht="45" customHeight="1" x14ac:dyDescent="0.25">
      <c r="A1029" s="2" t="str">
        <f t="shared" si="1"/>
        <v/>
      </c>
      <c r="B1029" s="2"/>
      <c r="C1029" s="43"/>
      <c r="D1029" s="2"/>
      <c r="E1029" s="2"/>
      <c r="F1029" s="2"/>
      <c r="G1029" s="11"/>
      <c r="H1029" s="11"/>
      <c r="I1029" s="2"/>
      <c r="J1029" s="2"/>
      <c r="K1029" s="2"/>
      <c r="L1029" s="10"/>
      <c r="M1029" s="9"/>
      <c r="N1029" s="2"/>
      <c r="O1029" s="2"/>
      <c r="P1029" s="2"/>
      <c r="Q1029" s="50"/>
      <c r="R1029" s="50"/>
      <c r="S1029" s="2">
        <f>IFERROR(VLOOKUP(A1029,IMPORT_DESISTENCIA!$A$2:$Q2273,14,0),"NÃO")</f>
        <v>0</v>
      </c>
      <c r="T1029" s="35"/>
    </row>
    <row r="1030" spans="1:20" ht="45" customHeight="1" x14ac:dyDescent="0.25">
      <c r="A1030" s="2" t="str">
        <f t="shared" si="1"/>
        <v/>
      </c>
      <c r="B1030" s="2"/>
      <c r="C1030" s="43"/>
      <c r="D1030" s="2"/>
      <c r="E1030" s="2"/>
      <c r="F1030" s="2"/>
      <c r="G1030" s="11"/>
      <c r="H1030" s="11"/>
      <c r="I1030" s="2"/>
      <c r="J1030" s="2"/>
      <c r="K1030" s="2"/>
      <c r="L1030" s="10"/>
      <c r="M1030" s="9"/>
      <c r="N1030" s="2"/>
      <c r="O1030" s="2"/>
      <c r="P1030" s="2"/>
      <c r="Q1030" s="50"/>
      <c r="R1030" s="50"/>
      <c r="S1030" s="2">
        <f>IFERROR(VLOOKUP(A1030,IMPORT_DESISTENCIA!$A$2:$Q2273,14,0),"NÃO")</f>
        <v>0</v>
      </c>
      <c r="T1030" s="35"/>
    </row>
    <row r="1031" spans="1:20" ht="45" customHeight="1" x14ac:dyDescent="0.25">
      <c r="A1031" s="2" t="str">
        <f t="shared" si="1"/>
        <v/>
      </c>
      <c r="B1031" s="2"/>
      <c r="C1031" s="43"/>
      <c r="D1031" s="2"/>
      <c r="E1031" s="2"/>
      <c r="F1031" s="2"/>
      <c r="G1031" s="11"/>
      <c r="H1031" s="11"/>
      <c r="I1031" s="2"/>
      <c r="J1031" s="2"/>
      <c r="K1031" s="2"/>
      <c r="L1031" s="10"/>
      <c r="M1031" s="9"/>
      <c r="N1031" s="2"/>
      <c r="O1031" s="2"/>
      <c r="P1031" s="2"/>
      <c r="Q1031" s="50"/>
      <c r="R1031" s="50"/>
      <c r="S1031" s="2">
        <f>IFERROR(VLOOKUP(A1031,IMPORT_DESISTENCIA!$A$2:$Q2273,14,0),"NÃO")</f>
        <v>0</v>
      </c>
      <c r="T1031" s="35"/>
    </row>
    <row r="1032" spans="1:20" ht="45" customHeight="1" x14ac:dyDescent="0.25">
      <c r="A1032" s="2" t="str">
        <f t="shared" si="1"/>
        <v/>
      </c>
      <c r="B1032" s="2"/>
      <c r="C1032" s="43"/>
      <c r="D1032" s="2"/>
      <c r="E1032" s="2"/>
      <c r="F1032" s="2"/>
      <c r="G1032" s="11"/>
      <c r="H1032" s="11"/>
      <c r="I1032" s="2"/>
      <c r="J1032" s="2"/>
      <c r="K1032" s="2"/>
      <c r="L1032" s="10"/>
      <c r="M1032" s="9"/>
      <c r="N1032" s="2"/>
      <c r="O1032" s="2"/>
      <c r="P1032" s="2"/>
      <c r="Q1032" s="50"/>
      <c r="R1032" s="50"/>
      <c r="S1032" s="2">
        <f>IFERROR(VLOOKUP(A1032,IMPORT_DESISTENCIA!$A$2:$Q2273,14,0),"NÃO")</f>
        <v>0</v>
      </c>
      <c r="T1032" s="35"/>
    </row>
    <row r="1033" spans="1:20" ht="45" customHeight="1" x14ac:dyDescent="0.25">
      <c r="A1033" s="2" t="str">
        <f t="shared" si="1"/>
        <v/>
      </c>
      <c r="B1033" s="2"/>
      <c r="C1033" s="43"/>
      <c r="D1033" s="2"/>
      <c r="E1033" s="2"/>
      <c r="F1033" s="2"/>
      <c r="G1033" s="11"/>
      <c r="H1033" s="11"/>
      <c r="I1033" s="2"/>
      <c r="J1033" s="2"/>
      <c r="K1033" s="2"/>
      <c r="L1033" s="10"/>
      <c r="M1033" s="9"/>
      <c r="N1033" s="2"/>
      <c r="O1033" s="2"/>
      <c r="P1033" s="2"/>
      <c r="Q1033" s="50"/>
      <c r="R1033" s="50"/>
      <c r="S1033" s="2">
        <f>IFERROR(VLOOKUP(A1033,IMPORT_DESISTENCIA!$A$2:$Q2273,14,0),"NÃO")</f>
        <v>0</v>
      </c>
      <c r="T1033" s="35"/>
    </row>
    <row r="1034" spans="1:20" ht="45" customHeight="1" x14ac:dyDescent="0.25">
      <c r="A1034" s="2" t="str">
        <f t="shared" si="1"/>
        <v/>
      </c>
      <c r="B1034" s="2"/>
      <c r="C1034" s="43"/>
      <c r="D1034" s="2"/>
      <c r="E1034" s="2"/>
      <c r="F1034" s="2"/>
      <c r="G1034" s="11"/>
      <c r="H1034" s="11"/>
      <c r="I1034" s="2"/>
      <c r="J1034" s="2"/>
      <c r="K1034" s="2"/>
      <c r="L1034" s="10"/>
      <c r="M1034" s="9"/>
      <c r="N1034" s="2"/>
      <c r="O1034" s="2"/>
      <c r="P1034" s="2"/>
      <c r="Q1034" s="50"/>
      <c r="R1034" s="50"/>
      <c r="S1034" s="2">
        <f>IFERROR(VLOOKUP(A1034,IMPORT_DESISTENCIA!$A$2:$Q2273,14,0),"NÃO")</f>
        <v>0</v>
      </c>
      <c r="T1034" s="35"/>
    </row>
    <row r="1035" spans="1:20" ht="45" customHeight="1" x14ac:dyDescent="0.25">
      <c r="A1035" s="2" t="str">
        <f t="shared" si="1"/>
        <v/>
      </c>
      <c r="B1035" s="2"/>
      <c r="C1035" s="43"/>
      <c r="D1035" s="2"/>
      <c r="E1035" s="2"/>
      <c r="F1035" s="2"/>
      <c r="G1035" s="11"/>
      <c r="H1035" s="11"/>
      <c r="I1035" s="2"/>
      <c r="J1035" s="2"/>
      <c r="K1035" s="2"/>
      <c r="L1035" s="10"/>
      <c r="M1035" s="9"/>
      <c r="N1035" s="2"/>
      <c r="O1035" s="2"/>
      <c r="P1035" s="2"/>
      <c r="Q1035" s="50"/>
      <c r="R1035" s="50"/>
      <c r="S1035" s="2">
        <f>IFERROR(VLOOKUP(A1035,IMPORT_DESISTENCIA!$A$2:$Q2273,14,0),"NÃO")</f>
        <v>0</v>
      </c>
      <c r="T1035" s="35"/>
    </row>
    <row r="1036" spans="1:20" ht="45" customHeight="1" x14ac:dyDescent="0.25">
      <c r="A1036" s="2" t="str">
        <f t="shared" si="1"/>
        <v/>
      </c>
      <c r="B1036" s="2"/>
      <c r="C1036" s="43"/>
      <c r="D1036" s="2"/>
      <c r="E1036" s="2"/>
      <c r="F1036" s="2"/>
      <c r="G1036" s="11"/>
      <c r="H1036" s="11"/>
      <c r="I1036" s="2"/>
      <c r="J1036" s="2"/>
      <c r="K1036" s="2"/>
      <c r="L1036" s="10"/>
      <c r="M1036" s="9"/>
      <c r="N1036" s="2"/>
      <c r="O1036" s="2"/>
      <c r="P1036" s="2"/>
      <c r="Q1036" s="50"/>
      <c r="R1036" s="50"/>
      <c r="S1036" s="2">
        <f>IFERROR(VLOOKUP(A1036,IMPORT_DESISTENCIA!$A$2:$Q2273,14,0),"NÃO")</f>
        <v>0</v>
      </c>
      <c r="T1036" s="35"/>
    </row>
    <row r="1037" spans="1:20" ht="45" customHeight="1" x14ac:dyDescent="0.25">
      <c r="A1037" s="2" t="str">
        <f t="shared" si="1"/>
        <v/>
      </c>
      <c r="B1037" s="2"/>
      <c r="C1037" s="43"/>
      <c r="D1037" s="2"/>
      <c r="E1037" s="2"/>
      <c r="F1037" s="2"/>
      <c r="G1037" s="11"/>
      <c r="H1037" s="11"/>
      <c r="I1037" s="2"/>
      <c r="J1037" s="2"/>
      <c r="K1037" s="2"/>
      <c r="L1037" s="10"/>
      <c r="M1037" s="9"/>
      <c r="N1037" s="2"/>
      <c r="O1037" s="2"/>
      <c r="P1037" s="2"/>
      <c r="Q1037" s="50"/>
      <c r="R1037" s="50"/>
      <c r="S1037" s="2">
        <f>IFERROR(VLOOKUP(A1037,IMPORT_DESISTENCIA!$A$2:$Q2273,14,0),"NÃO")</f>
        <v>0</v>
      </c>
      <c r="T1037" s="35"/>
    </row>
    <row r="1038" spans="1:20" ht="45" customHeight="1" x14ac:dyDescent="0.25">
      <c r="A1038" s="2" t="str">
        <f t="shared" si="1"/>
        <v/>
      </c>
      <c r="B1038" s="2"/>
      <c r="C1038" s="43"/>
      <c r="D1038" s="2"/>
      <c r="E1038" s="2"/>
      <c r="F1038" s="2"/>
      <c r="G1038" s="11"/>
      <c r="H1038" s="11"/>
      <c r="I1038" s="2"/>
      <c r="J1038" s="2"/>
      <c r="K1038" s="2"/>
      <c r="L1038" s="10"/>
      <c r="M1038" s="9"/>
      <c r="N1038" s="2"/>
      <c r="O1038" s="2"/>
      <c r="P1038" s="2"/>
      <c r="Q1038" s="50"/>
      <c r="R1038" s="50"/>
      <c r="S1038" s="2">
        <f>IFERROR(VLOOKUP(A1038,IMPORT_DESISTENCIA!$A$2:$Q2273,14,0),"NÃO")</f>
        <v>0</v>
      </c>
      <c r="T1038" s="35"/>
    </row>
    <row r="1039" spans="1:20" ht="45" customHeight="1" x14ac:dyDescent="0.25">
      <c r="A1039" s="2" t="str">
        <f t="shared" si="1"/>
        <v/>
      </c>
      <c r="B1039" s="2"/>
      <c r="C1039" s="43"/>
      <c r="D1039" s="2"/>
      <c r="E1039" s="2"/>
      <c r="F1039" s="2"/>
      <c r="G1039" s="11"/>
      <c r="H1039" s="11"/>
      <c r="I1039" s="2"/>
      <c r="J1039" s="2"/>
      <c r="K1039" s="2"/>
      <c r="L1039" s="10"/>
      <c r="M1039" s="9"/>
      <c r="N1039" s="2"/>
      <c r="O1039" s="2"/>
      <c r="P1039" s="2"/>
      <c r="Q1039" s="50"/>
      <c r="R1039" s="50"/>
      <c r="S1039" s="2">
        <f>IFERROR(VLOOKUP(A1039,IMPORT_DESISTENCIA!$A$2:$Q2273,14,0),"NÃO")</f>
        <v>0</v>
      </c>
      <c r="T1039" s="35"/>
    </row>
    <row r="1040" spans="1:20" ht="45" customHeight="1" x14ac:dyDescent="0.25">
      <c r="A1040" s="2" t="str">
        <f t="shared" si="1"/>
        <v/>
      </c>
      <c r="B1040" s="2"/>
      <c r="C1040" s="43"/>
      <c r="D1040" s="2"/>
      <c r="E1040" s="2"/>
      <c r="F1040" s="2"/>
      <c r="G1040" s="11"/>
      <c r="H1040" s="11"/>
      <c r="I1040" s="2"/>
      <c r="J1040" s="2"/>
      <c r="K1040" s="2"/>
      <c r="L1040" s="10"/>
      <c r="M1040" s="9"/>
      <c r="N1040" s="2"/>
      <c r="O1040" s="2"/>
      <c r="P1040" s="2"/>
      <c r="Q1040" s="50"/>
      <c r="R1040" s="50"/>
      <c r="S1040" s="2">
        <f>IFERROR(VLOOKUP(A1040,IMPORT_DESISTENCIA!$A$2:$Q2273,14,0),"NÃO")</f>
        <v>0</v>
      </c>
      <c r="T1040" s="35"/>
    </row>
    <row r="1041" spans="1:20" ht="45" customHeight="1" x14ac:dyDescent="0.25">
      <c r="A1041" s="2" t="str">
        <f t="shared" si="1"/>
        <v/>
      </c>
      <c r="B1041" s="2"/>
      <c r="C1041" s="43"/>
      <c r="D1041" s="2"/>
      <c r="E1041" s="2"/>
      <c r="F1041" s="2"/>
      <c r="G1041" s="11"/>
      <c r="H1041" s="11"/>
      <c r="I1041" s="2"/>
      <c r="J1041" s="2"/>
      <c r="K1041" s="2"/>
      <c r="L1041" s="10"/>
      <c r="M1041" s="9"/>
      <c r="N1041" s="2"/>
      <c r="O1041" s="2"/>
      <c r="P1041" s="2"/>
      <c r="Q1041" s="50"/>
      <c r="R1041" s="50"/>
      <c r="S1041" s="2">
        <f>IFERROR(VLOOKUP(A1041,IMPORT_DESISTENCIA!$A$2:$Q2273,14,0),"NÃO")</f>
        <v>0</v>
      </c>
      <c r="T1041" s="35"/>
    </row>
    <row r="1042" spans="1:20" ht="45" customHeight="1" x14ac:dyDescent="0.25">
      <c r="A1042" s="2" t="str">
        <f t="shared" si="1"/>
        <v/>
      </c>
      <c r="B1042" s="2"/>
      <c r="C1042" s="43"/>
      <c r="D1042" s="2"/>
      <c r="E1042" s="2"/>
      <c r="F1042" s="2"/>
      <c r="G1042" s="11"/>
      <c r="H1042" s="11"/>
      <c r="I1042" s="2"/>
      <c r="J1042" s="2"/>
      <c r="K1042" s="2"/>
      <c r="L1042" s="10"/>
      <c r="M1042" s="9"/>
      <c r="N1042" s="2"/>
      <c r="O1042" s="2"/>
      <c r="P1042" s="2"/>
      <c r="Q1042" s="50"/>
      <c r="R1042" s="50"/>
      <c r="S1042" s="2">
        <f>IFERROR(VLOOKUP(A1042,IMPORT_DESISTENCIA!$A$2:$Q2273,14,0),"NÃO")</f>
        <v>0</v>
      </c>
      <c r="T1042" s="35"/>
    </row>
    <row r="1043" spans="1:20" ht="45" customHeight="1" x14ac:dyDescent="0.25">
      <c r="A1043" s="2" t="str">
        <f t="shared" si="1"/>
        <v/>
      </c>
      <c r="B1043" s="2"/>
      <c r="C1043" s="43"/>
      <c r="D1043" s="2"/>
      <c r="E1043" s="2"/>
      <c r="F1043" s="2"/>
      <c r="G1043" s="11"/>
      <c r="H1043" s="11"/>
      <c r="I1043" s="2"/>
      <c r="J1043" s="2"/>
      <c r="K1043" s="2"/>
      <c r="L1043" s="10"/>
      <c r="M1043" s="9"/>
      <c r="N1043" s="2"/>
      <c r="O1043" s="2"/>
      <c r="P1043" s="2"/>
      <c r="Q1043" s="50"/>
      <c r="R1043" s="50"/>
      <c r="S1043" s="2">
        <f>IFERROR(VLOOKUP(A1043,IMPORT_DESISTENCIA!$A$2:$Q2273,14,0),"NÃO")</f>
        <v>0</v>
      </c>
      <c r="T1043" s="35"/>
    </row>
    <row r="1044" spans="1:20" ht="45" customHeight="1" x14ac:dyDescent="0.25">
      <c r="A1044" s="2" t="str">
        <f t="shared" si="1"/>
        <v/>
      </c>
      <c r="B1044" s="2"/>
      <c r="C1044" s="43"/>
      <c r="D1044" s="2"/>
      <c r="E1044" s="2"/>
      <c r="F1044" s="2"/>
      <c r="G1044" s="11"/>
      <c r="H1044" s="11"/>
      <c r="I1044" s="2"/>
      <c r="J1044" s="2"/>
      <c r="K1044" s="2"/>
      <c r="L1044" s="10"/>
      <c r="M1044" s="9"/>
      <c r="N1044" s="2"/>
      <c r="O1044" s="2"/>
      <c r="P1044" s="2"/>
      <c r="Q1044" s="50"/>
      <c r="R1044" s="50"/>
      <c r="S1044" s="2">
        <f>IFERROR(VLOOKUP(A1044,IMPORT_DESISTENCIA!$A$2:$Q2273,14,0),"NÃO")</f>
        <v>0</v>
      </c>
      <c r="T1044" s="35"/>
    </row>
    <row r="1045" spans="1:20" ht="45" customHeight="1" x14ac:dyDescent="0.25">
      <c r="A1045" s="2" t="str">
        <f t="shared" si="1"/>
        <v/>
      </c>
      <c r="B1045" s="2"/>
      <c r="C1045" s="43"/>
      <c r="D1045" s="2"/>
      <c r="E1045" s="2"/>
      <c r="F1045" s="2"/>
      <c r="G1045" s="11"/>
      <c r="H1045" s="11"/>
      <c r="I1045" s="2"/>
      <c r="J1045" s="2"/>
      <c r="K1045" s="2"/>
      <c r="L1045" s="10"/>
      <c r="M1045" s="9"/>
      <c r="N1045" s="2"/>
      <c r="O1045" s="2"/>
      <c r="P1045" s="2"/>
      <c r="Q1045" s="50"/>
      <c r="R1045" s="50"/>
      <c r="S1045" s="2">
        <f>IFERROR(VLOOKUP(A1045,IMPORT_DESISTENCIA!$A$2:$Q2273,14,0),"NÃO")</f>
        <v>0</v>
      </c>
      <c r="T1045" s="35"/>
    </row>
    <row r="1046" spans="1:20" ht="45" customHeight="1" x14ac:dyDescent="0.25">
      <c r="A1046" s="2" t="str">
        <f t="shared" si="1"/>
        <v/>
      </c>
      <c r="B1046" s="2"/>
      <c r="C1046" s="43"/>
      <c r="D1046" s="2"/>
      <c r="E1046" s="2"/>
      <c r="F1046" s="2"/>
      <c r="G1046" s="11"/>
      <c r="H1046" s="11"/>
      <c r="I1046" s="2"/>
      <c r="J1046" s="2"/>
      <c r="K1046" s="2"/>
      <c r="L1046" s="10"/>
      <c r="M1046" s="9"/>
      <c r="N1046" s="2"/>
      <c r="O1046" s="2"/>
      <c r="P1046" s="2"/>
      <c r="Q1046" s="50"/>
      <c r="R1046" s="50"/>
      <c r="S1046" s="2">
        <f>IFERROR(VLOOKUP(A1046,IMPORT_DESISTENCIA!$A$2:$Q2273,14,0),"NÃO")</f>
        <v>0</v>
      </c>
      <c r="T1046" s="35"/>
    </row>
    <row r="1047" spans="1:20" ht="45" customHeight="1" x14ac:dyDescent="0.25">
      <c r="A1047" s="2" t="str">
        <f t="shared" si="1"/>
        <v/>
      </c>
      <c r="B1047" s="2"/>
      <c r="C1047" s="43"/>
      <c r="D1047" s="2"/>
      <c r="E1047" s="2"/>
      <c r="F1047" s="2"/>
      <c r="G1047" s="11"/>
      <c r="H1047" s="11"/>
      <c r="I1047" s="2"/>
      <c r="J1047" s="2"/>
      <c r="K1047" s="2"/>
      <c r="L1047" s="10"/>
      <c r="M1047" s="9"/>
      <c r="N1047" s="2"/>
      <c r="O1047" s="2"/>
      <c r="P1047" s="2"/>
      <c r="Q1047" s="50"/>
      <c r="R1047" s="50"/>
      <c r="S1047" s="2">
        <f>IFERROR(VLOOKUP(A1047,IMPORT_DESISTENCIA!$A$2:$Q2273,14,0),"NÃO")</f>
        <v>0</v>
      </c>
      <c r="T1047" s="35"/>
    </row>
    <row r="1048" spans="1:20" ht="45" customHeight="1" x14ac:dyDescent="0.25">
      <c r="A1048" s="2" t="str">
        <f t="shared" si="1"/>
        <v/>
      </c>
      <c r="B1048" s="2"/>
      <c r="C1048" s="43"/>
      <c r="D1048" s="2"/>
      <c r="E1048" s="2"/>
      <c r="F1048" s="2"/>
      <c r="G1048" s="11"/>
      <c r="H1048" s="11"/>
      <c r="I1048" s="2"/>
      <c r="J1048" s="2"/>
      <c r="K1048" s="2"/>
      <c r="L1048" s="10"/>
      <c r="M1048" s="9"/>
      <c r="N1048" s="2"/>
      <c r="O1048" s="2"/>
      <c r="P1048" s="2"/>
      <c r="Q1048" s="50"/>
      <c r="R1048" s="50"/>
      <c r="S1048" s="2">
        <f>IFERROR(VLOOKUP(A1048,IMPORT_DESISTENCIA!$A$2:$Q2273,14,0),"NÃO")</f>
        <v>0</v>
      </c>
      <c r="T1048" s="35"/>
    </row>
    <row r="1049" spans="1:20" ht="45" customHeight="1" x14ac:dyDescent="0.25">
      <c r="A1049" s="2" t="str">
        <f t="shared" si="1"/>
        <v/>
      </c>
      <c r="B1049" s="2"/>
      <c r="C1049" s="43"/>
      <c r="D1049" s="2"/>
      <c r="E1049" s="2"/>
      <c r="F1049" s="2"/>
      <c r="G1049" s="11"/>
      <c r="H1049" s="11"/>
      <c r="I1049" s="2"/>
      <c r="J1049" s="2"/>
      <c r="K1049" s="2"/>
      <c r="L1049" s="10"/>
      <c r="M1049" s="9"/>
      <c r="N1049" s="2"/>
      <c r="O1049" s="2"/>
      <c r="P1049" s="2"/>
      <c r="Q1049" s="50"/>
      <c r="R1049" s="50"/>
      <c r="S1049" s="2">
        <f>IFERROR(VLOOKUP(A1049,IMPORT_DESISTENCIA!$A$2:$Q2273,14,0),"NÃO")</f>
        <v>0</v>
      </c>
      <c r="T1049" s="35"/>
    </row>
    <row r="1050" spans="1:20" ht="45" customHeight="1" x14ac:dyDescent="0.25">
      <c r="A1050" s="2" t="str">
        <f t="shared" si="1"/>
        <v/>
      </c>
      <c r="B1050" s="2"/>
      <c r="C1050" s="43"/>
      <c r="D1050" s="2"/>
      <c r="E1050" s="2"/>
      <c r="F1050" s="2"/>
      <c r="G1050" s="11"/>
      <c r="H1050" s="11"/>
      <c r="I1050" s="2"/>
      <c r="J1050" s="2"/>
      <c r="K1050" s="2"/>
      <c r="L1050" s="10"/>
      <c r="M1050" s="9"/>
      <c r="N1050" s="2"/>
      <c r="O1050" s="2"/>
      <c r="P1050" s="2"/>
      <c r="Q1050" s="50"/>
      <c r="R1050" s="50"/>
      <c r="S1050" s="2">
        <f>IFERROR(VLOOKUP(A1050,IMPORT_DESISTENCIA!$A$2:$Q2273,14,0),"NÃO")</f>
        <v>0</v>
      </c>
      <c r="T1050" s="35"/>
    </row>
    <row r="1051" spans="1:20" ht="45" customHeight="1" x14ac:dyDescent="0.25">
      <c r="A1051" s="2" t="str">
        <f t="shared" si="1"/>
        <v/>
      </c>
      <c r="B1051" s="2"/>
      <c r="C1051" s="43"/>
      <c r="D1051" s="2"/>
      <c r="E1051" s="2"/>
      <c r="F1051" s="2"/>
      <c r="G1051" s="11"/>
      <c r="H1051" s="11"/>
      <c r="I1051" s="2"/>
      <c r="J1051" s="2"/>
      <c r="K1051" s="2"/>
      <c r="L1051" s="10"/>
      <c r="M1051" s="9"/>
      <c r="N1051" s="2"/>
      <c r="O1051" s="2"/>
      <c r="P1051" s="2"/>
      <c r="Q1051" s="50"/>
      <c r="R1051" s="50"/>
      <c r="S1051" s="2">
        <f>IFERROR(VLOOKUP(A1051,IMPORT_DESISTENCIA!$A$2:$Q2273,14,0),"NÃO")</f>
        <v>0</v>
      </c>
      <c r="T1051" s="35"/>
    </row>
    <row r="1052" spans="1:20" ht="45" customHeight="1" x14ac:dyDescent="0.25">
      <c r="A1052" s="2" t="str">
        <f t="shared" si="1"/>
        <v/>
      </c>
      <c r="B1052" s="2"/>
      <c r="C1052" s="43"/>
      <c r="D1052" s="2"/>
      <c r="E1052" s="2"/>
      <c r="F1052" s="2"/>
      <c r="G1052" s="11"/>
      <c r="H1052" s="11"/>
      <c r="I1052" s="2"/>
      <c r="J1052" s="2"/>
      <c r="K1052" s="2"/>
      <c r="L1052" s="10"/>
      <c r="M1052" s="9"/>
      <c r="N1052" s="2"/>
      <c r="O1052" s="2"/>
      <c r="P1052" s="2"/>
      <c r="Q1052" s="50"/>
      <c r="R1052" s="50"/>
      <c r="S1052" s="2">
        <f>IFERROR(VLOOKUP(A1052,IMPORT_DESISTENCIA!$A$2:$Q2273,14,0),"NÃO")</f>
        <v>0</v>
      </c>
      <c r="T1052" s="35"/>
    </row>
    <row r="1053" spans="1:20" ht="45" customHeight="1" x14ac:dyDescent="0.25">
      <c r="A1053" s="2" t="str">
        <f t="shared" si="1"/>
        <v/>
      </c>
      <c r="B1053" s="2"/>
      <c r="C1053" s="43"/>
      <c r="D1053" s="2"/>
      <c r="E1053" s="2"/>
      <c r="F1053" s="2"/>
      <c r="G1053" s="11"/>
      <c r="H1053" s="11"/>
      <c r="I1053" s="2"/>
      <c r="J1053" s="2"/>
      <c r="K1053" s="2"/>
      <c r="L1053" s="10"/>
      <c r="M1053" s="9"/>
      <c r="N1053" s="2"/>
      <c r="O1053" s="2"/>
      <c r="P1053" s="2"/>
      <c r="Q1053" s="50"/>
      <c r="R1053" s="50"/>
      <c r="S1053" s="2">
        <f>IFERROR(VLOOKUP(A1053,IMPORT_DESISTENCIA!$A$2:$Q2273,14,0),"NÃO")</f>
        <v>0</v>
      </c>
      <c r="T1053" s="35"/>
    </row>
    <row r="1054" spans="1:20" ht="45" customHeight="1" x14ac:dyDescent="0.25">
      <c r="A1054" s="2" t="str">
        <f t="shared" si="1"/>
        <v/>
      </c>
      <c r="B1054" s="2"/>
      <c r="C1054" s="43"/>
      <c r="D1054" s="2"/>
      <c r="E1054" s="2"/>
      <c r="F1054" s="2"/>
      <c r="G1054" s="11"/>
      <c r="H1054" s="11"/>
      <c r="I1054" s="2"/>
      <c r="J1054" s="2"/>
      <c r="K1054" s="2"/>
      <c r="L1054" s="10"/>
      <c r="M1054" s="9"/>
      <c r="N1054" s="2"/>
      <c r="O1054" s="2"/>
      <c r="P1054" s="2"/>
      <c r="Q1054" s="50"/>
      <c r="R1054" s="50"/>
      <c r="S1054" s="2">
        <f>IFERROR(VLOOKUP(A1054,IMPORT_DESISTENCIA!$A$2:$Q2273,14,0),"NÃO")</f>
        <v>0</v>
      </c>
      <c r="T1054" s="35"/>
    </row>
    <row r="1055" spans="1:20" ht="45" customHeight="1" x14ac:dyDescent="0.25">
      <c r="A1055" s="2" t="str">
        <f t="shared" si="1"/>
        <v/>
      </c>
      <c r="B1055" s="2"/>
      <c r="C1055" s="43"/>
      <c r="D1055" s="2"/>
      <c r="E1055" s="2"/>
      <c r="F1055" s="2"/>
      <c r="G1055" s="11"/>
      <c r="H1055" s="11"/>
      <c r="I1055" s="2"/>
      <c r="J1055" s="2"/>
      <c r="K1055" s="2"/>
      <c r="L1055" s="10"/>
      <c r="M1055" s="9"/>
      <c r="N1055" s="2"/>
      <c r="O1055" s="2"/>
      <c r="P1055" s="2"/>
      <c r="Q1055" s="50"/>
      <c r="R1055" s="50"/>
      <c r="S1055" s="2">
        <f>IFERROR(VLOOKUP(A1055,IMPORT_DESISTENCIA!$A$2:$Q2273,14,0),"NÃO")</f>
        <v>0</v>
      </c>
      <c r="T1055" s="35"/>
    </row>
    <row r="1056" spans="1:20" ht="45" customHeight="1" x14ac:dyDescent="0.25">
      <c r="A1056" s="2" t="str">
        <f t="shared" si="1"/>
        <v/>
      </c>
      <c r="B1056" s="2"/>
      <c r="C1056" s="43"/>
      <c r="D1056" s="2"/>
      <c r="E1056" s="2"/>
      <c r="F1056" s="2"/>
      <c r="G1056" s="11"/>
      <c r="H1056" s="11"/>
      <c r="I1056" s="2"/>
      <c r="J1056" s="2"/>
      <c r="K1056" s="2"/>
      <c r="L1056" s="10"/>
      <c r="M1056" s="9"/>
      <c r="N1056" s="2"/>
      <c r="O1056" s="2"/>
      <c r="P1056" s="2"/>
      <c r="Q1056" s="50"/>
      <c r="R1056" s="50"/>
      <c r="S1056" s="2">
        <f>IFERROR(VLOOKUP(A1056,IMPORT_DESISTENCIA!$A$2:$Q2273,14,0),"NÃO")</f>
        <v>0</v>
      </c>
      <c r="T1056" s="35"/>
    </row>
    <row r="1057" spans="1:20" ht="45" customHeight="1" x14ac:dyDescent="0.25">
      <c r="A1057" s="2" t="str">
        <f t="shared" si="1"/>
        <v/>
      </c>
      <c r="B1057" s="2"/>
      <c r="C1057" s="43"/>
      <c r="D1057" s="2"/>
      <c r="E1057" s="2"/>
      <c r="F1057" s="2"/>
      <c r="G1057" s="11"/>
      <c r="H1057" s="11"/>
      <c r="I1057" s="2"/>
      <c r="J1057" s="2"/>
      <c r="K1057" s="2"/>
      <c r="L1057" s="10"/>
      <c r="M1057" s="9"/>
      <c r="N1057" s="2"/>
      <c r="O1057" s="2"/>
      <c r="P1057" s="2"/>
      <c r="Q1057" s="50"/>
      <c r="R1057" s="50"/>
      <c r="S1057" s="2">
        <f>IFERROR(VLOOKUP(A1057,IMPORT_DESISTENCIA!$A$2:$Q2273,14,0),"NÃO")</f>
        <v>0</v>
      </c>
      <c r="T1057" s="35"/>
    </row>
    <row r="1058" spans="1:20" ht="45" customHeight="1" x14ac:dyDescent="0.25">
      <c r="A1058" s="2" t="str">
        <f t="shared" si="1"/>
        <v/>
      </c>
      <c r="B1058" s="2"/>
      <c r="C1058" s="43"/>
      <c r="D1058" s="2"/>
      <c r="E1058" s="2"/>
      <c r="F1058" s="2"/>
      <c r="G1058" s="11"/>
      <c r="H1058" s="11"/>
      <c r="I1058" s="2"/>
      <c r="J1058" s="2"/>
      <c r="K1058" s="2"/>
      <c r="L1058" s="10"/>
      <c r="M1058" s="9"/>
      <c r="N1058" s="2"/>
      <c r="O1058" s="2"/>
      <c r="P1058" s="2"/>
      <c r="Q1058" s="50"/>
      <c r="R1058" s="50"/>
      <c r="S1058" s="2">
        <f>IFERROR(VLOOKUP(A1058,IMPORT_DESISTENCIA!$A$2:$Q2273,14,0),"NÃO")</f>
        <v>0</v>
      </c>
      <c r="T1058" s="35"/>
    </row>
    <row r="1059" spans="1:20" ht="45" customHeight="1" x14ac:dyDescent="0.25">
      <c r="A1059" s="2" t="str">
        <f t="shared" si="1"/>
        <v/>
      </c>
      <c r="B1059" s="2"/>
      <c r="C1059" s="43"/>
      <c r="D1059" s="2"/>
      <c r="E1059" s="2"/>
      <c r="F1059" s="2"/>
      <c r="G1059" s="11"/>
      <c r="H1059" s="11"/>
      <c r="I1059" s="2"/>
      <c r="J1059" s="2"/>
      <c r="K1059" s="2"/>
      <c r="L1059" s="10"/>
      <c r="M1059" s="9"/>
      <c r="N1059" s="2"/>
      <c r="O1059" s="2"/>
      <c r="P1059" s="2"/>
      <c r="Q1059" s="50"/>
      <c r="R1059" s="50"/>
      <c r="S1059" s="2">
        <f>IFERROR(VLOOKUP(A1059,IMPORT_DESISTENCIA!$A$2:$Q2273,14,0),"NÃO")</f>
        <v>0</v>
      </c>
      <c r="T1059" s="35"/>
    </row>
    <row r="1060" spans="1:20" ht="45" customHeight="1" x14ac:dyDescent="0.25">
      <c r="A1060" s="2" t="str">
        <f t="shared" si="1"/>
        <v/>
      </c>
      <c r="B1060" s="2"/>
      <c r="C1060" s="43"/>
      <c r="D1060" s="2"/>
      <c r="E1060" s="2"/>
      <c r="F1060" s="2"/>
      <c r="G1060" s="11"/>
      <c r="H1060" s="11"/>
      <c r="I1060" s="2"/>
      <c r="J1060" s="2"/>
      <c r="K1060" s="2"/>
      <c r="L1060" s="10"/>
      <c r="M1060" s="9"/>
      <c r="N1060" s="2"/>
      <c r="O1060" s="2"/>
      <c r="P1060" s="2"/>
      <c r="Q1060" s="50"/>
      <c r="R1060" s="50"/>
      <c r="S1060" s="2">
        <f>IFERROR(VLOOKUP(A1060,IMPORT_DESISTENCIA!$A$2:$Q2273,14,0),"NÃO")</f>
        <v>0</v>
      </c>
      <c r="T1060" s="35"/>
    </row>
    <row r="1061" spans="1:20" ht="45" customHeight="1" x14ac:dyDescent="0.25">
      <c r="A1061" s="2" t="str">
        <f t="shared" si="1"/>
        <v/>
      </c>
      <c r="B1061" s="2"/>
      <c r="C1061" s="43"/>
      <c r="D1061" s="2"/>
      <c r="E1061" s="2"/>
      <c r="F1061" s="2"/>
      <c r="G1061" s="11"/>
      <c r="H1061" s="11"/>
      <c r="I1061" s="2"/>
      <c r="J1061" s="2"/>
      <c r="K1061" s="2"/>
      <c r="L1061" s="10"/>
      <c r="M1061" s="9"/>
      <c r="N1061" s="2"/>
      <c r="O1061" s="2"/>
      <c r="P1061" s="2"/>
      <c r="Q1061" s="50"/>
      <c r="R1061" s="50"/>
      <c r="S1061" s="2">
        <f>IFERROR(VLOOKUP(A1061,IMPORT_DESISTENCIA!$A$2:$Q2273,14,0),"NÃO")</f>
        <v>0</v>
      </c>
      <c r="T1061" s="35"/>
    </row>
    <row r="1062" spans="1:20" ht="45" customHeight="1" x14ac:dyDescent="0.25">
      <c r="A1062" s="2" t="str">
        <f t="shared" si="1"/>
        <v/>
      </c>
      <c r="B1062" s="2"/>
      <c r="C1062" s="43"/>
      <c r="D1062" s="2"/>
      <c r="E1062" s="2"/>
      <c r="F1062" s="2"/>
      <c r="G1062" s="11"/>
      <c r="H1062" s="11"/>
      <c r="I1062" s="2"/>
      <c r="J1062" s="2"/>
      <c r="K1062" s="2"/>
      <c r="L1062" s="10"/>
      <c r="M1062" s="9"/>
      <c r="N1062" s="2"/>
      <c r="O1062" s="2"/>
      <c r="P1062" s="2"/>
      <c r="Q1062" s="50"/>
      <c r="R1062" s="50"/>
      <c r="S1062" s="2">
        <f>IFERROR(VLOOKUP(A1062,IMPORT_DESISTENCIA!$A$2:$Q2273,14,0),"NÃO")</f>
        <v>0</v>
      </c>
      <c r="T1062" s="35"/>
    </row>
    <row r="1063" spans="1:20" ht="45" customHeight="1" x14ac:dyDescent="0.25">
      <c r="A1063" s="2" t="str">
        <f t="shared" si="1"/>
        <v/>
      </c>
      <c r="B1063" s="2"/>
      <c r="C1063" s="43"/>
      <c r="D1063" s="2"/>
      <c r="E1063" s="2"/>
      <c r="F1063" s="2"/>
      <c r="G1063" s="11"/>
      <c r="H1063" s="11"/>
      <c r="I1063" s="2"/>
      <c r="J1063" s="2"/>
      <c r="K1063" s="2"/>
      <c r="L1063" s="10"/>
      <c r="M1063" s="9"/>
      <c r="N1063" s="2"/>
      <c r="O1063" s="2"/>
      <c r="P1063" s="2"/>
      <c r="Q1063" s="50"/>
      <c r="R1063" s="50"/>
      <c r="S1063" s="2">
        <f>IFERROR(VLOOKUP(A1063,IMPORT_DESISTENCIA!$A$2:$Q2273,14,0),"NÃO")</f>
        <v>0</v>
      </c>
      <c r="T1063" s="35"/>
    </row>
    <row r="1064" spans="1:20" ht="45" customHeight="1" x14ac:dyDescent="0.25">
      <c r="A1064" s="2" t="str">
        <f t="shared" si="1"/>
        <v/>
      </c>
      <c r="B1064" s="2"/>
      <c r="C1064" s="43"/>
      <c r="D1064" s="2"/>
      <c r="E1064" s="2"/>
      <c r="F1064" s="2"/>
      <c r="G1064" s="11"/>
      <c r="H1064" s="11"/>
      <c r="I1064" s="2"/>
      <c r="J1064" s="2"/>
      <c r="K1064" s="2"/>
      <c r="L1064" s="10"/>
      <c r="M1064" s="9"/>
      <c r="N1064" s="2"/>
      <c r="O1064" s="2"/>
      <c r="P1064" s="2"/>
      <c r="Q1064" s="50"/>
      <c r="R1064" s="50"/>
      <c r="S1064" s="2">
        <f>IFERROR(VLOOKUP(A1064,IMPORT_DESISTENCIA!$A$2:$Q2273,14,0),"NÃO")</f>
        <v>0</v>
      </c>
      <c r="T1064" s="35"/>
    </row>
    <row r="1065" spans="1:20" ht="45" customHeight="1" x14ac:dyDescent="0.25">
      <c r="A1065" s="2" t="str">
        <f t="shared" si="1"/>
        <v/>
      </c>
      <c r="B1065" s="2"/>
      <c r="C1065" s="43"/>
      <c r="D1065" s="2"/>
      <c r="E1065" s="2"/>
      <c r="F1065" s="2"/>
      <c r="G1065" s="11"/>
      <c r="H1065" s="11"/>
      <c r="I1065" s="2"/>
      <c r="J1065" s="2"/>
      <c r="K1065" s="2"/>
      <c r="L1065" s="10"/>
      <c r="M1065" s="9"/>
      <c r="N1065" s="2"/>
      <c r="O1065" s="2"/>
      <c r="P1065" s="2"/>
      <c r="Q1065" s="50"/>
      <c r="R1065" s="50"/>
      <c r="S1065" s="2">
        <f>IFERROR(VLOOKUP(A1065,IMPORT_DESISTENCIA!$A$2:$Q2273,14,0),"NÃO")</f>
        <v>0</v>
      </c>
      <c r="T1065" s="35"/>
    </row>
    <row r="1066" spans="1:20" ht="45" customHeight="1" x14ac:dyDescent="0.25">
      <c r="A1066" s="2" t="str">
        <f t="shared" si="1"/>
        <v/>
      </c>
      <c r="B1066" s="2"/>
      <c r="C1066" s="43"/>
      <c r="D1066" s="2"/>
      <c r="E1066" s="2"/>
      <c r="F1066" s="2"/>
      <c r="G1066" s="11"/>
      <c r="H1066" s="11"/>
      <c r="I1066" s="2"/>
      <c r="J1066" s="2"/>
      <c r="K1066" s="2"/>
      <c r="L1066" s="10"/>
      <c r="M1066" s="9"/>
      <c r="N1066" s="2"/>
      <c r="O1066" s="2"/>
      <c r="P1066" s="2"/>
      <c r="Q1066" s="50"/>
      <c r="R1066" s="50"/>
      <c r="S1066" s="2">
        <f>IFERROR(VLOOKUP(A1066,IMPORT_DESISTENCIA!$A$2:$Q2273,14,0),"NÃO")</f>
        <v>0</v>
      </c>
      <c r="T1066" s="35"/>
    </row>
    <row r="1067" spans="1:20" ht="45" customHeight="1" x14ac:dyDescent="0.25">
      <c r="A1067" s="2" t="str">
        <f t="shared" si="1"/>
        <v/>
      </c>
      <c r="B1067" s="2"/>
      <c r="C1067" s="43"/>
      <c r="D1067" s="2"/>
      <c r="E1067" s="2"/>
      <c r="F1067" s="2"/>
      <c r="G1067" s="11"/>
      <c r="H1067" s="11"/>
      <c r="I1067" s="2"/>
      <c r="J1067" s="2"/>
      <c r="K1067" s="2"/>
      <c r="L1067" s="10"/>
      <c r="M1067" s="9"/>
      <c r="N1067" s="2"/>
      <c r="O1067" s="2"/>
      <c r="P1067" s="2"/>
      <c r="Q1067" s="50"/>
      <c r="R1067" s="50"/>
      <c r="S1067" s="2">
        <f>IFERROR(VLOOKUP(A1067,IMPORT_DESISTENCIA!$A$2:$Q2273,14,0),"NÃO")</f>
        <v>0</v>
      </c>
      <c r="T1067" s="35"/>
    </row>
    <row r="1068" spans="1:20" ht="45" customHeight="1" x14ac:dyDescent="0.25">
      <c r="A1068" s="2" t="str">
        <f t="shared" si="1"/>
        <v/>
      </c>
      <c r="B1068" s="2"/>
      <c r="C1068" s="43"/>
      <c r="D1068" s="2"/>
      <c r="E1068" s="2"/>
      <c r="F1068" s="2"/>
      <c r="G1068" s="11"/>
      <c r="H1068" s="11"/>
      <c r="I1068" s="2"/>
      <c r="J1068" s="2"/>
      <c r="K1068" s="2"/>
      <c r="L1068" s="10"/>
      <c r="M1068" s="9"/>
      <c r="N1068" s="2"/>
      <c r="O1068" s="2"/>
      <c r="P1068" s="2"/>
      <c r="Q1068" s="50"/>
      <c r="R1068" s="50"/>
      <c r="S1068" s="2">
        <f>IFERROR(VLOOKUP(A1068,IMPORT_DESISTENCIA!$A$2:$Q2273,14,0),"NÃO")</f>
        <v>0</v>
      </c>
      <c r="T1068" s="35"/>
    </row>
    <row r="1069" spans="1:20" ht="45" customHeight="1" x14ac:dyDescent="0.25">
      <c r="A1069" s="2" t="str">
        <f t="shared" si="1"/>
        <v/>
      </c>
      <c r="B1069" s="2"/>
      <c r="C1069" s="43"/>
      <c r="D1069" s="2"/>
      <c r="E1069" s="2"/>
      <c r="F1069" s="2"/>
      <c r="G1069" s="11"/>
      <c r="H1069" s="11"/>
      <c r="I1069" s="2"/>
      <c r="J1069" s="2"/>
      <c r="K1069" s="2"/>
      <c r="L1069" s="10"/>
      <c r="M1069" s="9"/>
      <c r="N1069" s="2"/>
      <c r="O1069" s="2"/>
      <c r="P1069" s="2"/>
      <c r="Q1069" s="50"/>
      <c r="R1069" s="50"/>
      <c r="S1069" s="2">
        <f>IFERROR(VLOOKUP(A1069,IMPORT_DESISTENCIA!$A$2:$Q2273,14,0),"NÃO")</f>
        <v>0</v>
      </c>
      <c r="T1069" s="35"/>
    </row>
    <row r="1070" spans="1:20" ht="45" customHeight="1" x14ac:dyDescent="0.25">
      <c r="A1070" s="2" t="str">
        <f t="shared" si="1"/>
        <v/>
      </c>
      <c r="B1070" s="2"/>
      <c r="C1070" s="43"/>
      <c r="D1070" s="2"/>
      <c r="E1070" s="2"/>
      <c r="F1070" s="2"/>
      <c r="G1070" s="11"/>
      <c r="H1070" s="11"/>
      <c r="I1070" s="2"/>
      <c r="J1070" s="2"/>
      <c r="K1070" s="2"/>
      <c r="L1070" s="10"/>
      <c r="M1070" s="9"/>
      <c r="N1070" s="2"/>
      <c r="O1070" s="2"/>
      <c r="P1070" s="2"/>
      <c r="Q1070" s="50"/>
      <c r="R1070" s="50"/>
      <c r="S1070" s="2">
        <f>IFERROR(VLOOKUP(A1070,IMPORT_DESISTENCIA!$A$2:$Q2273,14,0),"NÃO")</f>
        <v>0</v>
      </c>
      <c r="T1070" s="35"/>
    </row>
    <row r="1071" spans="1:20" ht="45" customHeight="1" x14ac:dyDescent="0.25">
      <c r="A1071" s="2" t="str">
        <f t="shared" si="1"/>
        <v/>
      </c>
      <c r="B1071" s="2"/>
      <c r="C1071" s="43"/>
      <c r="D1071" s="2"/>
      <c r="E1071" s="2"/>
      <c r="F1071" s="2"/>
      <c r="G1071" s="11"/>
      <c r="H1071" s="11"/>
      <c r="I1071" s="2"/>
      <c r="J1071" s="2"/>
      <c r="K1071" s="2"/>
      <c r="L1071" s="10"/>
      <c r="M1071" s="9"/>
      <c r="N1071" s="2"/>
      <c r="O1071" s="2"/>
      <c r="P1071" s="2"/>
      <c r="Q1071" s="50"/>
      <c r="R1071" s="50"/>
      <c r="S1071" s="2">
        <f>IFERROR(VLOOKUP(A1071,IMPORT_DESISTENCIA!$A$2:$Q2273,14,0),"NÃO")</f>
        <v>0</v>
      </c>
      <c r="T1071" s="35"/>
    </row>
    <row r="1072" spans="1:20" ht="45" customHeight="1" x14ac:dyDescent="0.25">
      <c r="A1072" s="2" t="str">
        <f t="shared" si="1"/>
        <v/>
      </c>
      <c r="B1072" s="2"/>
      <c r="C1072" s="43"/>
      <c r="D1072" s="2"/>
      <c r="E1072" s="2"/>
      <c r="F1072" s="2"/>
      <c r="G1072" s="11"/>
      <c r="H1072" s="11"/>
      <c r="I1072" s="2"/>
      <c r="J1072" s="2"/>
      <c r="K1072" s="2"/>
      <c r="L1072" s="10"/>
      <c r="M1072" s="9"/>
      <c r="N1072" s="2"/>
      <c r="O1072" s="2"/>
      <c r="P1072" s="2"/>
      <c r="Q1072" s="50"/>
      <c r="R1072" s="50"/>
      <c r="S1072" s="2">
        <f>IFERROR(VLOOKUP(A1072,IMPORT_DESISTENCIA!$A$2:$Q2273,14,0),"NÃO")</f>
        <v>0</v>
      </c>
      <c r="T1072" s="35"/>
    </row>
    <row r="1073" spans="1:20" ht="45" customHeight="1" x14ac:dyDescent="0.25">
      <c r="A1073" s="2" t="str">
        <f t="shared" si="1"/>
        <v/>
      </c>
      <c r="B1073" s="2"/>
      <c r="C1073" s="43"/>
      <c r="D1073" s="2"/>
      <c r="E1073" s="2"/>
      <c r="F1073" s="2"/>
      <c r="G1073" s="11"/>
      <c r="H1073" s="11"/>
      <c r="I1073" s="2"/>
      <c r="J1073" s="2"/>
      <c r="K1073" s="2"/>
      <c r="L1073" s="10"/>
      <c r="M1073" s="9"/>
      <c r="N1073" s="2"/>
      <c r="O1073" s="2"/>
      <c r="P1073" s="2"/>
      <c r="Q1073" s="50"/>
      <c r="R1073" s="50"/>
      <c r="S1073" s="2">
        <f>IFERROR(VLOOKUP(A1073,IMPORT_DESISTENCIA!$A$2:$Q2273,14,0),"NÃO")</f>
        <v>0</v>
      </c>
      <c r="T1073" s="35"/>
    </row>
    <row r="1074" spans="1:20" ht="45" customHeight="1" x14ac:dyDescent="0.25">
      <c r="A1074" s="2" t="str">
        <f t="shared" si="1"/>
        <v/>
      </c>
      <c r="B1074" s="2"/>
      <c r="C1074" s="43"/>
      <c r="D1074" s="2"/>
      <c r="E1074" s="2"/>
      <c r="F1074" s="2"/>
      <c r="G1074" s="11"/>
      <c r="H1074" s="11"/>
      <c r="I1074" s="2"/>
      <c r="J1074" s="2"/>
      <c r="K1074" s="2"/>
      <c r="L1074" s="10"/>
      <c r="M1074" s="9"/>
      <c r="N1074" s="2"/>
      <c r="O1074" s="2"/>
      <c r="P1074" s="2"/>
      <c r="Q1074" s="50"/>
      <c r="R1074" s="50"/>
      <c r="S1074" s="2">
        <f>IFERROR(VLOOKUP(A1074,IMPORT_DESISTENCIA!$A$2:$Q2273,14,0),"NÃO")</f>
        <v>0</v>
      </c>
      <c r="T1074" s="35"/>
    </row>
    <row r="1075" spans="1:20" ht="45" customHeight="1" x14ac:dyDescent="0.25">
      <c r="A1075" s="2" t="str">
        <f t="shared" si="1"/>
        <v/>
      </c>
      <c r="B1075" s="2"/>
      <c r="C1075" s="43"/>
      <c r="D1075" s="2"/>
      <c r="E1075" s="2"/>
      <c r="F1075" s="2"/>
      <c r="G1075" s="11"/>
      <c r="H1075" s="11"/>
      <c r="I1075" s="2"/>
      <c r="J1075" s="2"/>
      <c r="K1075" s="2"/>
      <c r="L1075" s="10"/>
      <c r="M1075" s="9"/>
      <c r="N1075" s="2"/>
      <c r="O1075" s="2"/>
      <c r="P1075" s="2"/>
      <c r="Q1075" s="50"/>
      <c r="R1075" s="50"/>
      <c r="S1075" s="2">
        <f>IFERROR(VLOOKUP(A1075,IMPORT_DESISTENCIA!$A$2:$Q2273,14,0),"NÃO")</f>
        <v>0</v>
      </c>
      <c r="T1075" s="35"/>
    </row>
    <row r="1076" spans="1:20" ht="45" customHeight="1" x14ac:dyDescent="0.25">
      <c r="A1076" s="2" t="str">
        <f t="shared" si="1"/>
        <v/>
      </c>
      <c r="B1076" s="2"/>
      <c r="C1076" s="43"/>
      <c r="D1076" s="2"/>
      <c r="E1076" s="2"/>
      <c r="F1076" s="2"/>
      <c r="G1076" s="11"/>
      <c r="H1076" s="11"/>
      <c r="I1076" s="2"/>
      <c r="J1076" s="2"/>
      <c r="K1076" s="2"/>
      <c r="L1076" s="10"/>
      <c r="M1076" s="9"/>
      <c r="N1076" s="2"/>
      <c r="O1076" s="2"/>
      <c r="P1076" s="2"/>
      <c r="Q1076" s="50"/>
      <c r="R1076" s="50"/>
      <c r="S1076" s="2">
        <f>IFERROR(VLOOKUP(A1076,IMPORT_DESISTENCIA!$A$2:$Q2273,14,0),"NÃO")</f>
        <v>0</v>
      </c>
      <c r="T1076" s="35"/>
    </row>
    <row r="1077" spans="1:20" ht="45" customHeight="1" x14ac:dyDescent="0.25">
      <c r="A1077" s="2" t="str">
        <f t="shared" si="1"/>
        <v/>
      </c>
      <c r="B1077" s="2"/>
      <c r="C1077" s="43"/>
      <c r="D1077" s="2"/>
      <c r="E1077" s="2"/>
      <c r="F1077" s="2"/>
      <c r="G1077" s="11"/>
      <c r="H1077" s="11"/>
      <c r="I1077" s="2"/>
      <c r="J1077" s="2"/>
      <c r="K1077" s="2"/>
      <c r="L1077" s="10"/>
      <c r="M1077" s="9"/>
      <c r="N1077" s="2"/>
      <c r="O1077" s="2"/>
      <c r="P1077" s="2"/>
      <c r="Q1077" s="50"/>
      <c r="R1077" s="50"/>
      <c r="S1077" s="2">
        <f>IFERROR(VLOOKUP(A1077,IMPORT_DESISTENCIA!$A$2:$Q2273,14,0),"NÃO")</f>
        <v>0</v>
      </c>
      <c r="T1077" s="35"/>
    </row>
    <row r="1078" spans="1:20" ht="45" customHeight="1" x14ac:dyDescent="0.25">
      <c r="A1078" s="2" t="str">
        <f t="shared" si="1"/>
        <v/>
      </c>
      <c r="B1078" s="2"/>
      <c r="C1078" s="43"/>
      <c r="D1078" s="2"/>
      <c r="E1078" s="2"/>
      <c r="F1078" s="2"/>
      <c r="G1078" s="11"/>
      <c r="H1078" s="11"/>
      <c r="I1078" s="2"/>
      <c r="J1078" s="2"/>
      <c r="K1078" s="2"/>
      <c r="L1078" s="10"/>
      <c r="M1078" s="9"/>
      <c r="N1078" s="2"/>
      <c r="O1078" s="2"/>
      <c r="P1078" s="2"/>
      <c r="Q1078" s="50"/>
      <c r="R1078" s="50"/>
      <c r="S1078" s="2">
        <f>IFERROR(VLOOKUP(A1078,IMPORT_DESISTENCIA!$A$2:$Q2273,14,0),"NÃO")</f>
        <v>0</v>
      </c>
      <c r="T1078" s="35"/>
    </row>
    <row r="1079" spans="1:20" ht="45" customHeight="1" x14ac:dyDescent="0.25">
      <c r="A1079" s="2" t="str">
        <f t="shared" si="1"/>
        <v/>
      </c>
      <c r="B1079" s="2"/>
      <c r="C1079" s="43"/>
      <c r="D1079" s="2"/>
      <c r="E1079" s="2"/>
      <c r="F1079" s="2"/>
      <c r="G1079" s="11"/>
      <c r="H1079" s="11"/>
      <c r="I1079" s="2"/>
      <c r="J1079" s="2"/>
      <c r="K1079" s="2"/>
      <c r="L1079" s="10"/>
      <c r="M1079" s="9"/>
      <c r="N1079" s="2"/>
      <c r="O1079" s="2"/>
      <c r="P1079" s="2"/>
      <c r="Q1079" s="50"/>
      <c r="R1079" s="50"/>
      <c r="S1079" s="2">
        <f>IFERROR(VLOOKUP(A1079,IMPORT_DESISTENCIA!$A$2:$Q2273,14,0),"NÃO")</f>
        <v>0</v>
      </c>
      <c r="T1079" s="35"/>
    </row>
    <row r="1080" spans="1:20" ht="45" customHeight="1" x14ac:dyDescent="0.25">
      <c r="A1080" s="2" t="str">
        <f t="shared" si="1"/>
        <v/>
      </c>
      <c r="B1080" s="2"/>
      <c r="C1080" s="43"/>
      <c r="D1080" s="2"/>
      <c r="E1080" s="2"/>
      <c r="F1080" s="2"/>
      <c r="G1080" s="11"/>
      <c r="H1080" s="11"/>
      <c r="I1080" s="2"/>
      <c r="J1080" s="2"/>
      <c r="K1080" s="2"/>
      <c r="L1080" s="10"/>
      <c r="M1080" s="9"/>
      <c r="N1080" s="2"/>
      <c r="O1080" s="2"/>
      <c r="P1080" s="2"/>
      <c r="Q1080" s="50"/>
      <c r="R1080" s="50"/>
      <c r="S1080" s="2">
        <f>IFERROR(VLOOKUP(A1080,IMPORT_DESISTENCIA!$A$2:$Q2273,14,0),"NÃO")</f>
        <v>0</v>
      </c>
      <c r="T1080" s="35"/>
    </row>
    <row r="1081" spans="1:20" ht="45" customHeight="1" x14ac:dyDescent="0.25">
      <c r="A1081" s="2" t="str">
        <f t="shared" si="1"/>
        <v/>
      </c>
      <c r="B1081" s="2"/>
      <c r="C1081" s="43"/>
      <c r="D1081" s="2"/>
      <c r="E1081" s="2"/>
      <c r="F1081" s="2"/>
      <c r="G1081" s="11"/>
      <c r="H1081" s="11"/>
      <c r="I1081" s="2"/>
      <c r="J1081" s="2"/>
      <c r="K1081" s="2"/>
      <c r="L1081" s="10"/>
      <c r="M1081" s="9"/>
      <c r="N1081" s="2"/>
      <c r="O1081" s="2"/>
      <c r="P1081" s="2"/>
      <c r="Q1081" s="50"/>
      <c r="R1081" s="50"/>
      <c r="S1081" s="2">
        <f>IFERROR(VLOOKUP(A1081,IMPORT_DESISTENCIA!$A$2:$Q2273,14,0),"NÃO")</f>
        <v>0</v>
      </c>
      <c r="T1081" s="35"/>
    </row>
    <row r="1082" spans="1:20" ht="45" customHeight="1" x14ac:dyDescent="0.25">
      <c r="A1082" s="2" t="str">
        <f t="shared" si="1"/>
        <v/>
      </c>
      <c r="B1082" s="2"/>
      <c r="C1082" s="43"/>
      <c r="D1082" s="2"/>
      <c r="E1082" s="2"/>
      <c r="F1082" s="2"/>
      <c r="G1082" s="11"/>
      <c r="H1082" s="11"/>
      <c r="I1082" s="2"/>
      <c r="J1082" s="2"/>
      <c r="K1082" s="2"/>
      <c r="L1082" s="10"/>
      <c r="M1082" s="9"/>
      <c r="N1082" s="2"/>
      <c r="O1082" s="2"/>
      <c r="P1082" s="2"/>
      <c r="Q1082" s="50"/>
      <c r="R1082" s="50"/>
      <c r="S1082" s="2">
        <f>IFERROR(VLOOKUP(A1082,IMPORT_DESISTENCIA!$A$2:$Q2273,14,0),"NÃO")</f>
        <v>0</v>
      </c>
      <c r="T1082" s="35"/>
    </row>
    <row r="1083" spans="1:20" ht="45" customHeight="1" x14ac:dyDescent="0.25">
      <c r="A1083" s="2" t="str">
        <f t="shared" si="1"/>
        <v/>
      </c>
      <c r="B1083" s="2"/>
      <c r="C1083" s="43"/>
      <c r="D1083" s="2"/>
      <c r="E1083" s="2"/>
      <c r="F1083" s="2"/>
      <c r="G1083" s="11"/>
      <c r="H1083" s="11"/>
      <c r="I1083" s="2"/>
      <c r="J1083" s="2"/>
      <c r="K1083" s="2"/>
      <c r="L1083" s="10"/>
      <c r="M1083" s="9"/>
      <c r="N1083" s="2"/>
      <c r="O1083" s="2"/>
      <c r="P1083" s="2"/>
      <c r="Q1083" s="50"/>
      <c r="R1083" s="50"/>
      <c r="S1083" s="2">
        <f>IFERROR(VLOOKUP(A1083,IMPORT_DESISTENCIA!$A$2:$Q2273,14,0),"NÃO")</f>
        <v>0</v>
      </c>
      <c r="T1083" s="35"/>
    </row>
    <row r="1084" spans="1:20" ht="45" customHeight="1" x14ac:dyDescent="0.25">
      <c r="A1084" s="2" t="str">
        <f t="shared" si="1"/>
        <v/>
      </c>
      <c r="B1084" s="2"/>
      <c r="C1084" s="43"/>
      <c r="D1084" s="2"/>
      <c r="E1084" s="2"/>
      <c r="F1084" s="2"/>
      <c r="G1084" s="11"/>
      <c r="H1084" s="11"/>
      <c r="I1084" s="2"/>
      <c r="J1084" s="2"/>
      <c r="K1084" s="2"/>
      <c r="L1084" s="10"/>
      <c r="M1084" s="9"/>
      <c r="N1084" s="2"/>
      <c r="O1084" s="2"/>
      <c r="P1084" s="2"/>
      <c r="Q1084" s="50"/>
      <c r="R1084" s="50"/>
      <c r="S1084" s="2">
        <f>IFERROR(VLOOKUP(A1084,IMPORT_DESISTENCIA!$A$2:$Q2273,14,0),"NÃO")</f>
        <v>0</v>
      </c>
      <c r="T1084" s="35"/>
    </row>
    <row r="1085" spans="1:20" ht="45" customHeight="1" x14ac:dyDescent="0.25">
      <c r="A1085" s="2" t="str">
        <f t="shared" si="1"/>
        <v/>
      </c>
      <c r="B1085" s="2"/>
      <c r="C1085" s="43"/>
      <c r="D1085" s="2"/>
      <c r="E1085" s="2"/>
      <c r="F1085" s="2"/>
      <c r="G1085" s="11"/>
      <c r="H1085" s="11"/>
      <c r="I1085" s="2"/>
      <c r="J1085" s="2"/>
      <c r="K1085" s="2"/>
      <c r="L1085" s="10"/>
      <c r="M1085" s="9"/>
      <c r="N1085" s="2"/>
      <c r="O1085" s="2"/>
      <c r="P1085" s="2"/>
      <c r="Q1085" s="50"/>
      <c r="R1085" s="50"/>
      <c r="S1085" s="2">
        <f>IFERROR(VLOOKUP(A1085,IMPORT_DESISTENCIA!$A$2:$Q2273,14,0),"NÃO")</f>
        <v>0</v>
      </c>
      <c r="T1085" s="35"/>
    </row>
    <row r="1086" spans="1:20" ht="45" customHeight="1" x14ac:dyDescent="0.25">
      <c r="A1086" s="2" t="str">
        <f t="shared" si="1"/>
        <v/>
      </c>
      <c r="B1086" s="2"/>
      <c r="C1086" s="43"/>
      <c r="D1086" s="2"/>
      <c r="E1086" s="2"/>
      <c r="F1086" s="2"/>
      <c r="G1086" s="11"/>
      <c r="H1086" s="11"/>
      <c r="I1086" s="2"/>
      <c r="J1086" s="2"/>
      <c r="K1086" s="2"/>
      <c r="L1086" s="10"/>
      <c r="M1086" s="9"/>
      <c r="N1086" s="2"/>
      <c r="O1086" s="2"/>
      <c r="P1086" s="2"/>
      <c r="Q1086" s="50"/>
      <c r="R1086" s="50"/>
      <c r="S1086" s="2">
        <f>IFERROR(VLOOKUP(A1086,IMPORT_DESISTENCIA!$A$2:$Q2273,14,0),"NÃO")</f>
        <v>0</v>
      </c>
      <c r="T1086" s="35"/>
    </row>
    <row r="1087" spans="1:20" ht="45" customHeight="1" x14ac:dyDescent="0.25">
      <c r="A1087" s="2" t="str">
        <f t="shared" si="1"/>
        <v/>
      </c>
      <c r="B1087" s="2"/>
      <c r="C1087" s="43"/>
      <c r="D1087" s="2"/>
      <c r="E1087" s="2"/>
      <c r="F1087" s="2"/>
      <c r="G1087" s="11"/>
      <c r="H1087" s="11"/>
      <c r="I1087" s="2"/>
      <c r="J1087" s="2"/>
      <c r="K1087" s="2"/>
      <c r="L1087" s="10"/>
      <c r="M1087" s="9"/>
      <c r="N1087" s="2"/>
      <c r="O1087" s="2"/>
      <c r="P1087" s="2"/>
      <c r="Q1087" s="50"/>
      <c r="R1087" s="50"/>
      <c r="S1087" s="2">
        <f>IFERROR(VLOOKUP(A1087,IMPORT_DESISTENCIA!$A$2:$Q2273,14,0),"NÃO")</f>
        <v>0</v>
      </c>
      <c r="T1087" s="35"/>
    </row>
    <row r="1088" spans="1:20" ht="45" customHeight="1" x14ac:dyDescent="0.25">
      <c r="A1088" s="2" t="str">
        <f t="shared" si="1"/>
        <v/>
      </c>
      <c r="B1088" s="2"/>
      <c r="C1088" s="43"/>
      <c r="D1088" s="2"/>
      <c r="E1088" s="2"/>
      <c r="F1088" s="2"/>
      <c r="G1088" s="11"/>
      <c r="H1088" s="11"/>
      <c r="I1088" s="2"/>
      <c r="J1088" s="2"/>
      <c r="K1088" s="2"/>
      <c r="L1088" s="10"/>
      <c r="M1088" s="9"/>
      <c r="N1088" s="2"/>
      <c r="O1088" s="2"/>
      <c r="P1088" s="2"/>
      <c r="Q1088" s="50"/>
      <c r="R1088" s="50"/>
      <c r="S1088" s="2">
        <f>IFERROR(VLOOKUP(A1088,IMPORT_DESISTENCIA!$A$2:$Q2273,14,0),"NÃO")</f>
        <v>0</v>
      </c>
      <c r="T1088" s="35"/>
    </row>
    <row r="1089" spans="1:20" ht="45" customHeight="1" x14ac:dyDescent="0.25">
      <c r="A1089" s="2" t="str">
        <f t="shared" si="1"/>
        <v/>
      </c>
      <c r="B1089" s="2"/>
      <c r="C1089" s="43"/>
      <c r="D1089" s="2"/>
      <c r="E1089" s="2"/>
      <c r="F1089" s="2"/>
      <c r="G1089" s="11"/>
      <c r="H1089" s="11"/>
      <c r="I1089" s="2"/>
      <c r="J1089" s="2"/>
      <c r="K1089" s="2"/>
      <c r="L1089" s="10"/>
      <c r="M1089" s="9"/>
      <c r="N1089" s="2"/>
      <c r="O1089" s="2"/>
      <c r="P1089" s="2"/>
      <c r="Q1089" s="50"/>
      <c r="R1089" s="50"/>
      <c r="S1089" s="2">
        <f>IFERROR(VLOOKUP(A1089,IMPORT_DESISTENCIA!$A$2:$Q2273,14,0),"NÃO")</f>
        <v>0</v>
      </c>
      <c r="T1089" s="35"/>
    </row>
    <row r="1090" spans="1:20" ht="45" customHeight="1" x14ac:dyDescent="0.25">
      <c r="A1090" s="2" t="str">
        <f t="shared" si="1"/>
        <v/>
      </c>
      <c r="B1090" s="2"/>
      <c r="C1090" s="43"/>
      <c r="D1090" s="2"/>
      <c r="E1090" s="2"/>
      <c r="F1090" s="2"/>
      <c r="G1090" s="11"/>
      <c r="H1090" s="11"/>
      <c r="I1090" s="2"/>
      <c r="J1090" s="2"/>
      <c r="K1090" s="2"/>
      <c r="L1090" s="10"/>
      <c r="M1090" s="9"/>
      <c r="N1090" s="2"/>
      <c r="O1090" s="2"/>
      <c r="P1090" s="2"/>
      <c r="Q1090" s="50"/>
      <c r="R1090" s="50"/>
      <c r="S1090" s="2">
        <f>IFERROR(VLOOKUP(A1090,IMPORT_DESISTENCIA!$A$2:$Q2273,14,0),"NÃO")</f>
        <v>0</v>
      </c>
      <c r="T1090" s="35"/>
    </row>
    <row r="1091" spans="1:20" ht="45" customHeight="1" x14ac:dyDescent="0.25">
      <c r="A1091" s="2" t="str">
        <f t="shared" si="1"/>
        <v/>
      </c>
      <c r="B1091" s="2"/>
      <c r="C1091" s="43"/>
      <c r="D1091" s="2"/>
      <c r="E1091" s="2"/>
      <c r="F1091" s="2"/>
      <c r="G1091" s="11"/>
      <c r="H1091" s="11"/>
      <c r="I1091" s="2"/>
      <c r="J1091" s="2"/>
      <c r="K1091" s="2"/>
      <c r="L1091" s="10"/>
      <c r="M1091" s="9"/>
      <c r="N1091" s="2"/>
      <c r="O1091" s="2"/>
      <c r="P1091" s="2"/>
      <c r="Q1091" s="50"/>
      <c r="R1091" s="50"/>
      <c r="S1091" s="2">
        <f>IFERROR(VLOOKUP(A1091,IMPORT_DESISTENCIA!$A$2:$Q2273,14,0),"NÃO")</f>
        <v>0</v>
      </c>
      <c r="T1091" s="35"/>
    </row>
    <row r="1092" spans="1:20" ht="45" customHeight="1" x14ac:dyDescent="0.25">
      <c r="A1092" s="2" t="str">
        <f t="shared" si="1"/>
        <v/>
      </c>
      <c r="B1092" s="2"/>
      <c r="C1092" s="43"/>
      <c r="D1092" s="2"/>
      <c r="E1092" s="2"/>
      <c r="F1092" s="2"/>
      <c r="G1092" s="11"/>
      <c r="H1092" s="11"/>
      <c r="I1092" s="2"/>
      <c r="J1092" s="2"/>
      <c r="K1092" s="2"/>
      <c r="L1092" s="10"/>
      <c r="M1092" s="9"/>
      <c r="N1092" s="2"/>
      <c r="O1092" s="2"/>
      <c r="P1092" s="2"/>
      <c r="Q1092" s="50"/>
      <c r="R1092" s="50"/>
      <c r="S1092" s="2">
        <f>IFERROR(VLOOKUP(A1092,IMPORT_DESISTENCIA!$A$2:$Q2273,14,0),"NÃO")</f>
        <v>0</v>
      </c>
      <c r="T1092" s="35"/>
    </row>
    <row r="1093" spans="1:20" ht="45" customHeight="1" x14ac:dyDescent="0.25">
      <c r="A1093" s="2" t="str">
        <f t="shared" si="1"/>
        <v/>
      </c>
      <c r="B1093" s="2"/>
      <c r="C1093" s="43"/>
      <c r="D1093" s="2"/>
      <c r="E1093" s="2"/>
      <c r="F1093" s="2"/>
      <c r="G1093" s="11"/>
      <c r="H1093" s="11"/>
      <c r="I1093" s="2"/>
      <c r="J1093" s="2"/>
      <c r="K1093" s="2"/>
      <c r="L1093" s="10"/>
      <c r="M1093" s="9"/>
      <c r="N1093" s="2"/>
      <c r="O1093" s="2"/>
      <c r="P1093" s="2"/>
      <c r="Q1093" s="50"/>
      <c r="R1093" s="50"/>
      <c r="S1093" s="2">
        <f>IFERROR(VLOOKUP(A1093,IMPORT_DESISTENCIA!$A$2:$Q2273,14,0),"NÃO")</f>
        <v>0</v>
      </c>
      <c r="T1093" s="35"/>
    </row>
    <row r="1094" spans="1:20" ht="45" customHeight="1" x14ac:dyDescent="0.25">
      <c r="A1094" s="2" t="str">
        <f t="shared" si="1"/>
        <v/>
      </c>
      <c r="B1094" s="2"/>
      <c r="C1094" s="43"/>
      <c r="D1094" s="2"/>
      <c r="E1094" s="2"/>
      <c r="F1094" s="2"/>
      <c r="G1094" s="11"/>
      <c r="H1094" s="11"/>
      <c r="I1094" s="2"/>
      <c r="J1094" s="2"/>
      <c r="K1094" s="2"/>
      <c r="L1094" s="10"/>
      <c r="M1094" s="9"/>
      <c r="N1094" s="2"/>
      <c r="O1094" s="2"/>
      <c r="P1094" s="2"/>
      <c r="Q1094" s="50"/>
      <c r="R1094" s="50"/>
      <c r="S1094" s="2">
        <f>IFERROR(VLOOKUP(A1094,IMPORT_DESISTENCIA!$A$2:$Q2273,14,0),"NÃO")</f>
        <v>0</v>
      </c>
      <c r="T1094" s="35"/>
    </row>
    <row r="1095" spans="1:20" ht="45" customHeight="1" x14ac:dyDescent="0.25">
      <c r="A1095" s="2" t="str">
        <f t="shared" si="1"/>
        <v/>
      </c>
      <c r="B1095" s="2"/>
      <c r="C1095" s="43"/>
      <c r="D1095" s="2"/>
      <c r="E1095" s="2"/>
      <c r="F1095" s="2"/>
      <c r="G1095" s="11"/>
      <c r="H1095" s="11"/>
      <c r="I1095" s="2"/>
      <c r="J1095" s="2"/>
      <c r="K1095" s="2"/>
      <c r="L1095" s="10"/>
      <c r="M1095" s="9"/>
      <c r="N1095" s="2"/>
      <c r="O1095" s="2"/>
      <c r="P1095" s="2"/>
      <c r="Q1095" s="50"/>
      <c r="R1095" s="50"/>
      <c r="S1095" s="2">
        <f>IFERROR(VLOOKUP(A1095,IMPORT_DESISTENCIA!$A$2:$Q2273,14,0),"NÃO")</f>
        <v>0</v>
      </c>
      <c r="T1095" s="35"/>
    </row>
    <row r="1096" spans="1:20" ht="45" customHeight="1" x14ac:dyDescent="0.25">
      <c r="A1096" s="2" t="str">
        <f t="shared" si="1"/>
        <v/>
      </c>
      <c r="B1096" s="2"/>
      <c r="C1096" s="43"/>
      <c r="D1096" s="2"/>
      <c r="E1096" s="2"/>
      <c r="F1096" s="2"/>
      <c r="G1096" s="11"/>
      <c r="H1096" s="11"/>
      <c r="I1096" s="2"/>
      <c r="J1096" s="2"/>
      <c r="K1096" s="2"/>
      <c r="L1096" s="10"/>
      <c r="M1096" s="9"/>
      <c r="N1096" s="2"/>
      <c r="O1096" s="2"/>
      <c r="P1096" s="2"/>
      <c r="Q1096" s="50"/>
      <c r="R1096" s="50"/>
      <c r="S1096" s="2">
        <f>IFERROR(VLOOKUP(A1096,IMPORT_DESISTENCIA!$A$2:$Q2273,14,0),"NÃO")</f>
        <v>0</v>
      </c>
      <c r="T1096" s="35"/>
    </row>
    <row r="1097" spans="1:20" ht="45" customHeight="1" x14ac:dyDescent="0.25">
      <c r="A1097" s="2" t="str">
        <f t="shared" si="1"/>
        <v/>
      </c>
      <c r="B1097" s="2"/>
      <c r="C1097" s="43"/>
      <c r="D1097" s="2"/>
      <c r="E1097" s="2"/>
      <c r="F1097" s="2"/>
      <c r="G1097" s="11"/>
      <c r="H1097" s="11"/>
      <c r="I1097" s="2"/>
      <c r="J1097" s="2"/>
      <c r="K1097" s="2"/>
      <c r="L1097" s="10"/>
      <c r="M1097" s="9"/>
      <c r="N1097" s="2"/>
      <c r="O1097" s="2"/>
      <c r="P1097" s="2"/>
      <c r="Q1097" s="50"/>
      <c r="R1097" s="50"/>
      <c r="S1097" s="2">
        <f>IFERROR(VLOOKUP(A1097,IMPORT_DESISTENCIA!$A$2:$Q2273,14,0),"NÃO")</f>
        <v>0</v>
      </c>
      <c r="T1097" s="35"/>
    </row>
    <row r="1098" spans="1:20" ht="45" customHeight="1" x14ac:dyDescent="0.25">
      <c r="A1098" s="2" t="str">
        <f t="shared" si="1"/>
        <v/>
      </c>
      <c r="B1098" s="2"/>
      <c r="C1098" s="43"/>
      <c r="D1098" s="2"/>
      <c r="E1098" s="2"/>
      <c r="F1098" s="2"/>
      <c r="G1098" s="11"/>
      <c r="H1098" s="11"/>
      <c r="I1098" s="2"/>
      <c r="J1098" s="2"/>
      <c r="K1098" s="2"/>
      <c r="L1098" s="10"/>
      <c r="M1098" s="9"/>
      <c r="N1098" s="2"/>
      <c r="O1098" s="2"/>
      <c r="P1098" s="2"/>
      <c r="Q1098" s="50"/>
      <c r="R1098" s="50"/>
      <c r="S1098" s="2">
        <f>IFERROR(VLOOKUP(A1098,IMPORT_DESISTENCIA!$A$2:$Q2273,14,0),"NÃO")</f>
        <v>0</v>
      </c>
      <c r="T1098" s="35"/>
    </row>
    <row r="1099" spans="1:20" ht="45" customHeight="1" x14ac:dyDescent="0.25">
      <c r="A1099" s="2" t="str">
        <f t="shared" si="1"/>
        <v/>
      </c>
      <c r="B1099" s="2"/>
      <c r="C1099" s="43"/>
      <c r="D1099" s="2"/>
      <c r="E1099" s="2"/>
      <c r="F1099" s="2"/>
      <c r="G1099" s="11"/>
      <c r="H1099" s="11"/>
      <c r="I1099" s="2"/>
      <c r="J1099" s="2"/>
      <c r="K1099" s="2"/>
      <c r="L1099" s="10"/>
      <c r="M1099" s="9"/>
      <c r="N1099" s="2"/>
      <c r="O1099" s="2"/>
      <c r="P1099" s="2"/>
      <c r="Q1099" s="50"/>
      <c r="R1099" s="50"/>
      <c r="S1099" s="2">
        <f>IFERROR(VLOOKUP(A1099,IMPORT_DESISTENCIA!$A$2:$Q2273,14,0),"NÃO")</f>
        <v>0</v>
      </c>
      <c r="T1099" s="35"/>
    </row>
    <row r="1100" spans="1:20" ht="45" customHeight="1" x14ac:dyDescent="0.25">
      <c r="A1100" s="2" t="str">
        <f t="shared" si="1"/>
        <v/>
      </c>
      <c r="B1100" s="2"/>
      <c r="C1100" s="43"/>
      <c r="D1100" s="2"/>
      <c r="E1100" s="2"/>
      <c r="F1100" s="2"/>
      <c r="G1100" s="11"/>
      <c r="H1100" s="11"/>
      <c r="I1100" s="2"/>
      <c r="J1100" s="2"/>
      <c r="K1100" s="2"/>
      <c r="L1100" s="10"/>
      <c r="M1100" s="9"/>
      <c r="N1100" s="2"/>
      <c r="O1100" s="2"/>
      <c r="P1100" s="2"/>
      <c r="Q1100" s="50"/>
      <c r="R1100" s="50"/>
      <c r="S1100" s="2">
        <f>IFERROR(VLOOKUP(A1100,IMPORT_DESISTENCIA!$A$2:$Q2273,14,0),"NÃO")</f>
        <v>0</v>
      </c>
      <c r="T1100" s="35"/>
    </row>
    <row r="1101" spans="1:20" ht="45" customHeight="1" x14ac:dyDescent="0.25">
      <c r="A1101" s="2" t="str">
        <f t="shared" si="1"/>
        <v/>
      </c>
      <c r="B1101" s="2"/>
      <c r="C1101" s="43"/>
      <c r="D1101" s="2"/>
      <c r="E1101" s="2"/>
      <c r="F1101" s="2"/>
      <c r="G1101" s="11"/>
      <c r="H1101" s="11"/>
      <c r="I1101" s="2"/>
      <c r="J1101" s="2"/>
      <c r="K1101" s="2"/>
      <c r="L1101" s="10"/>
      <c r="M1101" s="9"/>
      <c r="N1101" s="2"/>
      <c r="O1101" s="2"/>
      <c r="P1101" s="2"/>
      <c r="Q1101" s="50"/>
      <c r="R1101" s="50"/>
      <c r="S1101" s="2">
        <f>IFERROR(VLOOKUP(A1101,IMPORT_DESISTENCIA!$A$2:$Q2273,14,0),"NÃO")</f>
        <v>0</v>
      </c>
      <c r="T1101" s="35"/>
    </row>
    <row r="1102" spans="1:20" ht="45" customHeight="1" x14ac:dyDescent="0.25">
      <c r="A1102" s="2" t="str">
        <f t="shared" si="1"/>
        <v/>
      </c>
      <c r="B1102" s="2"/>
      <c r="C1102" s="43"/>
      <c r="D1102" s="2"/>
      <c r="E1102" s="2"/>
      <c r="F1102" s="2"/>
      <c r="G1102" s="11"/>
      <c r="H1102" s="11"/>
      <c r="I1102" s="2"/>
      <c r="J1102" s="2"/>
      <c r="K1102" s="2"/>
      <c r="L1102" s="10"/>
      <c r="M1102" s="9"/>
      <c r="N1102" s="2"/>
      <c r="O1102" s="2"/>
      <c r="P1102" s="2"/>
      <c r="Q1102" s="50"/>
      <c r="R1102" s="50"/>
      <c r="S1102" s="2">
        <f>IFERROR(VLOOKUP(A1102,IMPORT_DESISTENCIA!$A$2:$Q2273,14,0),"NÃO")</f>
        <v>0</v>
      </c>
      <c r="T1102" s="35"/>
    </row>
    <row r="1103" spans="1:20" ht="45" customHeight="1" x14ac:dyDescent="0.25">
      <c r="A1103" s="2" t="str">
        <f t="shared" si="1"/>
        <v/>
      </c>
      <c r="B1103" s="2"/>
      <c r="C1103" s="43"/>
      <c r="D1103" s="2"/>
      <c r="E1103" s="2"/>
      <c r="F1103" s="2"/>
      <c r="G1103" s="11"/>
      <c r="H1103" s="11"/>
      <c r="I1103" s="2"/>
      <c r="J1103" s="2"/>
      <c r="K1103" s="2"/>
      <c r="L1103" s="10"/>
      <c r="M1103" s="9"/>
      <c r="N1103" s="2"/>
      <c r="O1103" s="2"/>
      <c r="P1103" s="2"/>
      <c r="Q1103" s="50"/>
      <c r="R1103" s="50"/>
      <c r="S1103" s="2">
        <f>IFERROR(VLOOKUP(A1103,IMPORT_DESISTENCIA!$A$2:$Q2273,14,0),"NÃO")</f>
        <v>0</v>
      </c>
      <c r="T1103" s="35"/>
    </row>
    <row r="1104" spans="1:20" ht="45" customHeight="1" x14ac:dyDescent="0.25">
      <c r="A1104" s="2" t="str">
        <f t="shared" si="1"/>
        <v/>
      </c>
      <c r="B1104" s="2"/>
      <c r="C1104" s="43"/>
      <c r="D1104" s="2"/>
      <c r="E1104" s="2"/>
      <c r="F1104" s="2"/>
      <c r="G1104" s="11"/>
      <c r="H1104" s="11"/>
      <c r="I1104" s="2"/>
      <c r="J1104" s="2"/>
      <c r="K1104" s="2"/>
      <c r="L1104" s="10"/>
      <c r="M1104" s="9"/>
      <c r="N1104" s="2"/>
      <c r="O1104" s="2"/>
      <c r="P1104" s="2"/>
      <c r="Q1104" s="50"/>
      <c r="R1104" s="50"/>
      <c r="S1104" s="2">
        <f>IFERROR(VLOOKUP(A1104,IMPORT_DESISTENCIA!$A$2:$Q2273,14,0),"NÃO")</f>
        <v>0</v>
      </c>
      <c r="T1104" s="35"/>
    </row>
    <row r="1105" spans="1:20" ht="45" customHeight="1" x14ac:dyDescent="0.25">
      <c r="A1105" s="2" t="str">
        <f t="shared" si="1"/>
        <v/>
      </c>
      <c r="B1105" s="2"/>
      <c r="C1105" s="43"/>
      <c r="D1105" s="2"/>
      <c r="E1105" s="2"/>
      <c r="F1105" s="2"/>
      <c r="G1105" s="11"/>
      <c r="H1105" s="11"/>
      <c r="I1105" s="2"/>
      <c r="J1105" s="2"/>
      <c r="K1105" s="2"/>
      <c r="L1105" s="10"/>
      <c r="M1105" s="9"/>
      <c r="N1105" s="2"/>
      <c r="O1105" s="2"/>
      <c r="P1105" s="2"/>
      <c r="Q1105" s="50"/>
      <c r="R1105" s="50"/>
      <c r="S1105" s="2">
        <f>IFERROR(VLOOKUP(A1105,IMPORT_DESISTENCIA!$A$2:$Q2273,14,0),"NÃO")</f>
        <v>0</v>
      </c>
      <c r="T1105" s="35"/>
    </row>
    <row r="1106" spans="1:20" ht="45" customHeight="1" x14ac:dyDescent="0.25">
      <c r="A1106" s="2" t="str">
        <f t="shared" si="1"/>
        <v/>
      </c>
      <c r="B1106" s="2"/>
      <c r="C1106" s="43"/>
      <c r="D1106" s="2"/>
      <c r="E1106" s="2"/>
      <c r="F1106" s="2"/>
      <c r="G1106" s="11"/>
      <c r="H1106" s="11"/>
      <c r="I1106" s="2"/>
      <c r="J1106" s="2"/>
      <c r="K1106" s="2"/>
      <c r="L1106" s="10"/>
      <c r="M1106" s="9"/>
      <c r="N1106" s="2"/>
      <c r="O1106" s="2"/>
      <c r="P1106" s="2"/>
      <c r="Q1106" s="50"/>
      <c r="R1106" s="50"/>
      <c r="S1106" s="2">
        <f>IFERROR(VLOOKUP(A1106,IMPORT_DESISTENCIA!$A$2:$Q2273,14,0),"NÃO")</f>
        <v>0</v>
      </c>
      <c r="T1106" s="35"/>
    </row>
    <row r="1107" spans="1:20" ht="45" customHeight="1" x14ac:dyDescent="0.25">
      <c r="A1107" s="2" t="str">
        <f t="shared" si="1"/>
        <v/>
      </c>
      <c r="B1107" s="2"/>
      <c r="C1107" s="43"/>
      <c r="D1107" s="2"/>
      <c r="E1107" s="2"/>
      <c r="F1107" s="2"/>
      <c r="G1107" s="11"/>
      <c r="H1107" s="11"/>
      <c r="I1107" s="2"/>
      <c r="J1107" s="2"/>
      <c r="K1107" s="2"/>
      <c r="L1107" s="10"/>
      <c r="M1107" s="9"/>
      <c r="N1107" s="2"/>
      <c r="O1107" s="2"/>
      <c r="P1107" s="2"/>
      <c r="Q1107" s="50"/>
      <c r="R1107" s="50"/>
      <c r="S1107" s="2">
        <f>IFERROR(VLOOKUP(A1107,IMPORT_DESISTENCIA!$A$2:$Q2273,14,0),"NÃO")</f>
        <v>0</v>
      </c>
      <c r="T1107" s="35"/>
    </row>
    <row r="1108" spans="1:20" ht="45" customHeight="1" x14ac:dyDescent="0.25">
      <c r="A1108" s="2" t="str">
        <f t="shared" si="1"/>
        <v/>
      </c>
      <c r="B1108" s="2"/>
      <c r="C1108" s="43"/>
      <c r="D1108" s="2"/>
      <c r="E1108" s="2"/>
      <c r="F1108" s="2"/>
      <c r="G1108" s="11"/>
      <c r="H1108" s="11"/>
      <c r="I1108" s="2"/>
      <c r="J1108" s="2"/>
      <c r="K1108" s="2"/>
      <c r="L1108" s="10"/>
      <c r="M1108" s="9"/>
      <c r="N1108" s="2"/>
      <c r="O1108" s="2"/>
      <c r="P1108" s="2"/>
      <c r="Q1108" s="50"/>
      <c r="R1108" s="50"/>
      <c r="S1108" s="2">
        <f>IFERROR(VLOOKUP(A1108,IMPORT_DESISTENCIA!$A$2:$Q2273,14,0),"NÃO")</f>
        <v>0</v>
      </c>
      <c r="T1108" s="35"/>
    </row>
    <row r="1109" spans="1:20" ht="45" customHeight="1" x14ac:dyDescent="0.25">
      <c r="A1109" s="2" t="str">
        <f t="shared" si="1"/>
        <v/>
      </c>
      <c r="B1109" s="2"/>
      <c r="C1109" s="43"/>
      <c r="D1109" s="2"/>
      <c r="E1109" s="2"/>
      <c r="F1109" s="2"/>
      <c r="G1109" s="11"/>
      <c r="H1109" s="11"/>
      <c r="I1109" s="2"/>
      <c r="J1109" s="2"/>
      <c r="K1109" s="2"/>
      <c r="L1109" s="10"/>
      <c r="M1109" s="9"/>
      <c r="N1109" s="2"/>
      <c r="O1109" s="2"/>
      <c r="P1109" s="2"/>
      <c r="Q1109" s="50"/>
      <c r="R1109" s="50"/>
      <c r="S1109" s="2">
        <f>IFERROR(VLOOKUP(A1109,IMPORT_DESISTENCIA!$A$2:$Q2273,14,0),"NÃO")</f>
        <v>0</v>
      </c>
      <c r="T1109" s="35"/>
    </row>
    <row r="1110" spans="1:20" ht="45" customHeight="1" x14ac:dyDescent="0.25">
      <c r="A1110" s="2" t="str">
        <f t="shared" si="1"/>
        <v/>
      </c>
      <c r="B1110" s="2"/>
      <c r="C1110" s="43"/>
      <c r="D1110" s="2"/>
      <c r="E1110" s="2"/>
      <c r="F1110" s="2"/>
      <c r="G1110" s="11"/>
      <c r="H1110" s="11"/>
      <c r="I1110" s="2"/>
      <c r="J1110" s="2"/>
      <c r="K1110" s="2"/>
      <c r="L1110" s="10"/>
      <c r="M1110" s="9"/>
      <c r="N1110" s="2"/>
      <c r="O1110" s="2"/>
      <c r="P1110" s="2"/>
      <c r="Q1110" s="50"/>
      <c r="R1110" s="50"/>
      <c r="S1110" s="2">
        <f>IFERROR(VLOOKUP(A1110,IMPORT_DESISTENCIA!$A$2:$Q2273,14,0),"NÃO")</f>
        <v>0</v>
      </c>
      <c r="T1110" s="35"/>
    </row>
    <row r="1111" spans="1:20" ht="45" customHeight="1" x14ac:dyDescent="0.25">
      <c r="A1111" s="2" t="str">
        <f t="shared" si="1"/>
        <v/>
      </c>
      <c r="B1111" s="2"/>
      <c r="C1111" s="43"/>
      <c r="D1111" s="2"/>
      <c r="E1111" s="2"/>
      <c r="F1111" s="2"/>
      <c r="G1111" s="11"/>
      <c r="H1111" s="11"/>
      <c r="I1111" s="2"/>
      <c r="J1111" s="2"/>
      <c r="K1111" s="2"/>
      <c r="L1111" s="10"/>
      <c r="M1111" s="9"/>
      <c r="N1111" s="2"/>
      <c r="O1111" s="2"/>
      <c r="P1111" s="2"/>
      <c r="Q1111" s="50"/>
      <c r="R1111" s="50"/>
      <c r="S1111" s="2">
        <f>IFERROR(VLOOKUP(A1111,IMPORT_DESISTENCIA!$A$2:$Q2273,14,0),"NÃO")</f>
        <v>0</v>
      </c>
      <c r="T1111" s="35"/>
    </row>
    <row r="1112" spans="1:20" ht="45" customHeight="1" x14ac:dyDescent="0.25">
      <c r="A1112" s="2" t="str">
        <f t="shared" si="1"/>
        <v/>
      </c>
      <c r="B1112" s="2"/>
      <c r="C1112" s="43"/>
      <c r="D1112" s="2"/>
      <c r="E1112" s="2"/>
      <c r="F1112" s="2"/>
      <c r="G1112" s="11"/>
      <c r="H1112" s="11"/>
      <c r="I1112" s="2"/>
      <c r="J1112" s="2"/>
      <c r="K1112" s="2"/>
      <c r="L1112" s="10"/>
      <c r="M1112" s="9"/>
      <c r="N1112" s="2"/>
      <c r="O1112" s="2"/>
      <c r="P1112" s="2"/>
      <c r="Q1112" s="50"/>
      <c r="R1112" s="50"/>
      <c r="S1112" s="2">
        <f>IFERROR(VLOOKUP(A1112,IMPORT_DESISTENCIA!$A$2:$Q2273,14,0),"NÃO")</f>
        <v>0</v>
      </c>
      <c r="T1112" s="35"/>
    </row>
    <row r="1113" spans="1:20" ht="45" customHeight="1" x14ac:dyDescent="0.25">
      <c r="A1113" s="2" t="str">
        <f t="shared" si="1"/>
        <v/>
      </c>
      <c r="B1113" s="2"/>
      <c r="C1113" s="43"/>
      <c r="D1113" s="2"/>
      <c r="E1113" s="2"/>
      <c r="F1113" s="2"/>
      <c r="G1113" s="11"/>
      <c r="H1113" s="11"/>
      <c r="I1113" s="2"/>
      <c r="J1113" s="2"/>
      <c r="K1113" s="2"/>
      <c r="L1113" s="10"/>
      <c r="M1113" s="9"/>
      <c r="N1113" s="2"/>
      <c r="O1113" s="2"/>
      <c r="P1113" s="2"/>
      <c r="Q1113" s="50"/>
      <c r="R1113" s="50"/>
      <c r="S1113" s="2">
        <f>IFERROR(VLOOKUP(A1113,IMPORT_DESISTENCIA!$A$2:$Q2273,14,0),"NÃO")</f>
        <v>0</v>
      </c>
      <c r="T1113" s="35"/>
    </row>
    <row r="1114" spans="1:20" ht="45" customHeight="1" x14ac:dyDescent="0.25">
      <c r="A1114" s="2" t="str">
        <f t="shared" si="1"/>
        <v/>
      </c>
      <c r="B1114" s="2"/>
      <c r="C1114" s="43"/>
      <c r="D1114" s="2"/>
      <c r="E1114" s="2"/>
      <c r="F1114" s="2"/>
      <c r="G1114" s="11"/>
      <c r="H1114" s="11"/>
      <c r="I1114" s="2"/>
      <c r="J1114" s="2"/>
      <c r="K1114" s="2"/>
      <c r="L1114" s="10"/>
      <c r="M1114" s="9"/>
      <c r="N1114" s="2"/>
      <c r="O1114" s="2"/>
      <c r="P1114" s="2"/>
      <c r="Q1114" s="50"/>
      <c r="R1114" s="50"/>
      <c r="S1114" s="2">
        <f>IFERROR(VLOOKUP(A1114,IMPORT_DESISTENCIA!$A$2:$Q2273,14,0),"NÃO")</f>
        <v>0</v>
      </c>
      <c r="T1114" s="35"/>
    </row>
    <row r="1115" spans="1:20" ht="45" customHeight="1" x14ac:dyDescent="0.25">
      <c r="A1115" s="2" t="str">
        <f t="shared" si="1"/>
        <v/>
      </c>
      <c r="B1115" s="2"/>
      <c r="C1115" s="43"/>
      <c r="D1115" s="2"/>
      <c r="E1115" s="2"/>
      <c r="F1115" s="2"/>
      <c r="G1115" s="11"/>
      <c r="H1115" s="11"/>
      <c r="I1115" s="2"/>
      <c r="J1115" s="2"/>
      <c r="K1115" s="2"/>
      <c r="L1115" s="10"/>
      <c r="M1115" s="9"/>
      <c r="N1115" s="2"/>
      <c r="O1115" s="2"/>
      <c r="P1115" s="2"/>
      <c r="Q1115" s="50"/>
      <c r="R1115" s="50"/>
      <c r="S1115" s="2">
        <f>IFERROR(VLOOKUP(A1115,IMPORT_DESISTENCIA!$A$2:$Q2273,14,0),"NÃO")</f>
        <v>0</v>
      </c>
      <c r="T1115" s="35"/>
    </row>
    <row r="1116" spans="1:20" ht="45" customHeight="1" x14ac:dyDescent="0.25">
      <c r="A1116" s="2" t="str">
        <f t="shared" si="1"/>
        <v/>
      </c>
      <c r="B1116" s="2"/>
      <c r="C1116" s="43"/>
      <c r="D1116" s="2"/>
      <c r="E1116" s="2"/>
      <c r="F1116" s="2"/>
      <c r="G1116" s="11"/>
      <c r="H1116" s="11"/>
      <c r="I1116" s="2"/>
      <c r="J1116" s="2"/>
      <c r="K1116" s="2"/>
      <c r="L1116" s="10"/>
      <c r="M1116" s="9"/>
      <c r="N1116" s="2"/>
      <c r="O1116" s="2"/>
      <c r="P1116" s="2"/>
      <c r="Q1116" s="50"/>
      <c r="R1116" s="50"/>
      <c r="S1116" s="2">
        <f>IFERROR(VLOOKUP(A1116,IMPORT_DESISTENCIA!$A$2:$Q2273,14,0),"NÃO")</f>
        <v>0</v>
      </c>
      <c r="T1116" s="35"/>
    </row>
    <row r="1117" spans="1:20" ht="45" customHeight="1" x14ac:dyDescent="0.25">
      <c r="A1117" s="2" t="str">
        <f t="shared" si="1"/>
        <v/>
      </c>
      <c r="B1117" s="2"/>
      <c r="C1117" s="43"/>
      <c r="D1117" s="2"/>
      <c r="E1117" s="2"/>
      <c r="F1117" s="2"/>
      <c r="G1117" s="11"/>
      <c r="H1117" s="11"/>
      <c r="I1117" s="2"/>
      <c r="J1117" s="2"/>
      <c r="K1117" s="2"/>
      <c r="L1117" s="10"/>
      <c r="M1117" s="9"/>
      <c r="N1117" s="2"/>
      <c r="O1117" s="2"/>
      <c r="P1117" s="2"/>
      <c r="Q1117" s="50"/>
      <c r="R1117" s="50"/>
      <c r="S1117" s="2">
        <f>IFERROR(VLOOKUP(A1117,IMPORT_DESISTENCIA!$A$2:$Q2273,14,0),"NÃO")</f>
        <v>0</v>
      </c>
      <c r="T1117" s="35"/>
    </row>
    <row r="1118" spans="1:20" ht="45" customHeight="1" x14ac:dyDescent="0.25">
      <c r="A1118" s="2" t="str">
        <f t="shared" si="1"/>
        <v/>
      </c>
      <c r="B1118" s="2"/>
      <c r="C1118" s="43"/>
      <c r="D1118" s="2"/>
      <c r="E1118" s="2"/>
      <c r="F1118" s="2"/>
      <c r="G1118" s="11"/>
      <c r="H1118" s="11"/>
      <c r="I1118" s="2"/>
      <c r="J1118" s="2"/>
      <c r="K1118" s="2"/>
      <c r="L1118" s="10"/>
      <c r="M1118" s="9"/>
      <c r="N1118" s="2"/>
      <c r="O1118" s="2"/>
      <c r="P1118" s="2"/>
      <c r="Q1118" s="50"/>
      <c r="R1118" s="50"/>
      <c r="S1118" s="2">
        <f>IFERROR(VLOOKUP(A1118,IMPORT_DESISTENCIA!$A$2:$Q2273,14,0),"NÃO")</f>
        <v>0</v>
      </c>
      <c r="T1118" s="35"/>
    </row>
    <row r="1119" spans="1:20" ht="45" customHeight="1" x14ac:dyDescent="0.25">
      <c r="A1119" s="2" t="str">
        <f t="shared" si="1"/>
        <v/>
      </c>
      <c r="B1119" s="2"/>
      <c r="C1119" s="43"/>
      <c r="D1119" s="2"/>
      <c r="E1119" s="2"/>
      <c r="F1119" s="2"/>
      <c r="G1119" s="11"/>
      <c r="H1119" s="11"/>
      <c r="I1119" s="2"/>
      <c r="J1119" s="2"/>
      <c r="K1119" s="2"/>
      <c r="L1119" s="10"/>
      <c r="M1119" s="9"/>
      <c r="N1119" s="2"/>
      <c r="O1119" s="2"/>
      <c r="P1119" s="2"/>
      <c r="Q1119" s="50"/>
      <c r="R1119" s="50"/>
      <c r="S1119" s="2">
        <f>IFERROR(VLOOKUP(A1119,IMPORT_DESISTENCIA!$A$2:$Q2273,14,0),"NÃO")</f>
        <v>0</v>
      </c>
      <c r="T1119" s="35"/>
    </row>
    <row r="1120" spans="1:20" ht="45" customHeight="1" x14ac:dyDescent="0.25">
      <c r="A1120" s="2" t="str">
        <f t="shared" si="1"/>
        <v/>
      </c>
      <c r="B1120" s="2"/>
      <c r="C1120" s="43"/>
      <c r="D1120" s="2"/>
      <c r="E1120" s="2"/>
      <c r="F1120" s="2"/>
      <c r="G1120" s="11"/>
      <c r="H1120" s="11"/>
      <c r="I1120" s="2"/>
      <c r="J1120" s="2"/>
      <c r="K1120" s="2"/>
      <c r="L1120" s="10"/>
      <c r="M1120" s="9"/>
      <c r="N1120" s="2"/>
      <c r="O1120" s="2"/>
      <c r="P1120" s="2"/>
      <c r="Q1120" s="50"/>
      <c r="R1120" s="50"/>
      <c r="S1120" s="2">
        <f>IFERROR(VLOOKUP(A1120,IMPORT_DESISTENCIA!$A$2:$Q2273,14,0),"NÃO")</f>
        <v>0</v>
      </c>
      <c r="T1120" s="35"/>
    </row>
    <row r="1121" spans="1:20" ht="45" customHeight="1" x14ac:dyDescent="0.25">
      <c r="A1121" s="2" t="str">
        <f t="shared" si="1"/>
        <v/>
      </c>
      <c r="B1121" s="2"/>
      <c r="C1121" s="43"/>
      <c r="D1121" s="2"/>
      <c r="E1121" s="2"/>
      <c r="F1121" s="2"/>
      <c r="G1121" s="11"/>
      <c r="H1121" s="11"/>
      <c r="I1121" s="2"/>
      <c r="J1121" s="2"/>
      <c r="K1121" s="2"/>
      <c r="L1121" s="10"/>
      <c r="M1121" s="9"/>
      <c r="N1121" s="2"/>
      <c r="O1121" s="2"/>
      <c r="P1121" s="2"/>
      <c r="Q1121" s="50"/>
      <c r="R1121" s="50"/>
      <c r="S1121" s="2">
        <f>IFERROR(VLOOKUP(A1121,IMPORT_DESISTENCIA!$A$2:$Q2273,14,0),"NÃO")</f>
        <v>0</v>
      </c>
      <c r="T1121" s="35"/>
    </row>
    <row r="1122" spans="1:20" ht="45" customHeight="1" x14ac:dyDescent="0.25">
      <c r="A1122" s="2" t="str">
        <f t="shared" si="1"/>
        <v/>
      </c>
      <c r="B1122" s="2"/>
      <c r="C1122" s="43"/>
      <c r="D1122" s="2"/>
      <c r="E1122" s="2"/>
      <c r="F1122" s="2"/>
      <c r="G1122" s="11"/>
      <c r="H1122" s="11"/>
      <c r="I1122" s="2"/>
      <c r="J1122" s="2"/>
      <c r="K1122" s="2"/>
      <c r="L1122" s="10"/>
      <c r="M1122" s="9"/>
      <c r="N1122" s="2"/>
      <c r="O1122" s="2"/>
      <c r="P1122" s="2"/>
      <c r="Q1122" s="50"/>
      <c r="R1122" s="50"/>
      <c r="S1122" s="2">
        <f>IFERROR(VLOOKUP(A1122,IMPORT_DESISTENCIA!$A$2:$Q2273,14,0),"NÃO")</f>
        <v>0</v>
      </c>
      <c r="T1122" s="35"/>
    </row>
    <row r="1123" spans="1:20" ht="45" customHeight="1" x14ac:dyDescent="0.25">
      <c r="A1123" s="2" t="str">
        <f t="shared" si="1"/>
        <v/>
      </c>
      <c r="B1123" s="2"/>
      <c r="C1123" s="43"/>
      <c r="D1123" s="2"/>
      <c r="E1123" s="2"/>
      <c r="F1123" s="2"/>
      <c r="G1123" s="11"/>
      <c r="H1123" s="11"/>
      <c r="I1123" s="2"/>
      <c r="J1123" s="2"/>
      <c r="K1123" s="2"/>
      <c r="L1123" s="10"/>
      <c r="M1123" s="9"/>
      <c r="N1123" s="2"/>
      <c r="O1123" s="2"/>
      <c r="P1123" s="2"/>
      <c r="Q1123" s="50"/>
      <c r="R1123" s="50"/>
      <c r="S1123" s="2">
        <f>IFERROR(VLOOKUP(A1123,IMPORT_DESISTENCIA!$A$2:$Q2273,14,0),"NÃO")</f>
        <v>0</v>
      </c>
      <c r="T1123" s="35"/>
    </row>
    <row r="1124" spans="1:20" ht="45" customHeight="1" x14ac:dyDescent="0.25">
      <c r="A1124" s="2" t="str">
        <f t="shared" si="1"/>
        <v/>
      </c>
      <c r="B1124" s="2"/>
      <c r="C1124" s="43"/>
      <c r="D1124" s="2"/>
      <c r="E1124" s="2"/>
      <c r="F1124" s="2"/>
      <c r="G1124" s="11"/>
      <c r="H1124" s="11"/>
      <c r="I1124" s="2"/>
      <c r="J1124" s="2"/>
      <c r="K1124" s="2"/>
      <c r="L1124" s="10"/>
      <c r="M1124" s="9"/>
      <c r="N1124" s="2"/>
      <c r="O1124" s="2"/>
      <c r="P1124" s="2"/>
      <c r="Q1124" s="50"/>
      <c r="R1124" s="50"/>
      <c r="S1124" s="2">
        <f>IFERROR(VLOOKUP(A1124,IMPORT_DESISTENCIA!$A$2:$Q2273,14,0),"NÃO")</f>
        <v>0</v>
      </c>
      <c r="T1124" s="35"/>
    </row>
    <row r="1125" spans="1:20" ht="45" customHeight="1" x14ac:dyDescent="0.25">
      <c r="A1125" s="2" t="str">
        <f t="shared" si="1"/>
        <v/>
      </c>
      <c r="B1125" s="2"/>
      <c r="C1125" s="43"/>
      <c r="D1125" s="2"/>
      <c r="E1125" s="2"/>
      <c r="F1125" s="2"/>
      <c r="G1125" s="11"/>
      <c r="H1125" s="11"/>
      <c r="I1125" s="2"/>
      <c r="J1125" s="2"/>
      <c r="K1125" s="2"/>
      <c r="L1125" s="10"/>
      <c r="M1125" s="9"/>
      <c r="N1125" s="2"/>
      <c r="O1125" s="2"/>
      <c r="P1125" s="2"/>
      <c r="Q1125" s="50"/>
      <c r="R1125" s="50"/>
      <c r="S1125" s="2">
        <f>IFERROR(VLOOKUP(A1125,IMPORT_DESISTENCIA!$A$2:$Q2273,14,0),"NÃO")</f>
        <v>0</v>
      </c>
      <c r="T1125" s="35"/>
    </row>
    <row r="1126" spans="1:20" ht="45" customHeight="1" x14ac:dyDescent="0.25">
      <c r="A1126" s="2" t="str">
        <f t="shared" si="1"/>
        <v/>
      </c>
      <c r="B1126" s="2"/>
      <c r="C1126" s="43"/>
      <c r="D1126" s="2"/>
      <c r="E1126" s="2"/>
      <c r="F1126" s="2"/>
      <c r="G1126" s="11"/>
      <c r="H1126" s="11"/>
      <c r="I1126" s="2"/>
      <c r="J1126" s="2"/>
      <c r="K1126" s="2"/>
      <c r="L1126" s="10"/>
      <c r="M1126" s="9"/>
      <c r="N1126" s="2"/>
      <c r="O1126" s="2"/>
      <c r="P1126" s="2"/>
      <c r="Q1126" s="50"/>
      <c r="R1126" s="50"/>
      <c r="S1126" s="2">
        <f>IFERROR(VLOOKUP(A1126,IMPORT_DESISTENCIA!$A$2:$Q2273,14,0),"NÃO")</f>
        <v>0</v>
      </c>
      <c r="T1126" s="35"/>
    </row>
    <row r="1127" spans="1:20" ht="45" customHeight="1" x14ac:dyDescent="0.25">
      <c r="A1127" s="2" t="str">
        <f t="shared" si="1"/>
        <v/>
      </c>
      <c r="B1127" s="2"/>
      <c r="C1127" s="43"/>
      <c r="D1127" s="2"/>
      <c r="E1127" s="2"/>
      <c r="F1127" s="2"/>
      <c r="G1127" s="11"/>
      <c r="H1127" s="11"/>
      <c r="I1127" s="2"/>
      <c r="J1127" s="2"/>
      <c r="K1127" s="2"/>
      <c r="L1127" s="10"/>
      <c r="M1127" s="9"/>
      <c r="N1127" s="2"/>
      <c r="O1127" s="2"/>
      <c r="P1127" s="2"/>
      <c r="Q1127" s="50"/>
      <c r="R1127" s="50"/>
      <c r="S1127" s="2">
        <f>IFERROR(VLOOKUP(A1127,IMPORT_DESISTENCIA!$A$2:$Q2273,14,0),"NÃO")</f>
        <v>0</v>
      </c>
      <c r="T1127" s="35"/>
    </row>
    <row r="1128" spans="1:20" ht="45" customHeight="1" x14ac:dyDescent="0.25">
      <c r="A1128" s="2" t="str">
        <f t="shared" si="1"/>
        <v/>
      </c>
      <c r="B1128" s="2"/>
      <c r="C1128" s="43"/>
      <c r="D1128" s="2"/>
      <c r="E1128" s="2"/>
      <c r="F1128" s="2"/>
      <c r="G1128" s="11"/>
      <c r="H1128" s="11"/>
      <c r="I1128" s="2"/>
      <c r="J1128" s="2"/>
      <c r="K1128" s="2"/>
      <c r="L1128" s="10"/>
      <c r="M1128" s="9"/>
      <c r="N1128" s="2"/>
      <c r="O1128" s="2"/>
      <c r="P1128" s="2"/>
      <c r="Q1128" s="50"/>
      <c r="R1128" s="50"/>
      <c r="S1128" s="2">
        <f>IFERROR(VLOOKUP(A1128,IMPORT_DESISTENCIA!$A$2:$Q2273,14,0),"NÃO")</f>
        <v>0</v>
      </c>
      <c r="T1128" s="35"/>
    </row>
    <row r="1129" spans="1:20" ht="45" customHeight="1" x14ac:dyDescent="0.25">
      <c r="A1129" s="2" t="str">
        <f t="shared" si="1"/>
        <v/>
      </c>
      <c r="B1129" s="2"/>
      <c r="C1129" s="43"/>
      <c r="D1129" s="2"/>
      <c r="E1129" s="2"/>
      <c r="F1129" s="2"/>
      <c r="G1129" s="11"/>
      <c r="H1129" s="11"/>
      <c r="I1129" s="2"/>
      <c r="J1129" s="2"/>
      <c r="K1129" s="2"/>
      <c r="L1129" s="10"/>
      <c r="M1129" s="9"/>
      <c r="N1129" s="2"/>
      <c r="O1129" s="2"/>
      <c r="P1129" s="2"/>
      <c r="Q1129" s="50"/>
      <c r="R1129" s="50"/>
      <c r="S1129" s="2">
        <f>IFERROR(VLOOKUP(A1129,IMPORT_DESISTENCIA!$A$2:$Q2273,14,0),"NÃO")</f>
        <v>0</v>
      </c>
      <c r="T1129" s="35"/>
    </row>
    <row r="1130" spans="1:20" ht="45" customHeight="1" x14ac:dyDescent="0.25">
      <c r="A1130" s="2" t="str">
        <f t="shared" si="1"/>
        <v/>
      </c>
      <c r="B1130" s="2"/>
      <c r="C1130" s="43"/>
      <c r="D1130" s="2"/>
      <c r="E1130" s="2"/>
      <c r="F1130" s="2"/>
      <c r="G1130" s="11"/>
      <c r="H1130" s="11"/>
      <c r="I1130" s="2"/>
      <c r="J1130" s="2"/>
      <c r="K1130" s="2"/>
      <c r="L1130" s="10"/>
      <c r="M1130" s="9"/>
      <c r="N1130" s="2"/>
      <c r="O1130" s="2"/>
      <c r="P1130" s="2"/>
      <c r="Q1130" s="50"/>
      <c r="R1130" s="50"/>
      <c r="S1130" s="2">
        <f>IFERROR(VLOOKUP(A1130,IMPORT_DESISTENCIA!$A$2:$Q2273,14,0),"NÃO")</f>
        <v>0</v>
      </c>
      <c r="T1130" s="35"/>
    </row>
    <row r="1131" spans="1:20" ht="45" customHeight="1" x14ac:dyDescent="0.25">
      <c r="A1131" s="2" t="str">
        <f t="shared" si="1"/>
        <v/>
      </c>
      <c r="B1131" s="2"/>
      <c r="C1131" s="43"/>
      <c r="D1131" s="2"/>
      <c r="E1131" s="2"/>
      <c r="F1131" s="2"/>
      <c r="G1131" s="11"/>
      <c r="H1131" s="11"/>
      <c r="I1131" s="2"/>
      <c r="J1131" s="2"/>
      <c r="K1131" s="2"/>
      <c r="L1131" s="10"/>
      <c r="M1131" s="9"/>
      <c r="N1131" s="2"/>
      <c r="O1131" s="2"/>
      <c r="P1131" s="2"/>
      <c r="Q1131" s="50"/>
      <c r="R1131" s="50"/>
      <c r="S1131" s="2">
        <f>IFERROR(VLOOKUP(A1131,IMPORT_DESISTENCIA!$A$2:$Q2273,14,0),"NÃO")</f>
        <v>0</v>
      </c>
      <c r="T1131" s="35"/>
    </row>
    <row r="1132" spans="1:20" ht="45" customHeight="1" x14ac:dyDescent="0.25">
      <c r="A1132" s="2" t="str">
        <f t="shared" si="1"/>
        <v/>
      </c>
      <c r="B1132" s="2"/>
      <c r="C1132" s="43"/>
      <c r="D1132" s="2"/>
      <c r="E1132" s="2"/>
      <c r="F1132" s="2"/>
      <c r="G1132" s="11"/>
      <c r="H1132" s="11"/>
      <c r="I1132" s="2"/>
      <c r="J1132" s="2"/>
      <c r="K1132" s="2"/>
      <c r="L1132" s="10"/>
      <c r="M1132" s="9"/>
      <c r="N1132" s="2"/>
      <c r="O1132" s="2"/>
      <c r="P1132" s="2"/>
      <c r="Q1132" s="50"/>
      <c r="R1132" s="50"/>
      <c r="S1132" s="2">
        <f>IFERROR(VLOOKUP(A1132,IMPORT_DESISTENCIA!$A$2:$Q2273,14,0),"NÃO")</f>
        <v>0</v>
      </c>
      <c r="T1132" s="35"/>
    </row>
    <row r="1133" spans="1:20" ht="45" customHeight="1" x14ac:dyDescent="0.25">
      <c r="A1133" s="2" t="str">
        <f t="shared" si="1"/>
        <v/>
      </c>
      <c r="B1133" s="2"/>
      <c r="C1133" s="43"/>
      <c r="D1133" s="2"/>
      <c r="E1133" s="2"/>
      <c r="F1133" s="2"/>
      <c r="G1133" s="11"/>
      <c r="H1133" s="11"/>
      <c r="I1133" s="2"/>
      <c r="J1133" s="2"/>
      <c r="K1133" s="2"/>
      <c r="L1133" s="10"/>
      <c r="M1133" s="9"/>
      <c r="N1133" s="2"/>
      <c r="O1133" s="2"/>
      <c r="P1133" s="2"/>
      <c r="Q1133" s="50"/>
      <c r="R1133" s="50"/>
      <c r="S1133" s="2">
        <f>IFERROR(VLOOKUP(A1133,IMPORT_DESISTENCIA!$A$2:$Q2273,14,0),"NÃO")</f>
        <v>0</v>
      </c>
      <c r="T1133" s="35"/>
    </row>
    <row r="1134" spans="1:20" ht="45" customHeight="1" x14ac:dyDescent="0.25">
      <c r="A1134" s="2" t="str">
        <f t="shared" si="1"/>
        <v/>
      </c>
      <c r="B1134" s="2"/>
      <c r="C1134" s="43"/>
      <c r="D1134" s="2"/>
      <c r="E1134" s="2"/>
      <c r="F1134" s="2"/>
      <c r="G1134" s="11"/>
      <c r="H1134" s="11"/>
      <c r="I1134" s="2"/>
      <c r="J1134" s="2"/>
      <c r="K1134" s="2"/>
      <c r="L1134" s="10"/>
      <c r="M1134" s="9"/>
      <c r="N1134" s="2"/>
      <c r="O1134" s="2"/>
      <c r="P1134" s="2"/>
      <c r="Q1134" s="50"/>
      <c r="R1134" s="50"/>
      <c r="S1134" s="2">
        <f>IFERROR(VLOOKUP(A1134,IMPORT_DESISTENCIA!$A$2:$Q2273,14,0),"NÃO")</f>
        <v>0</v>
      </c>
      <c r="T1134" s="35"/>
    </row>
    <row r="1135" spans="1:20" ht="45" customHeight="1" x14ac:dyDescent="0.25">
      <c r="A1135" s="2" t="str">
        <f t="shared" si="1"/>
        <v/>
      </c>
      <c r="B1135" s="2"/>
      <c r="C1135" s="43"/>
      <c r="D1135" s="2"/>
      <c r="E1135" s="2"/>
      <c r="F1135" s="2"/>
      <c r="G1135" s="11"/>
      <c r="H1135" s="11"/>
      <c r="I1135" s="2"/>
      <c r="J1135" s="2"/>
      <c r="K1135" s="2"/>
      <c r="L1135" s="10"/>
      <c r="M1135" s="9"/>
      <c r="N1135" s="2"/>
      <c r="O1135" s="2"/>
      <c r="P1135" s="2"/>
      <c r="Q1135" s="50"/>
      <c r="R1135" s="50"/>
      <c r="S1135" s="2">
        <f>IFERROR(VLOOKUP(A1135,IMPORT_DESISTENCIA!$A$2:$Q2273,14,0),"NÃO")</f>
        <v>0</v>
      </c>
      <c r="T1135" s="35"/>
    </row>
    <row r="1136" spans="1:20" ht="45" customHeight="1" x14ac:dyDescent="0.25">
      <c r="A1136" s="2" t="str">
        <f t="shared" si="1"/>
        <v/>
      </c>
      <c r="B1136" s="2"/>
      <c r="C1136" s="43"/>
      <c r="D1136" s="2"/>
      <c r="E1136" s="2"/>
      <c r="F1136" s="2"/>
      <c r="G1136" s="11"/>
      <c r="H1136" s="11"/>
      <c r="I1136" s="2"/>
      <c r="J1136" s="2"/>
      <c r="K1136" s="2"/>
      <c r="L1136" s="10"/>
      <c r="M1136" s="9"/>
      <c r="N1136" s="2"/>
      <c r="O1136" s="2"/>
      <c r="P1136" s="2"/>
      <c r="Q1136" s="50"/>
      <c r="R1136" s="50"/>
      <c r="S1136" s="2">
        <f>IFERROR(VLOOKUP(A1136,IMPORT_DESISTENCIA!$A$2:$Q2273,14,0),"NÃO")</f>
        <v>0</v>
      </c>
      <c r="T1136" s="35"/>
    </row>
    <row r="1137" spans="1:20" ht="45" customHeight="1" x14ac:dyDescent="0.25">
      <c r="A1137" s="2" t="str">
        <f t="shared" si="1"/>
        <v/>
      </c>
      <c r="B1137" s="2"/>
      <c r="C1137" s="43"/>
      <c r="D1137" s="2"/>
      <c r="E1137" s="2"/>
      <c r="F1137" s="2"/>
      <c r="G1137" s="11"/>
      <c r="H1137" s="11"/>
      <c r="I1137" s="2"/>
      <c r="J1137" s="2"/>
      <c r="K1137" s="2"/>
      <c r="L1137" s="10"/>
      <c r="M1137" s="9"/>
      <c r="N1137" s="2"/>
      <c r="O1137" s="2"/>
      <c r="P1137" s="2"/>
      <c r="Q1137" s="50"/>
      <c r="R1137" s="50"/>
      <c r="S1137" s="2">
        <f>IFERROR(VLOOKUP(A1137,IMPORT_DESISTENCIA!$A$2:$Q2273,14,0),"NÃO")</f>
        <v>0</v>
      </c>
      <c r="T1137" s="35"/>
    </row>
    <row r="1138" spans="1:20" ht="45" customHeight="1" x14ac:dyDescent="0.25">
      <c r="A1138" s="2" t="str">
        <f t="shared" si="1"/>
        <v/>
      </c>
      <c r="B1138" s="2"/>
      <c r="C1138" s="43"/>
      <c r="D1138" s="2"/>
      <c r="E1138" s="2"/>
      <c r="F1138" s="2"/>
      <c r="G1138" s="11"/>
      <c r="H1138" s="11"/>
      <c r="I1138" s="2"/>
      <c r="J1138" s="2"/>
      <c r="K1138" s="2"/>
      <c r="L1138" s="10"/>
      <c r="M1138" s="9"/>
      <c r="N1138" s="2"/>
      <c r="O1138" s="2"/>
      <c r="P1138" s="2"/>
      <c r="Q1138" s="50"/>
      <c r="R1138" s="50"/>
      <c r="S1138" s="2">
        <f>IFERROR(VLOOKUP(A1138,IMPORT_DESISTENCIA!$A$2:$Q2273,14,0),"NÃO")</f>
        <v>0</v>
      </c>
      <c r="T1138" s="35"/>
    </row>
    <row r="1139" spans="1:20" ht="45" customHeight="1" x14ac:dyDescent="0.25">
      <c r="A1139" s="2" t="str">
        <f t="shared" si="1"/>
        <v/>
      </c>
      <c r="B1139" s="2"/>
      <c r="C1139" s="43"/>
      <c r="D1139" s="2"/>
      <c r="E1139" s="2"/>
      <c r="F1139" s="2"/>
      <c r="G1139" s="11"/>
      <c r="H1139" s="11"/>
      <c r="I1139" s="2"/>
      <c r="J1139" s="2"/>
      <c r="K1139" s="2"/>
      <c r="L1139" s="10"/>
      <c r="M1139" s="9"/>
      <c r="N1139" s="2"/>
      <c r="O1139" s="2"/>
      <c r="P1139" s="2"/>
      <c r="Q1139" s="50"/>
      <c r="R1139" s="50"/>
      <c r="S1139" s="2">
        <f>IFERROR(VLOOKUP(A1139,IMPORT_DESISTENCIA!$A$2:$Q2273,14,0),"NÃO")</f>
        <v>0</v>
      </c>
      <c r="T1139" s="35"/>
    </row>
    <row r="1140" spans="1:20" ht="45" customHeight="1" x14ac:dyDescent="0.25">
      <c r="A1140" s="2" t="str">
        <f t="shared" si="1"/>
        <v/>
      </c>
      <c r="B1140" s="2"/>
      <c r="C1140" s="43"/>
      <c r="D1140" s="2"/>
      <c r="E1140" s="2"/>
      <c r="F1140" s="2"/>
      <c r="G1140" s="11"/>
      <c r="H1140" s="11"/>
      <c r="I1140" s="2"/>
      <c r="J1140" s="2"/>
      <c r="K1140" s="2"/>
      <c r="L1140" s="10"/>
      <c r="M1140" s="9"/>
      <c r="N1140" s="2"/>
      <c r="O1140" s="2"/>
      <c r="P1140" s="2"/>
      <c r="Q1140" s="50"/>
      <c r="R1140" s="50"/>
      <c r="S1140" s="2">
        <f>IFERROR(VLOOKUP(A1140,IMPORT_DESISTENCIA!$A$2:$Q2273,14,0),"NÃO")</f>
        <v>0</v>
      </c>
      <c r="T1140" s="35"/>
    </row>
    <row r="1141" spans="1:20" ht="45" customHeight="1" x14ac:dyDescent="0.25">
      <c r="A1141" s="2" t="str">
        <f t="shared" si="1"/>
        <v/>
      </c>
      <c r="B1141" s="2"/>
      <c r="C1141" s="43"/>
      <c r="D1141" s="2"/>
      <c r="E1141" s="2"/>
      <c r="F1141" s="2"/>
      <c r="G1141" s="11"/>
      <c r="H1141" s="11"/>
      <c r="I1141" s="2"/>
      <c r="J1141" s="2"/>
      <c r="K1141" s="2"/>
      <c r="L1141" s="10"/>
      <c r="M1141" s="9"/>
      <c r="N1141" s="2"/>
      <c r="O1141" s="2"/>
      <c r="P1141" s="2"/>
      <c r="Q1141" s="50"/>
      <c r="R1141" s="50"/>
      <c r="S1141" s="2">
        <f>IFERROR(VLOOKUP(A1141,IMPORT_DESISTENCIA!$A$2:$Q2273,14,0),"NÃO")</f>
        <v>0</v>
      </c>
      <c r="T1141" s="35"/>
    </row>
    <row r="1142" spans="1:20" ht="45" customHeight="1" x14ac:dyDescent="0.25">
      <c r="A1142" s="2" t="str">
        <f t="shared" si="1"/>
        <v/>
      </c>
      <c r="B1142" s="2"/>
      <c r="C1142" s="43"/>
      <c r="D1142" s="2"/>
      <c r="E1142" s="2"/>
      <c r="F1142" s="2"/>
      <c r="G1142" s="11"/>
      <c r="H1142" s="11"/>
      <c r="I1142" s="2"/>
      <c r="J1142" s="2"/>
      <c r="K1142" s="2"/>
      <c r="L1142" s="10"/>
      <c r="M1142" s="9"/>
      <c r="N1142" s="2"/>
      <c r="O1142" s="2"/>
      <c r="P1142" s="2"/>
      <c r="Q1142" s="50"/>
      <c r="R1142" s="50"/>
      <c r="S1142" s="2">
        <f>IFERROR(VLOOKUP(A1142,IMPORT_DESISTENCIA!$A$2:$Q2273,14,0),"NÃO")</f>
        <v>0</v>
      </c>
      <c r="T1142" s="35"/>
    </row>
    <row r="1143" spans="1:20" ht="45" customHeight="1" x14ac:dyDescent="0.25">
      <c r="A1143" s="2" t="str">
        <f t="shared" si="1"/>
        <v/>
      </c>
      <c r="B1143" s="2"/>
      <c r="C1143" s="43"/>
      <c r="D1143" s="2"/>
      <c r="E1143" s="2"/>
      <c r="F1143" s="2"/>
      <c r="G1143" s="11"/>
      <c r="H1143" s="11"/>
      <c r="I1143" s="2"/>
      <c r="J1143" s="2"/>
      <c r="K1143" s="2"/>
      <c r="L1143" s="10"/>
      <c r="M1143" s="9"/>
      <c r="N1143" s="2"/>
      <c r="O1143" s="2"/>
      <c r="P1143" s="2"/>
      <c r="Q1143" s="50"/>
      <c r="R1143" s="50"/>
      <c r="S1143" s="2">
        <f>IFERROR(VLOOKUP(A1143,IMPORT_DESISTENCIA!$A$2:$Q2273,14,0),"NÃO")</f>
        <v>0</v>
      </c>
      <c r="T1143" s="35"/>
    </row>
    <row r="1144" spans="1:20" ht="45" customHeight="1" x14ac:dyDescent="0.25">
      <c r="A1144" s="2" t="str">
        <f t="shared" si="1"/>
        <v/>
      </c>
      <c r="B1144" s="2"/>
      <c r="C1144" s="43"/>
      <c r="D1144" s="2"/>
      <c r="E1144" s="2"/>
      <c r="F1144" s="2"/>
      <c r="G1144" s="11"/>
      <c r="H1144" s="11"/>
      <c r="I1144" s="2"/>
      <c r="J1144" s="2"/>
      <c r="K1144" s="2"/>
      <c r="L1144" s="10"/>
      <c r="M1144" s="9"/>
      <c r="N1144" s="2"/>
      <c r="O1144" s="2"/>
      <c r="P1144" s="2"/>
      <c r="Q1144" s="50"/>
      <c r="R1144" s="50"/>
      <c r="S1144" s="2">
        <f>IFERROR(VLOOKUP(A1144,IMPORT_DESISTENCIA!$A$2:$Q2273,14,0),"NÃO")</f>
        <v>0</v>
      </c>
      <c r="T1144" s="35"/>
    </row>
    <row r="1145" spans="1:20" ht="45" customHeight="1" x14ac:dyDescent="0.25">
      <c r="A1145" s="2" t="str">
        <f t="shared" si="1"/>
        <v/>
      </c>
      <c r="B1145" s="2"/>
      <c r="C1145" s="43"/>
      <c r="D1145" s="2"/>
      <c r="E1145" s="2"/>
      <c r="F1145" s="2"/>
      <c r="G1145" s="11"/>
      <c r="H1145" s="11"/>
      <c r="I1145" s="2"/>
      <c r="J1145" s="2"/>
      <c r="K1145" s="2"/>
      <c r="L1145" s="10"/>
      <c r="M1145" s="9"/>
      <c r="N1145" s="2"/>
      <c r="O1145" s="2"/>
      <c r="P1145" s="2"/>
      <c r="Q1145" s="50"/>
      <c r="R1145" s="50"/>
      <c r="S1145" s="2">
        <f>IFERROR(VLOOKUP(A1145,IMPORT_DESISTENCIA!$A$2:$Q2273,14,0),"NÃO")</f>
        <v>0</v>
      </c>
      <c r="T1145" s="35"/>
    </row>
    <row r="1146" spans="1:20" ht="45" customHeight="1" x14ac:dyDescent="0.25">
      <c r="A1146" s="2" t="str">
        <f t="shared" si="1"/>
        <v/>
      </c>
      <c r="B1146" s="2"/>
      <c r="C1146" s="43"/>
      <c r="D1146" s="2"/>
      <c r="E1146" s="2"/>
      <c r="F1146" s="2"/>
      <c r="G1146" s="11"/>
      <c r="H1146" s="11"/>
      <c r="I1146" s="2"/>
      <c r="J1146" s="2"/>
      <c r="K1146" s="2"/>
      <c r="L1146" s="10"/>
      <c r="M1146" s="9"/>
      <c r="N1146" s="2"/>
      <c r="O1146" s="2"/>
      <c r="P1146" s="2"/>
      <c r="Q1146" s="50"/>
      <c r="R1146" s="50"/>
      <c r="S1146" s="2">
        <f>IFERROR(VLOOKUP(A1146,IMPORT_DESISTENCIA!$A$2:$Q2273,14,0),"NÃO")</f>
        <v>0</v>
      </c>
      <c r="T1146" s="35"/>
    </row>
    <row r="1147" spans="1:20" ht="45" customHeight="1" x14ac:dyDescent="0.25">
      <c r="A1147" s="2" t="str">
        <f t="shared" si="1"/>
        <v/>
      </c>
      <c r="B1147" s="2"/>
      <c r="C1147" s="43"/>
      <c r="D1147" s="2"/>
      <c r="E1147" s="2"/>
      <c r="F1147" s="2"/>
      <c r="G1147" s="11"/>
      <c r="H1147" s="11"/>
      <c r="I1147" s="2"/>
      <c r="J1147" s="2"/>
      <c r="K1147" s="2"/>
      <c r="L1147" s="10"/>
      <c r="M1147" s="9"/>
      <c r="N1147" s="2"/>
      <c r="O1147" s="2"/>
      <c r="P1147" s="2"/>
      <c r="Q1147" s="50"/>
      <c r="R1147" s="50"/>
      <c r="S1147" s="2">
        <f>IFERROR(VLOOKUP(A1147,IMPORT_DESISTENCIA!$A$2:$Q2273,14,0),"NÃO")</f>
        <v>0</v>
      </c>
      <c r="T1147" s="35"/>
    </row>
    <row r="1148" spans="1:20" ht="45" customHeight="1" x14ac:dyDescent="0.25">
      <c r="A1148" s="2" t="str">
        <f t="shared" si="1"/>
        <v/>
      </c>
      <c r="B1148" s="2"/>
      <c r="C1148" s="43"/>
      <c r="D1148" s="2"/>
      <c r="E1148" s="2"/>
      <c r="F1148" s="2"/>
      <c r="G1148" s="11"/>
      <c r="H1148" s="11"/>
      <c r="I1148" s="2"/>
      <c r="J1148" s="2"/>
      <c r="K1148" s="2"/>
      <c r="L1148" s="10"/>
      <c r="M1148" s="9"/>
      <c r="N1148" s="2"/>
      <c r="O1148" s="2"/>
      <c r="P1148" s="2"/>
      <c r="Q1148" s="50"/>
      <c r="R1148" s="50"/>
      <c r="S1148" s="2">
        <f>IFERROR(VLOOKUP(A1148,IMPORT_DESISTENCIA!$A$2:$Q2273,14,0),"NÃO")</f>
        <v>0</v>
      </c>
      <c r="T1148" s="35"/>
    </row>
    <row r="1149" spans="1:20" ht="45" customHeight="1" x14ac:dyDescent="0.25">
      <c r="A1149" s="2" t="str">
        <f t="shared" si="1"/>
        <v/>
      </c>
      <c r="B1149" s="2"/>
      <c r="C1149" s="43"/>
      <c r="D1149" s="2"/>
      <c r="E1149" s="2"/>
      <c r="F1149" s="2"/>
      <c r="G1149" s="11"/>
      <c r="H1149" s="11"/>
      <c r="I1149" s="2"/>
      <c r="J1149" s="2"/>
      <c r="K1149" s="2"/>
      <c r="L1149" s="10"/>
      <c r="M1149" s="9"/>
      <c r="N1149" s="2"/>
      <c r="O1149" s="2"/>
      <c r="P1149" s="2"/>
      <c r="Q1149" s="50"/>
      <c r="R1149" s="50"/>
      <c r="S1149" s="2">
        <f>IFERROR(VLOOKUP(A1149,IMPORT_DESISTENCIA!$A$2:$Q2273,14,0),"NÃO")</f>
        <v>0</v>
      </c>
      <c r="T1149" s="35"/>
    </row>
    <row r="1150" spans="1:20" ht="45" customHeight="1" x14ac:dyDescent="0.25">
      <c r="A1150" s="2" t="str">
        <f t="shared" si="1"/>
        <v/>
      </c>
      <c r="B1150" s="2"/>
      <c r="C1150" s="43"/>
      <c r="D1150" s="2"/>
      <c r="E1150" s="2"/>
      <c r="F1150" s="2"/>
      <c r="G1150" s="11"/>
      <c r="H1150" s="11"/>
      <c r="I1150" s="2"/>
      <c r="J1150" s="2"/>
      <c r="K1150" s="2"/>
      <c r="L1150" s="10"/>
      <c r="M1150" s="9"/>
      <c r="N1150" s="2"/>
      <c r="O1150" s="2"/>
      <c r="P1150" s="2"/>
      <c r="Q1150" s="50"/>
      <c r="R1150" s="50"/>
      <c r="S1150" s="2">
        <f>IFERROR(VLOOKUP(A1150,IMPORT_DESISTENCIA!$A$2:$Q2273,14,0),"NÃO")</f>
        <v>0</v>
      </c>
      <c r="T1150" s="35"/>
    </row>
    <row r="1151" spans="1:20" ht="45" customHeight="1" x14ac:dyDescent="0.25">
      <c r="A1151" s="2" t="str">
        <f t="shared" si="1"/>
        <v/>
      </c>
      <c r="B1151" s="2"/>
      <c r="C1151" s="43"/>
      <c r="D1151" s="2"/>
      <c r="E1151" s="2"/>
      <c r="F1151" s="2"/>
      <c r="G1151" s="11"/>
      <c r="H1151" s="11"/>
      <c r="I1151" s="2"/>
      <c r="J1151" s="2"/>
      <c r="K1151" s="2"/>
      <c r="L1151" s="10"/>
      <c r="M1151" s="9"/>
      <c r="N1151" s="2"/>
      <c r="O1151" s="2"/>
      <c r="P1151" s="2"/>
      <c r="Q1151" s="50"/>
      <c r="R1151" s="50"/>
      <c r="S1151" s="2">
        <f>IFERROR(VLOOKUP(A1151,IMPORT_DESISTENCIA!$A$2:$Q2273,14,0),"NÃO")</f>
        <v>0</v>
      </c>
      <c r="T1151" s="35"/>
    </row>
    <row r="1152" spans="1:20" ht="45" customHeight="1" x14ac:dyDescent="0.25">
      <c r="A1152" s="2" t="str">
        <f t="shared" si="1"/>
        <v/>
      </c>
      <c r="B1152" s="2"/>
      <c r="C1152" s="43"/>
      <c r="D1152" s="2"/>
      <c r="E1152" s="2"/>
      <c r="F1152" s="2"/>
      <c r="G1152" s="11"/>
      <c r="H1152" s="11"/>
      <c r="I1152" s="2"/>
      <c r="J1152" s="2"/>
      <c r="K1152" s="2"/>
      <c r="L1152" s="10"/>
      <c r="M1152" s="9"/>
      <c r="N1152" s="2"/>
      <c r="O1152" s="2"/>
      <c r="P1152" s="2"/>
      <c r="Q1152" s="50"/>
      <c r="R1152" s="50"/>
      <c r="S1152" s="2">
        <f>IFERROR(VLOOKUP(A1152,IMPORT_DESISTENCIA!$A$2:$Q2273,14,0),"NÃO")</f>
        <v>0</v>
      </c>
      <c r="T1152" s="35"/>
    </row>
    <row r="1153" spans="1:20" ht="45" customHeight="1" x14ac:dyDescent="0.25">
      <c r="A1153" s="2" t="str">
        <f t="shared" si="1"/>
        <v/>
      </c>
      <c r="B1153" s="2"/>
      <c r="C1153" s="43"/>
      <c r="D1153" s="2"/>
      <c r="E1153" s="2"/>
      <c r="F1153" s="2"/>
      <c r="G1153" s="11"/>
      <c r="H1153" s="11"/>
      <c r="I1153" s="2"/>
      <c r="J1153" s="2"/>
      <c r="K1153" s="2"/>
      <c r="L1153" s="10"/>
      <c r="M1153" s="9"/>
      <c r="N1153" s="2"/>
      <c r="O1153" s="2"/>
      <c r="P1153" s="2"/>
      <c r="Q1153" s="50"/>
      <c r="R1153" s="50"/>
      <c r="S1153" s="2">
        <f>IFERROR(VLOOKUP(A1153,IMPORT_DESISTENCIA!$A$2:$Q2273,14,0),"NÃO")</f>
        <v>0</v>
      </c>
      <c r="T1153" s="35"/>
    </row>
    <row r="1154" spans="1:20" ht="45" customHeight="1" x14ac:dyDescent="0.25">
      <c r="A1154" s="2" t="str">
        <f t="shared" si="1"/>
        <v/>
      </c>
      <c r="B1154" s="2"/>
      <c r="C1154" s="43"/>
      <c r="D1154" s="2"/>
      <c r="E1154" s="2"/>
      <c r="F1154" s="2"/>
      <c r="G1154" s="11"/>
      <c r="H1154" s="11"/>
      <c r="I1154" s="2"/>
      <c r="J1154" s="2"/>
      <c r="K1154" s="2"/>
      <c r="L1154" s="10"/>
      <c r="M1154" s="9"/>
      <c r="N1154" s="2"/>
      <c r="O1154" s="2"/>
      <c r="P1154" s="2"/>
      <c r="Q1154" s="50"/>
      <c r="R1154" s="50"/>
      <c r="S1154" s="2">
        <f>IFERROR(VLOOKUP(A1154,IMPORT_DESISTENCIA!$A$2:$Q2273,14,0),"NÃO")</f>
        <v>0</v>
      </c>
      <c r="T1154" s="35"/>
    </row>
    <row r="1155" spans="1:20" ht="45" customHeight="1" x14ac:dyDescent="0.25">
      <c r="A1155" s="2" t="str">
        <f t="shared" si="1"/>
        <v/>
      </c>
      <c r="B1155" s="2"/>
      <c r="C1155" s="43"/>
      <c r="D1155" s="2"/>
      <c r="E1155" s="2"/>
      <c r="F1155" s="2"/>
      <c r="G1155" s="11"/>
      <c r="H1155" s="11"/>
      <c r="I1155" s="2"/>
      <c r="J1155" s="2"/>
      <c r="K1155" s="2"/>
      <c r="L1155" s="10"/>
      <c r="M1155" s="9"/>
      <c r="N1155" s="2"/>
      <c r="O1155" s="2"/>
      <c r="P1155" s="2"/>
      <c r="Q1155" s="50"/>
      <c r="R1155" s="50"/>
      <c r="S1155" s="2">
        <f>IFERROR(VLOOKUP(A1155,IMPORT_DESISTENCIA!$A$2:$Q2273,14,0),"NÃO")</f>
        <v>0</v>
      </c>
      <c r="T1155" s="35"/>
    </row>
    <row r="1156" spans="1:20" ht="45" customHeight="1" x14ac:dyDescent="0.25">
      <c r="A1156" s="2" t="str">
        <f t="shared" si="1"/>
        <v/>
      </c>
      <c r="B1156" s="2"/>
      <c r="C1156" s="43"/>
      <c r="D1156" s="2"/>
      <c r="E1156" s="2"/>
      <c r="F1156" s="2"/>
      <c r="G1156" s="11"/>
      <c r="H1156" s="11"/>
      <c r="I1156" s="2"/>
      <c r="J1156" s="2"/>
      <c r="K1156" s="2"/>
      <c r="L1156" s="10"/>
      <c r="M1156" s="9"/>
      <c r="N1156" s="2"/>
      <c r="O1156" s="2"/>
      <c r="P1156" s="2"/>
      <c r="Q1156" s="50"/>
      <c r="R1156" s="50"/>
      <c r="S1156" s="2">
        <f>IFERROR(VLOOKUP(A1156,IMPORT_DESISTENCIA!$A$2:$Q2273,14,0),"NÃO")</f>
        <v>0</v>
      </c>
      <c r="T1156" s="35"/>
    </row>
    <row r="1157" spans="1:20" ht="45" customHeight="1" x14ac:dyDescent="0.25">
      <c r="A1157" s="2" t="str">
        <f t="shared" si="1"/>
        <v/>
      </c>
      <c r="B1157" s="2"/>
      <c r="C1157" s="43"/>
      <c r="D1157" s="2"/>
      <c r="E1157" s="2"/>
      <c r="F1157" s="2"/>
      <c r="G1157" s="11"/>
      <c r="H1157" s="11"/>
      <c r="I1157" s="2"/>
      <c r="J1157" s="2"/>
      <c r="K1157" s="2"/>
      <c r="L1157" s="10"/>
      <c r="M1157" s="9"/>
      <c r="N1157" s="2"/>
      <c r="O1157" s="2"/>
      <c r="P1157" s="2"/>
      <c r="Q1157" s="50"/>
      <c r="R1157" s="50"/>
      <c r="S1157" s="2">
        <f>IFERROR(VLOOKUP(A1157,IMPORT_DESISTENCIA!$A$2:$Q2273,14,0),"NÃO")</f>
        <v>0</v>
      </c>
      <c r="T1157" s="35"/>
    </row>
    <row r="1158" spans="1:20" ht="45" customHeight="1" x14ac:dyDescent="0.25">
      <c r="A1158" s="2" t="str">
        <f t="shared" si="1"/>
        <v/>
      </c>
      <c r="B1158" s="2"/>
      <c r="C1158" s="43"/>
      <c r="D1158" s="2"/>
      <c r="E1158" s="2"/>
      <c r="F1158" s="2"/>
      <c r="G1158" s="11"/>
      <c r="H1158" s="11"/>
      <c r="I1158" s="2"/>
      <c r="J1158" s="2"/>
      <c r="K1158" s="2"/>
      <c r="L1158" s="10"/>
      <c r="M1158" s="9"/>
      <c r="N1158" s="2"/>
      <c r="O1158" s="2"/>
      <c r="P1158" s="2"/>
      <c r="Q1158" s="50"/>
      <c r="R1158" s="50"/>
      <c r="S1158" s="2">
        <f>IFERROR(VLOOKUP(A1158,IMPORT_DESISTENCIA!$A$2:$Q2273,14,0),"NÃO")</f>
        <v>0</v>
      </c>
      <c r="T1158" s="35"/>
    </row>
    <row r="1159" spans="1:20" ht="45" customHeight="1" x14ac:dyDescent="0.25">
      <c r="A1159" s="2" t="str">
        <f t="shared" si="1"/>
        <v/>
      </c>
      <c r="B1159" s="2"/>
      <c r="C1159" s="43"/>
      <c r="D1159" s="2"/>
      <c r="E1159" s="2"/>
      <c r="F1159" s="2"/>
      <c r="G1159" s="11"/>
      <c r="H1159" s="11"/>
      <c r="I1159" s="2"/>
      <c r="J1159" s="2"/>
      <c r="K1159" s="2"/>
      <c r="L1159" s="10"/>
      <c r="M1159" s="9"/>
      <c r="N1159" s="2"/>
      <c r="O1159" s="2"/>
      <c r="P1159" s="2"/>
      <c r="Q1159" s="50"/>
      <c r="R1159" s="50"/>
      <c r="S1159" s="2">
        <f>IFERROR(VLOOKUP(A1159,IMPORT_DESISTENCIA!$A$2:$Q2273,14,0),"NÃO")</f>
        <v>0</v>
      </c>
      <c r="T1159" s="35"/>
    </row>
    <row r="1160" spans="1:20" ht="45" customHeight="1" x14ac:dyDescent="0.25">
      <c r="A1160" s="2" t="str">
        <f t="shared" si="1"/>
        <v/>
      </c>
      <c r="B1160" s="2"/>
      <c r="C1160" s="43"/>
      <c r="D1160" s="2"/>
      <c r="E1160" s="2"/>
      <c r="F1160" s="2"/>
      <c r="G1160" s="11"/>
      <c r="H1160" s="11"/>
      <c r="I1160" s="2"/>
      <c r="J1160" s="2"/>
      <c r="K1160" s="2"/>
      <c r="L1160" s="10"/>
      <c r="M1160" s="9"/>
      <c r="N1160" s="2"/>
      <c r="O1160" s="2"/>
      <c r="P1160" s="2"/>
      <c r="Q1160" s="50"/>
      <c r="R1160" s="50"/>
      <c r="S1160" s="2">
        <f>IFERROR(VLOOKUP(A1160,IMPORT_DESISTENCIA!$A$2:$Q2273,14,0),"NÃO")</f>
        <v>0</v>
      </c>
      <c r="T1160" s="35"/>
    </row>
    <row r="1161" spans="1:20" ht="45" customHeight="1" x14ac:dyDescent="0.25">
      <c r="A1161" s="2" t="str">
        <f t="shared" si="1"/>
        <v/>
      </c>
      <c r="B1161" s="2"/>
      <c r="C1161" s="43"/>
      <c r="D1161" s="2"/>
      <c r="E1161" s="2"/>
      <c r="F1161" s="2"/>
      <c r="G1161" s="11"/>
      <c r="H1161" s="11"/>
      <c r="I1161" s="2"/>
      <c r="J1161" s="2"/>
      <c r="K1161" s="2"/>
      <c r="L1161" s="10"/>
      <c r="M1161" s="9"/>
      <c r="N1161" s="2"/>
      <c r="O1161" s="2"/>
      <c r="P1161" s="2"/>
      <c r="Q1161" s="50"/>
      <c r="R1161" s="50"/>
      <c r="S1161" s="2">
        <f>IFERROR(VLOOKUP(A1161,IMPORT_DESISTENCIA!$A$2:$Q2273,14,0),"NÃO")</f>
        <v>0</v>
      </c>
      <c r="T1161" s="35"/>
    </row>
    <row r="1162" spans="1:20" ht="45" customHeight="1" x14ac:dyDescent="0.25">
      <c r="A1162" s="2" t="str">
        <f t="shared" si="1"/>
        <v/>
      </c>
      <c r="B1162" s="2"/>
      <c r="C1162" s="43"/>
      <c r="D1162" s="2"/>
      <c r="E1162" s="2"/>
      <c r="F1162" s="2"/>
      <c r="G1162" s="11"/>
      <c r="H1162" s="11"/>
      <c r="I1162" s="2"/>
      <c r="J1162" s="2"/>
      <c r="K1162" s="2"/>
      <c r="L1162" s="10"/>
      <c r="M1162" s="9"/>
      <c r="N1162" s="2"/>
      <c r="O1162" s="2"/>
      <c r="P1162" s="2"/>
      <c r="Q1162" s="50"/>
      <c r="R1162" s="50"/>
      <c r="S1162" s="2">
        <f>IFERROR(VLOOKUP(A1162,IMPORT_DESISTENCIA!$A$2:$Q2273,14,0),"NÃO")</f>
        <v>0</v>
      </c>
      <c r="T1162" s="35"/>
    </row>
    <row r="1163" spans="1:20" ht="45" customHeight="1" x14ac:dyDescent="0.25">
      <c r="A1163" s="2" t="str">
        <f t="shared" si="1"/>
        <v/>
      </c>
      <c r="B1163" s="2"/>
      <c r="C1163" s="43"/>
      <c r="D1163" s="2"/>
      <c r="E1163" s="2"/>
      <c r="F1163" s="2"/>
      <c r="G1163" s="11"/>
      <c r="H1163" s="11"/>
      <c r="I1163" s="2"/>
      <c r="J1163" s="2"/>
      <c r="K1163" s="2"/>
      <c r="L1163" s="10"/>
      <c r="M1163" s="9"/>
      <c r="N1163" s="2"/>
      <c r="O1163" s="2"/>
      <c r="P1163" s="2"/>
      <c r="Q1163" s="50"/>
      <c r="R1163" s="50"/>
      <c r="S1163" s="2">
        <f>IFERROR(VLOOKUP(A1163,IMPORT_DESISTENCIA!$A$2:$Q2273,14,0),"NÃO")</f>
        <v>0</v>
      </c>
      <c r="T1163" s="35"/>
    </row>
    <row r="1164" spans="1:20" ht="45" customHeight="1" x14ac:dyDescent="0.25">
      <c r="A1164" s="2" t="str">
        <f t="shared" si="1"/>
        <v/>
      </c>
      <c r="B1164" s="2"/>
      <c r="C1164" s="43"/>
      <c r="D1164" s="2"/>
      <c r="E1164" s="2"/>
      <c r="F1164" s="2"/>
      <c r="G1164" s="11"/>
      <c r="H1164" s="11"/>
      <c r="I1164" s="2"/>
      <c r="J1164" s="2"/>
      <c r="K1164" s="2"/>
      <c r="L1164" s="10"/>
      <c r="M1164" s="9"/>
      <c r="N1164" s="2"/>
      <c r="O1164" s="2"/>
      <c r="P1164" s="2"/>
      <c r="Q1164" s="50"/>
      <c r="R1164" s="50"/>
      <c r="S1164" s="2">
        <f>IFERROR(VLOOKUP(A1164,IMPORT_DESISTENCIA!$A$2:$Q2273,14,0),"NÃO")</f>
        <v>0</v>
      </c>
      <c r="T1164" s="35"/>
    </row>
    <row r="1165" spans="1:20" ht="45" customHeight="1" x14ac:dyDescent="0.25">
      <c r="A1165" s="2" t="str">
        <f t="shared" si="1"/>
        <v/>
      </c>
      <c r="B1165" s="2"/>
      <c r="C1165" s="43"/>
      <c r="D1165" s="2"/>
      <c r="E1165" s="2"/>
      <c r="F1165" s="2"/>
      <c r="G1165" s="11"/>
      <c r="H1165" s="11"/>
      <c r="I1165" s="2"/>
      <c r="J1165" s="2"/>
      <c r="K1165" s="2"/>
      <c r="L1165" s="10"/>
      <c r="M1165" s="9"/>
      <c r="N1165" s="2"/>
      <c r="O1165" s="2"/>
      <c r="P1165" s="2"/>
      <c r="Q1165" s="50"/>
      <c r="R1165" s="50"/>
      <c r="S1165" s="2">
        <f>IFERROR(VLOOKUP(A1165,IMPORT_DESISTENCIA!$A$2:$Q2273,14,0),"NÃO")</f>
        <v>0</v>
      </c>
      <c r="T1165" s="35"/>
    </row>
    <row r="1166" spans="1:20" ht="45" customHeight="1" x14ac:dyDescent="0.25">
      <c r="A1166" s="2" t="str">
        <f t="shared" si="1"/>
        <v/>
      </c>
      <c r="B1166" s="2"/>
      <c r="C1166" s="43"/>
      <c r="D1166" s="2"/>
      <c r="E1166" s="2"/>
      <c r="F1166" s="2"/>
      <c r="G1166" s="11"/>
      <c r="H1166" s="11"/>
      <c r="I1166" s="2"/>
      <c r="J1166" s="2"/>
      <c r="K1166" s="2"/>
      <c r="L1166" s="10"/>
      <c r="M1166" s="9"/>
      <c r="N1166" s="2"/>
      <c r="O1166" s="2"/>
      <c r="P1166" s="2"/>
      <c r="Q1166" s="50"/>
      <c r="R1166" s="50"/>
      <c r="S1166" s="2">
        <f>IFERROR(VLOOKUP(A1166,IMPORT_DESISTENCIA!$A$2:$Q2273,14,0),"NÃO")</f>
        <v>0</v>
      </c>
      <c r="T1166" s="35"/>
    </row>
    <row r="1167" spans="1:20" ht="45" customHeight="1" x14ac:dyDescent="0.25">
      <c r="A1167" s="2" t="str">
        <f t="shared" si="1"/>
        <v/>
      </c>
      <c r="B1167" s="2"/>
      <c r="C1167" s="43"/>
      <c r="D1167" s="2"/>
      <c r="E1167" s="2"/>
      <c r="F1167" s="2"/>
      <c r="G1167" s="11"/>
      <c r="H1167" s="11"/>
      <c r="I1167" s="2"/>
      <c r="J1167" s="2"/>
      <c r="K1167" s="2"/>
      <c r="L1167" s="10"/>
      <c r="M1167" s="9"/>
      <c r="N1167" s="2"/>
      <c r="O1167" s="2"/>
      <c r="P1167" s="2"/>
      <c r="Q1167" s="50"/>
      <c r="R1167" s="50"/>
      <c r="S1167" s="2">
        <f>IFERROR(VLOOKUP(A1167,IMPORT_DESISTENCIA!$A$2:$Q2273,14,0),"NÃO")</f>
        <v>0</v>
      </c>
      <c r="T1167" s="35"/>
    </row>
    <row r="1168" spans="1:20" ht="45" customHeight="1" x14ac:dyDescent="0.25">
      <c r="A1168" s="2" t="str">
        <f t="shared" si="1"/>
        <v/>
      </c>
      <c r="B1168" s="2"/>
      <c r="C1168" s="43"/>
      <c r="D1168" s="2"/>
      <c r="E1168" s="2"/>
      <c r="F1168" s="2"/>
      <c r="G1168" s="11"/>
      <c r="H1168" s="11"/>
      <c r="I1168" s="2"/>
      <c r="J1168" s="2"/>
      <c r="K1168" s="2"/>
      <c r="L1168" s="10"/>
      <c r="M1168" s="9"/>
      <c r="N1168" s="2"/>
      <c r="O1168" s="2"/>
      <c r="P1168" s="2"/>
      <c r="Q1168" s="50"/>
      <c r="R1168" s="50"/>
      <c r="S1168" s="2">
        <f>IFERROR(VLOOKUP(A1168,IMPORT_DESISTENCIA!$A$2:$Q2273,14,0),"NÃO")</f>
        <v>0</v>
      </c>
      <c r="T1168" s="35"/>
    </row>
    <row r="1169" spans="1:20" ht="45" customHeight="1" x14ac:dyDescent="0.25">
      <c r="A1169" s="2" t="str">
        <f t="shared" si="1"/>
        <v/>
      </c>
      <c r="B1169" s="2"/>
      <c r="C1169" s="43"/>
      <c r="D1169" s="2"/>
      <c r="E1169" s="2"/>
      <c r="F1169" s="2"/>
      <c r="G1169" s="11"/>
      <c r="H1169" s="11"/>
      <c r="I1169" s="2"/>
      <c r="J1169" s="2"/>
      <c r="K1169" s="2"/>
      <c r="L1169" s="10"/>
      <c r="M1169" s="9"/>
      <c r="N1169" s="2"/>
      <c r="O1169" s="2"/>
      <c r="P1169" s="2"/>
      <c r="Q1169" s="50"/>
      <c r="R1169" s="50"/>
      <c r="S1169" s="2">
        <f>IFERROR(VLOOKUP(A1169,IMPORT_DESISTENCIA!$A$2:$Q2273,14,0),"NÃO")</f>
        <v>0</v>
      </c>
      <c r="T1169" s="35"/>
    </row>
    <row r="1170" spans="1:20" ht="45" customHeight="1" x14ac:dyDescent="0.25">
      <c r="A1170" s="2" t="str">
        <f t="shared" si="1"/>
        <v/>
      </c>
      <c r="B1170" s="2"/>
      <c r="C1170" s="43"/>
      <c r="D1170" s="2"/>
      <c r="E1170" s="2"/>
      <c r="F1170" s="2"/>
      <c r="G1170" s="11"/>
      <c r="H1170" s="11"/>
      <c r="I1170" s="2"/>
      <c r="J1170" s="2"/>
      <c r="K1170" s="2"/>
      <c r="L1170" s="10"/>
      <c r="M1170" s="9"/>
      <c r="N1170" s="2"/>
      <c r="O1170" s="2"/>
      <c r="P1170" s="2"/>
      <c r="Q1170" s="50"/>
      <c r="R1170" s="50"/>
      <c r="S1170" s="2">
        <f>IFERROR(VLOOKUP(A1170,IMPORT_DESISTENCIA!$A$2:$Q2273,14,0),"NÃO")</f>
        <v>0</v>
      </c>
      <c r="T1170" s="35"/>
    </row>
    <row r="1171" spans="1:20" ht="45" customHeight="1" x14ac:dyDescent="0.25">
      <c r="A1171" s="2" t="str">
        <f t="shared" si="1"/>
        <v/>
      </c>
      <c r="B1171" s="2"/>
      <c r="C1171" s="43"/>
      <c r="D1171" s="2"/>
      <c r="E1171" s="2"/>
      <c r="F1171" s="2"/>
      <c r="G1171" s="11"/>
      <c r="H1171" s="11"/>
      <c r="I1171" s="2"/>
      <c r="J1171" s="2"/>
      <c r="K1171" s="2"/>
      <c r="L1171" s="10"/>
      <c r="M1171" s="9"/>
      <c r="N1171" s="2"/>
      <c r="O1171" s="2"/>
      <c r="P1171" s="2"/>
      <c r="Q1171" s="50"/>
      <c r="R1171" s="50"/>
      <c r="S1171" s="2">
        <f>IFERROR(VLOOKUP(A1171,IMPORT_DESISTENCIA!$A$2:$Q2273,14,0),"NÃO")</f>
        <v>0</v>
      </c>
      <c r="T1171" s="35"/>
    </row>
    <row r="1172" spans="1:20" ht="45" customHeight="1" x14ac:dyDescent="0.25">
      <c r="A1172" s="2" t="str">
        <f t="shared" si="1"/>
        <v/>
      </c>
      <c r="B1172" s="2"/>
      <c r="C1172" s="43"/>
      <c r="D1172" s="2"/>
      <c r="E1172" s="2"/>
      <c r="F1172" s="2"/>
      <c r="G1172" s="11"/>
      <c r="H1172" s="11"/>
      <c r="I1172" s="2"/>
      <c r="J1172" s="2"/>
      <c r="K1172" s="2"/>
      <c r="L1172" s="10"/>
      <c r="M1172" s="9"/>
      <c r="N1172" s="2"/>
      <c r="O1172" s="2"/>
      <c r="P1172" s="2"/>
      <c r="Q1172" s="50"/>
      <c r="R1172" s="50"/>
      <c r="S1172" s="2">
        <f>IFERROR(VLOOKUP(A1172,IMPORT_DESISTENCIA!$A$2:$Q2273,14,0),"NÃO")</f>
        <v>0</v>
      </c>
      <c r="T1172" s="35"/>
    </row>
    <row r="1173" spans="1:20" ht="45" customHeight="1" x14ac:dyDescent="0.25">
      <c r="A1173" s="2" t="str">
        <f t="shared" si="1"/>
        <v/>
      </c>
      <c r="B1173" s="2"/>
      <c r="C1173" s="43"/>
      <c r="D1173" s="2"/>
      <c r="E1173" s="2"/>
      <c r="F1173" s="2"/>
      <c r="G1173" s="11"/>
      <c r="H1173" s="11"/>
      <c r="I1173" s="2"/>
      <c r="J1173" s="2"/>
      <c r="K1173" s="2"/>
      <c r="L1173" s="10"/>
      <c r="M1173" s="9"/>
      <c r="N1173" s="2"/>
      <c r="O1173" s="2"/>
      <c r="P1173" s="2"/>
      <c r="Q1173" s="50"/>
      <c r="R1173" s="50"/>
      <c r="S1173" s="2">
        <f>IFERROR(VLOOKUP(A1173,IMPORT_DESISTENCIA!$A$2:$Q2273,14,0),"NÃO")</f>
        <v>0</v>
      </c>
      <c r="T1173" s="35"/>
    </row>
    <row r="1174" spans="1:20" ht="45" customHeight="1" x14ac:dyDescent="0.25">
      <c r="A1174" s="2" t="str">
        <f t="shared" si="1"/>
        <v/>
      </c>
      <c r="B1174" s="2"/>
      <c r="C1174" s="43"/>
      <c r="D1174" s="2"/>
      <c r="E1174" s="2"/>
      <c r="F1174" s="2"/>
      <c r="G1174" s="11"/>
      <c r="H1174" s="11"/>
      <c r="I1174" s="2"/>
      <c r="J1174" s="2"/>
      <c r="K1174" s="2"/>
      <c r="L1174" s="10"/>
      <c r="M1174" s="9"/>
      <c r="N1174" s="2"/>
      <c r="O1174" s="2"/>
      <c r="P1174" s="2"/>
      <c r="Q1174" s="50"/>
      <c r="R1174" s="50"/>
      <c r="S1174" s="2">
        <f>IFERROR(VLOOKUP(A1174,IMPORT_DESISTENCIA!$A$2:$Q2273,14,0),"NÃO")</f>
        <v>0</v>
      </c>
      <c r="T1174" s="35"/>
    </row>
    <row r="1175" spans="1:20" ht="45" customHeight="1" x14ac:dyDescent="0.25">
      <c r="A1175" s="2" t="str">
        <f t="shared" si="1"/>
        <v/>
      </c>
      <c r="B1175" s="2"/>
      <c r="C1175" s="43"/>
      <c r="D1175" s="2"/>
      <c r="E1175" s="2"/>
      <c r="F1175" s="2"/>
      <c r="G1175" s="11"/>
      <c r="H1175" s="11"/>
      <c r="I1175" s="2"/>
      <c r="J1175" s="2"/>
      <c r="K1175" s="2"/>
      <c r="L1175" s="10"/>
      <c r="M1175" s="9"/>
      <c r="N1175" s="2"/>
      <c r="O1175" s="2"/>
      <c r="P1175" s="2"/>
      <c r="Q1175" s="50"/>
      <c r="R1175" s="50"/>
      <c r="S1175" s="2">
        <f>IFERROR(VLOOKUP(A1175,IMPORT_DESISTENCIA!$A$2:$Q2273,14,0),"NÃO")</f>
        <v>0</v>
      </c>
      <c r="T1175" s="35"/>
    </row>
    <row r="1176" spans="1:20" ht="45" customHeight="1" x14ac:dyDescent="0.25">
      <c r="A1176" s="2" t="str">
        <f t="shared" si="1"/>
        <v/>
      </c>
      <c r="B1176" s="2"/>
      <c r="C1176" s="43"/>
      <c r="D1176" s="2"/>
      <c r="E1176" s="2"/>
      <c r="F1176" s="2"/>
      <c r="G1176" s="11"/>
      <c r="H1176" s="11"/>
      <c r="I1176" s="2"/>
      <c r="J1176" s="2"/>
      <c r="K1176" s="2"/>
      <c r="L1176" s="10"/>
      <c r="M1176" s="9"/>
      <c r="N1176" s="2"/>
      <c r="O1176" s="2"/>
      <c r="P1176" s="2"/>
      <c r="Q1176" s="50"/>
      <c r="R1176" s="50"/>
      <c r="S1176" s="2">
        <f>IFERROR(VLOOKUP(A1176,IMPORT_DESISTENCIA!$A$2:$Q2273,14,0),"NÃO")</f>
        <v>0</v>
      </c>
      <c r="T1176" s="35"/>
    </row>
    <row r="1177" spans="1:20" ht="45" customHeight="1" x14ac:dyDescent="0.25">
      <c r="A1177" s="2" t="str">
        <f t="shared" si="1"/>
        <v/>
      </c>
      <c r="B1177" s="2"/>
      <c r="C1177" s="43"/>
      <c r="D1177" s="2"/>
      <c r="E1177" s="2"/>
      <c r="F1177" s="2"/>
      <c r="G1177" s="11"/>
      <c r="H1177" s="11"/>
      <c r="I1177" s="2"/>
      <c r="J1177" s="2"/>
      <c r="K1177" s="2"/>
      <c r="L1177" s="10"/>
      <c r="M1177" s="9"/>
      <c r="N1177" s="2"/>
      <c r="O1177" s="2"/>
      <c r="P1177" s="2"/>
      <c r="Q1177" s="50"/>
      <c r="R1177" s="50"/>
      <c r="S1177" s="2">
        <f>IFERROR(VLOOKUP(A1177,IMPORT_DESISTENCIA!$A$2:$Q2273,14,0),"NÃO")</f>
        <v>0</v>
      </c>
      <c r="T1177" s="35"/>
    </row>
    <row r="1178" spans="1:20" ht="45" customHeight="1" x14ac:dyDescent="0.25">
      <c r="A1178" s="2" t="str">
        <f t="shared" si="1"/>
        <v/>
      </c>
      <c r="B1178" s="2"/>
      <c r="C1178" s="43"/>
      <c r="D1178" s="2"/>
      <c r="E1178" s="2"/>
      <c r="F1178" s="2"/>
      <c r="G1178" s="11"/>
      <c r="H1178" s="11"/>
      <c r="I1178" s="2"/>
      <c r="J1178" s="2"/>
      <c r="K1178" s="2"/>
      <c r="L1178" s="10"/>
      <c r="M1178" s="9"/>
      <c r="N1178" s="2"/>
      <c r="O1178" s="2"/>
      <c r="P1178" s="2"/>
      <c r="Q1178" s="50"/>
      <c r="R1178" s="50"/>
      <c r="S1178" s="2">
        <f>IFERROR(VLOOKUP(A1178,IMPORT_DESISTENCIA!$A$2:$Q2273,14,0),"NÃO")</f>
        <v>0</v>
      </c>
      <c r="T1178" s="35"/>
    </row>
    <row r="1179" spans="1:20" ht="45" customHeight="1" x14ac:dyDescent="0.25">
      <c r="A1179" s="2" t="str">
        <f t="shared" si="1"/>
        <v/>
      </c>
      <c r="B1179" s="2"/>
      <c r="C1179" s="43"/>
      <c r="D1179" s="2"/>
      <c r="E1179" s="2"/>
      <c r="F1179" s="2"/>
      <c r="G1179" s="11"/>
      <c r="H1179" s="11"/>
      <c r="I1179" s="2"/>
      <c r="J1179" s="2"/>
      <c r="K1179" s="2"/>
      <c r="L1179" s="10"/>
      <c r="M1179" s="9"/>
      <c r="N1179" s="2"/>
      <c r="O1179" s="2"/>
      <c r="P1179" s="2"/>
      <c r="Q1179" s="50"/>
      <c r="R1179" s="50"/>
      <c r="S1179" s="2">
        <f>IFERROR(VLOOKUP(A1179,IMPORT_DESISTENCIA!$A$2:$Q2273,14,0),"NÃO")</f>
        <v>0</v>
      </c>
      <c r="T1179" s="35"/>
    </row>
    <row r="1180" spans="1:20" ht="45" customHeight="1" x14ac:dyDescent="0.25">
      <c r="A1180" s="2" t="str">
        <f t="shared" si="1"/>
        <v/>
      </c>
      <c r="B1180" s="2"/>
      <c r="C1180" s="43"/>
      <c r="D1180" s="2"/>
      <c r="E1180" s="2"/>
      <c r="F1180" s="2"/>
      <c r="G1180" s="11"/>
      <c r="H1180" s="11"/>
      <c r="I1180" s="2"/>
      <c r="J1180" s="2"/>
      <c r="K1180" s="2"/>
      <c r="L1180" s="10"/>
      <c r="M1180" s="9"/>
      <c r="N1180" s="2"/>
      <c r="O1180" s="2"/>
      <c r="P1180" s="2"/>
      <c r="Q1180" s="50"/>
      <c r="R1180" s="50"/>
      <c r="S1180" s="2">
        <f>IFERROR(VLOOKUP(A1180,IMPORT_DESISTENCIA!$A$2:$Q2273,14,0),"NÃO")</f>
        <v>0</v>
      </c>
      <c r="T1180" s="35"/>
    </row>
    <row r="1181" spans="1:20" ht="45" customHeight="1" x14ac:dyDescent="0.25">
      <c r="A1181" s="2" t="str">
        <f t="shared" si="1"/>
        <v/>
      </c>
      <c r="B1181" s="2"/>
      <c r="C1181" s="43"/>
      <c r="D1181" s="2"/>
      <c r="E1181" s="2"/>
      <c r="F1181" s="2"/>
      <c r="G1181" s="11"/>
      <c r="H1181" s="11"/>
      <c r="I1181" s="2"/>
      <c r="J1181" s="2"/>
      <c r="K1181" s="2"/>
      <c r="L1181" s="10"/>
      <c r="M1181" s="9"/>
      <c r="N1181" s="2"/>
      <c r="O1181" s="2"/>
      <c r="P1181" s="2"/>
      <c r="Q1181" s="50"/>
      <c r="R1181" s="50"/>
      <c r="S1181" s="2">
        <f>IFERROR(VLOOKUP(A1181,IMPORT_DESISTENCIA!$A$2:$Q2273,14,0),"NÃO")</f>
        <v>0</v>
      </c>
      <c r="T1181" s="35"/>
    </row>
    <row r="1182" spans="1:20" ht="45" customHeight="1" x14ac:dyDescent="0.25">
      <c r="A1182" s="2" t="str">
        <f t="shared" si="1"/>
        <v/>
      </c>
      <c r="B1182" s="2"/>
      <c r="C1182" s="43"/>
      <c r="D1182" s="2"/>
      <c r="E1182" s="2"/>
      <c r="F1182" s="2"/>
      <c r="G1182" s="11"/>
      <c r="H1182" s="11"/>
      <c r="I1182" s="2"/>
      <c r="J1182" s="2"/>
      <c r="K1182" s="2"/>
      <c r="L1182" s="10"/>
      <c r="M1182" s="9"/>
      <c r="N1182" s="2"/>
      <c r="O1182" s="2"/>
      <c r="P1182" s="2"/>
      <c r="Q1182" s="50"/>
      <c r="R1182" s="50"/>
      <c r="S1182" s="2">
        <f>IFERROR(VLOOKUP(A1182,IMPORT_DESISTENCIA!$A$2:$Q2273,14,0),"NÃO")</f>
        <v>0</v>
      </c>
      <c r="T1182" s="35"/>
    </row>
    <row r="1183" spans="1:20" ht="45" customHeight="1" x14ac:dyDescent="0.25">
      <c r="A1183" s="2" t="str">
        <f t="shared" si="1"/>
        <v/>
      </c>
      <c r="B1183" s="2"/>
      <c r="C1183" s="43"/>
      <c r="D1183" s="2"/>
      <c r="E1183" s="2"/>
      <c r="F1183" s="2"/>
      <c r="G1183" s="11"/>
      <c r="H1183" s="11"/>
      <c r="I1183" s="2"/>
      <c r="J1183" s="2"/>
      <c r="K1183" s="2"/>
      <c r="L1183" s="10"/>
      <c r="M1183" s="9"/>
      <c r="N1183" s="2"/>
      <c r="O1183" s="2"/>
      <c r="P1183" s="2"/>
      <c r="Q1183" s="50"/>
      <c r="R1183" s="50"/>
      <c r="S1183" s="2">
        <f>IFERROR(VLOOKUP(A1183,IMPORT_DESISTENCIA!$A$2:$Q2273,14,0),"NÃO")</f>
        <v>0</v>
      </c>
      <c r="T1183" s="35"/>
    </row>
    <row r="1184" spans="1:20" ht="45" customHeight="1" x14ac:dyDescent="0.25">
      <c r="A1184" s="2" t="str">
        <f t="shared" si="1"/>
        <v/>
      </c>
      <c r="B1184" s="2"/>
      <c r="C1184" s="43"/>
      <c r="D1184" s="2"/>
      <c r="E1184" s="2"/>
      <c r="F1184" s="2"/>
      <c r="G1184" s="11"/>
      <c r="H1184" s="11"/>
      <c r="I1184" s="2"/>
      <c r="J1184" s="2"/>
      <c r="K1184" s="2"/>
      <c r="L1184" s="10"/>
      <c r="M1184" s="9"/>
      <c r="N1184" s="2"/>
      <c r="O1184" s="2"/>
      <c r="P1184" s="2"/>
      <c r="Q1184" s="50"/>
      <c r="R1184" s="50"/>
      <c r="S1184" s="2">
        <f>IFERROR(VLOOKUP(A1184,IMPORT_DESISTENCIA!$A$2:$Q2273,14,0),"NÃO")</f>
        <v>0</v>
      </c>
      <c r="T1184" s="35"/>
    </row>
    <row r="1185" spans="1:20" ht="45" customHeight="1" x14ac:dyDescent="0.25">
      <c r="A1185" s="2" t="str">
        <f t="shared" si="1"/>
        <v/>
      </c>
      <c r="B1185" s="2"/>
      <c r="C1185" s="43"/>
      <c r="D1185" s="2"/>
      <c r="E1185" s="2"/>
      <c r="F1185" s="2"/>
      <c r="G1185" s="11"/>
      <c r="H1185" s="11"/>
      <c r="I1185" s="2"/>
      <c r="J1185" s="2"/>
      <c r="K1185" s="2"/>
      <c r="L1185" s="10"/>
      <c r="M1185" s="9"/>
      <c r="N1185" s="2"/>
      <c r="O1185" s="2"/>
      <c r="P1185" s="2"/>
      <c r="Q1185" s="50"/>
      <c r="R1185" s="50"/>
      <c r="S1185" s="2">
        <f>IFERROR(VLOOKUP(A1185,IMPORT_DESISTENCIA!$A$2:$Q2273,14,0),"NÃO")</f>
        <v>0</v>
      </c>
      <c r="T1185" s="35"/>
    </row>
    <row r="1186" spans="1:20" ht="45" customHeight="1" x14ac:dyDescent="0.25">
      <c r="A1186" s="2" t="str">
        <f t="shared" si="1"/>
        <v/>
      </c>
      <c r="B1186" s="2"/>
      <c r="C1186" s="43"/>
      <c r="D1186" s="2"/>
      <c r="E1186" s="2"/>
      <c r="F1186" s="2"/>
      <c r="G1186" s="11"/>
      <c r="H1186" s="11"/>
      <c r="I1186" s="2"/>
      <c r="J1186" s="2"/>
      <c r="K1186" s="2"/>
      <c r="L1186" s="10"/>
      <c r="M1186" s="9"/>
      <c r="N1186" s="2"/>
      <c r="O1186" s="2"/>
      <c r="P1186" s="2"/>
      <c r="Q1186" s="50"/>
      <c r="R1186" s="50"/>
      <c r="S1186" s="2">
        <f>IFERROR(VLOOKUP(A1186,IMPORT_DESISTENCIA!$A$2:$Q2273,14,0),"NÃO")</f>
        <v>0</v>
      </c>
      <c r="T1186" s="35"/>
    </row>
    <row r="1187" spans="1:20" ht="45" customHeight="1" x14ac:dyDescent="0.25">
      <c r="A1187" s="2" t="str">
        <f t="shared" si="1"/>
        <v/>
      </c>
      <c r="B1187" s="2"/>
      <c r="C1187" s="43"/>
      <c r="D1187" s="2"/>
      <c r="E1187" s="2"/>
      <c r="F1187" s="2"/>
      <c r="G1187" s="11"/>
      <c r="H1187" s="11"/>
      <c r="I1187" s="2"/>
      <c r="J1187" s="2"/>
      <c r="K1187" s="2"/>
      <c r="L1187" s="10"/>
      <c r="M1187" s="9"/>
      <c r="N1187" s="2"/>
      <c r="O1187" s="2"/>
      <c r="P1187" s="2"/>
      <c r="Q1187" s="50"/>
      <c r="R1187" s="50"/>
      <c r="S1187" s="2">
        <f>IFERROR(VLOOKUP(A1187,IMPORT_DESISTENCIA!$A$2:$Q2273,14,0),"NÃO")</f>
        <v>0</v>
      </c>
      <c r="T1187" s="35"/>
    </row>
    <row r="1188" spans="1:20" ht="45" customHeight="1" x14ac:dyDescent="0.25">
      <c r="A1188" s="2" t="str">
        <f t="shared" si="1"/>
        <v/>
      </c>
      <c r="B1188" s="2"/>
      <c r="C1188" s="43"/>
      <c r="D1188" s="2"/>
      <c r="E1188" s="2"/>
      <c r="F1188" s="2"/>
      <c r="G1188" s="11"/>
      <c r="H1188" s="11"/>
      <c r="I1188" s="2"/>
      <c r="J1188" s="2"/>
      <c r="K1188" s="2"/>
      <c r="L1188" s="10"/>
      <c r="M1188" s="9"/>
      <c r="N1188" s="2"/>
      <c r="O1188" s="2"/>
      <c r="P1188" s="2"/>
      <c r="Q1188" s="50"/>
      <c r="R1188" s="50"/>
      <c r="S1188" s="2">
        <f>IFERROR(VLOOKUP(A1188,IMPORT_DESISTENCIA!$A$2:$Q2273,14,0),"NÃO")</f>
        <v>0</v>
      </c>
      <c r="T1188" s="35"/>
    </row>
    <row r="1189" spans="1:20" ht="45" customHeight="1" x14ac:dyDescent="0.25">
      <c r="A1189" s="2" t="str">
        <f t="shared" si="1"/>
        <v/>
      </c>
      <c r="B1189" s="2"/>
      <c r="C1189" s="43"/>
      <c r="D1189" s="2"/>
      <c r="E1189" s="2"/>
      <c r="F1189" s="2"/>
      <c r="G1189" s="11"/>
      <c r="H1189" s="11"/>
      <c r="I1189" s="2"/>
      <c r="J1189" s="2"/>
      <c r="K1189" s="2"/>
      <c r="L1189" s="10"/>
      <c r="M1189" s="9"/>
      <c r="N1189" s="2"/>
      <c r="O1189" s="2"/>
      <c r="P1189" s="2"/>
      <c r="Q1189" s="50"/>
      <c r="R1189" s="50"/>
      <c r="S1189" s="2">
        <f>IFERROR(VLOOKUP(A1189,IMPORT_DESISTENCIA!$A$2:$Q2273,14,0),"NÃO")</f>
        <v>0</v>
      </c>
      <c r="T1189" s="35"/>
    </row>
    <row r="1190" spans="1:20" ht="45" customHeight="1" x14ac:dyDescent="0.25">
      <c r="A1190" s="2" t="str">
        <f t="shared" si="1"/>
        <v/>
      </c>
      <c r="B1190" s="2"/>
      <c r="C1190" s="43"/>
      <c r="D1190" s="2"/>
      <c r="E1190" s="2"/>
      <c r="F1190" s="2"/>
      <c r="G1190" s="11"/>
      <c r="H1190" s="11"/>
      <c r="I1190" s="2"/>
      <c r="J1190" s="2"/>
      <c r="K1190" s="2"/>
      <c r="L1190" s="10"/>
      <c r="M1190" s="9"/>
      <c r="N1190" s="2"/>
      <c r="O1190" s="2"/>
      <c r="P1190" s="2"/>
      <c r="Q1190" s="50"/>
      <c r="R1190" s="50"/>
      <c r="S1190" s="2">
        <f>IFERROR(VLOOKUP(A1190,IMPORT_DESISTENCIA!$A$2:$Q2273,14,0),"NÃO")</f>
        <v>0</v>
      </c>
      <c r="T1190" s="35"/>
    </row>
    <row r="1191" spans="1:20" ht="45" customHeight="1" x14ac:dyDescent="0.25">
      <c r="A1191" s="2" t="str">
        <f t="shared" si="1"/>
        <v/>
      </c>
      <c r="B1191" s="2"/>
      <c r="C1191" s="43"/>
      <c r="D1191" s="2"/>
      <c r="E1191" s="2"/>
      <c r="F1191" s="2"/>
      <c r="G1191" s="11"/>
      <c r="H1191" s="11"/>
      <c r="I1191" s="2"/>
      <c r="J1191" s="2"/>
      <c r="K1191" s="2"/>
      <c r="L1191" s="10"/>
      <c r="M1191" s="9"/>
      <c r="N1191" s="2"/>
      <c r="O1191" s="2"/>
      <c r="P1191" s="2"/>
      <c r="Q1191" s="50"/>
      <c r="R1191" s="50"/>
      <c r="S1191" s="2">
        <f>IFERROR(VLOOKUP(A1191,IMPORT_DESISTENCIA!$A$2:$Q2273,14,0),"NÃO")</f>
        <v>0</v>
      </c>
      <c r="T1191" s="35"/>
    </row>
    <row r="1192" spans="1:20" ht="45" customHeight="1" x14ac:dyDescent="0.25">
      <c r="A1192" s="2" t="str">
        <f t="shared" si="1"/>
        <v/>
      </c>
      <c r="B1192" s="2"/>
      <c r="C1192" s="43"/>
      <c r="D1192" s="2"/>
      <c r="E1192" s="2"/>
      <c r="F1192" s="2"/>
      <c r="G1192" s="11"/>
      <c r="H1192" s="11"/>
      <c r="I1192" s="2"/>
      <c r="J1192" s="2"/>
      <c r="K1192" s="2"/>
      <c r="L1192" s="10"/>
      <c r="M1192" s="9"/>
      <c r="N1192" s="2"/>
      <c r="O1192" s="2"/>
      <c r="P1192" s="2"/>
      <c r="Q1192" s="50"/>
      <c r="R1192" s="50"/>
      <c r="S1192" s="2">
        <f>IFERROR(VLOOKUP(A1192,IMPORT_DESISTENCIA!$A$2:$Q2273,14,0),"NÃO")</f>
        <v>0</v>
      </c>
      <c r="T1192" s="35"/>
    </row>
    <row r="1193" spans="1:20" ht="45" customHeight="1" x14ac:dyDescent="0.25">
      <c r="A1193" s="2" t="str">
        <f t="shared" si="1"/>
        <v/>
      </c>
      <c r="B1193" s="2"/>
      <c r="C1193" s="43"/>
      <c r="D1193" s="2"/>
      <c r="E1193" s="2"/>
      <c r="F1193" s="2"/>
      <c r="G1193" s="11"/>
      <c r="H1193" s="11"/>
      <c r="I1193" s="2"/>
      <c r="J1193" s="2"/>
      <c r="K1193" s="2"/>
      <c r="L1193" s="10"/>
      <c r="M1193" s="9"/>
      <c r="N1193" s="2"/>
      <c r="O1193" s="2"/>
      <c r="P1193" s="2"/>
      <c r="Q1193" s="50"/>
      <c r="R1193" s="50"/>
      <c r="S1193" s="2">
        <f>IFERROR(VLOOKUP(A1193,IMPORT_DESISTENCIA!$A$2:$Q2273,14,0),"NÃO")</f>
        <v>0</v>
      </c>
      <c r="T1193" s="35"/>
    </row>
    <row r="1194" spans="1:20" ht="45" customHeight="1" x14ac:dyDescent="0.25">
      <c r="A1194" s="2" t="str">
        <f t="shared" si="1"/>
        <v/>
      </c>
      <c r="B1194" s="2"/>
      <c r="C1194" s="43"/>
      <c r="D1194" s="2"/>
      <c r="E1194" s="2"/>
      <c r="F1194" s="2"/>
      <c r="G1194" s="11"/>
      <c r="H1194" s="11"/>
      <c r="I1194" s="2"/>
      <c r="J1194" s="2"/>
      <c r="K1194" s="2"/>
      <c r="L1194" s="10"/>
      <c r="M1194" s="9"/>
      <c r="N1194" s="2"/>
      <c r="O1194" s="2"/>
      <c r="P1194" s="2"/>
      <c r="Q1194" s="50"/>
      <c r="R1194" s="50"/>
      <c r="S1194" s="2">
        <f>IFERROR(VLOOKUP(A1194,IMPORT_DESISTENCIA!$A$2:$Q2273,14,0),"NÃO")</f>
        <v>0</v>
      </c>
      <c r="T1194" s="35"/>
    </row>
    <row r="1195" spans="1:20" ht="45" customHeight="1" x14ac:dyDescent="0.25">
      <c r="A1195" s="2" t="str">
        <f t="shared" si="1"/>
        <v/>
      </c>
      <c r="B1195" s="2"/>
      <c r="C1195" s="43"/>
      <c r="D1195" s="2"/>
      <c r="E1195" s="2"/>
      <c r="F1195" s="2"/>
      <c r="G1195" s="11"/>
      <c r="H1195" s="11"/>
      <c r="I1195" s="2"/>
      <c r="J1195" s="2"/>
      <c r="K1195" s="2"/>
      <c r="L1195" s="10"/>
      <c r="M1195" s="9"/>
      <c r="N1195" s="2"/>
      <c r="O1195" s="2"/>
      <c r="P1195" s="2"/>
      <c r="Q1195" s="50"/>
      <c r="R1195" s="50"/>
      <c r="S1195" s="2">
        <f>IFERROR(VLOOKUP(A1195,IMPORT_DESISTENCIA!$A$2:$Q2273,14,0),"NÃO")</f>
        <v>0</v>
      </c>
      <c r="T1195" s="35"/>
    </row>
    <row r="1196" spans="1:20" ht="45" customHeight="1" x14ac:dyDescent="0.25">
      <c r="A1196" s="2" t="str">
        <f t="shared" si="1"/>
        <v/>
      </c>
      <c r="B1196" s="2"/>
      <c r="C1196" s="43"/>
      <c r="D1196" s="2"/>
      <c r="E1196" s="2"/>
      <c r="F1196" s="2"/>
      <c r="G1196" s="11"/>
      <c r="H1196" s="11"/>
      <c r="I1196" s="2"/>
      <c r="J1196" s="2"/>
      <c r="K1196" s="2"/>
      <c r="L1196" s="10"/>
      <c r="M1196" s="9"/>
      <c r="N1196" s="2"/>
      <c r="O1196" s="2"/>
      <c r="P1196" s="2"/>
      <c r="Q1196" s="50"/>
      <c r="R1196" s="50"/>
      <c r="S1196" s="2">
        <f>IFERROR(VLOOKUP(A1196,IMPORT_DESISTENCIA!$A$2:$Q2273,14,0),"NÃO")</f>
        <v>0</v>
      </c>
      <c r="T1196" s="35"/>
    </row>
    <row r="1197" spans="1:20" ht="45" customHeight="1" x14ac:dyDescent="0.25">
      <c r="A1197" s="2" t="str">
        <f t="shared" si="1"/>
        <v/>
      </c>
      <c r="B1197" s="2"/>
      <c r="C1197" s="43"/>
      <c r="D1197" s="2"/>
      <c r="E1197" s="2"/>
      <c r="F1197" s="2"/>
      <c r="G1197" s="11"/>
      <c r="H1197" s="11"/>
      <c r="I1197" s="2"/>
      <c r="J1197" s="2"/>
      <c r="K1197" s="2"/>
      <c r="L1197" s="10"/>
      <c r="M1197" s="9"/>
      <c r="N1197" s="2"/>
      <c r="O1197" s="2"/>
      <c r="P1197" s="2"/>
      <c r="Q1197" s="50"/>
      <c r="R1197" s="50"/>
      <c r="S1197" s="2">
        <f>IFERROR(VLOOKUP(A1197,IMPORT_DESISTENCIA!$A$2:$Q2273,14,0),"NÃO")</f>
        <v>0</v>
      </c>
      <c r="T1197" s="35"/>
    </row>
    <row r="1198" spans="1:20" ht="45" customHeight="1" x14ac:dyDescent="0.25">
      <c r="A1198" s="2" t="str">
        <f t="shared" si="1"/>
        <v/>
      </c>
      <c r="B1198" s="2"/>
      <c r="C1198" s="43"/>
      <c r="D1198" s="2"/>
      <c r="E1198" s="2"/>
      <c r="F1198" s="2"/>
      <c r="G1198" s="11"/>
      <c r="H1198" s="11"/>
      <c r="I1198" s="2"/>
      <c r="J1198" s="2"/>
      <c r="K1198" s="2"/>
      <c r="L1198" s="10"/>
      <c r="M1198" s="9"/>
      <c r="N1198" s="2"/>
      <c r="O1198" s="2"/>
      <c r="P1198" s="2"/>
      <c r="Q1198" s="50"/>
      <c r="R1198" s="50"/>
      <c r="S1198" s="2">
        <f>IFERROR(VLOOKUP(A1198,IMPORT_DESISTENCIA!$A$2:$Q2273,14,0),"NÃO")</f>
        <v>0</v>
      </c>
      <c r="T1198" s="35"/>
    </row>
    <row r="1199" spans="1:20" ht="45" customHeight="1" x14ac:dyDescent="0.25">
      <c r="A1199" s="2" t="str">
        <f t="shared" si="1"/>
        <v/>
      </c>
      <c r="B1199" s="2"/>
      <c r="C1199" s="43"/>
      <c r="D1199" s="2"/>
      <c r="E1199" s="2"/>
      <c r="F1199" s="2"/>
      <c r="G1199" s="11"/>
      <c r="H1199" s="11"/>
      <c r="I1199" s="2"/>
      <c r="J1199" s="2"/>
      <c r="K1199" s="2"/>
      <c r="L1199" s="10"/>
      <c r="M1199" s="9"/>
      <c r="N1199" s="2"/>
      <c r="O1199" s="2"/>
      <c r="P1199" s="2"/>
      <c r="Q1199" s="50"/>
      <c r="R1199" s="50"/>
      <c r="S1199" s="2">
        <f>IFERROR(VLOOKUP(A1199,IMPORT_DESISTENCIA!$A$2:$Q2273,14,0),"NÃO")</f>
        <v>0</v>
      </c>
      <c r="T1199" s="35"/>
    </row>
    <row r="1200" spans="1:20" ht="45" customHeight="1" x14ac:dyDescent="0.25">
      <c r="A1200" s="2" t="str">
        <f t="shared" si="1"/>
        <v/>
      </c>
      <c r="B1200" s="2"/>
      <c r="C1200" s="43"/>
      <c r="D1200" s="2"/>
      <c r="E1200" s="2"/>
      <c r="F1200" s="2"/>
      <c r="G1200" s="11"/>
      <c r="H1200" s="11"/>
      <c r="I1200" s="2"/>
      <c r="J1200" s="2"/>
      <c r="K1200" s="2"/>
      <c r="L1200" s="10"/>
      <c r="M1200" s="9"/>
      <c r="N1200" s="2"/>
      <c r="O1200" s="2"/>
      <c r="P1200" s="2"/>
      <c r="Q1200" s="50"/>
      <c r="R1200" s="50"/>
      <c r="S1200" s="2">
        <f>IFERROR(VLOOKUP(A1200,IMPORT_DESISTENCIA!$A$2:$Q2273,14,0),"NÃO")</f>
        <v>0</v>
      </c>
      <c r="T1200" s="35"/>
    </row>
    <row r="1201" spans="1:20" ht="45" customHeight="1" x14ac:dyDescent="0.25">
      <c r="A1201" s="2" t="str">
        <f t="shared" si="1"/>
        <v/>
      </c>
      <c r="B1201" s="2"/>
      <c r="C1201" s="43"/>
      <c r="D1201" s="2"/>
      <c r="E1201" s="2"/>
      <c r="F1201" s="2"/>
      <c r="G1201" s="11"/>
      <c r="H1201" s="11"/>
      <c r="I1201" s="2"/>
      <c r="J1201" s="2"/>
      <c r="K1201" s="2"/>
      <c r="L1201" s="10"/>
      <c r="M1201" s="9"/>
      <c r="N1201" s="2"/>
      <c r="O1201" s="2"/>
      <c r="P1201" s="2"/>
      <c r="Q1201" s="50"/>
      <c r="R1201" s="50"/>
      <c r="S1201" s="2">
        <f>IFERROR(VLOOKUP(A1201,IMPORT_DESISTENCIA!$A$2:$Q2273,14,0),"NÃO")</f>
        <v>0</v>
      </c>
      <c r="T1201" s="35"/>
    </row>
    <row r="1202" spans="1:20" ht="45" customHeight="1" x14ac:dyDescent="0.25">
      <c r="A1202" s="2" t="str">
        <f t="shared" si="1"/>
        <v/>
      </c>
      <c r="B1202" s="2"/>
      <c r="C1202" s="43"/>
      <c r="D1202" s="2"/>
      <c r="E1202" s="2"/>
      <c r="F1202" s="2"/>
      <c r="G1202" s="11"/>
      <c r="H1202" s="11"/>
      <c r="I1202" s="2"/>
      <c r="J1202" s="2"/>
      <c r="K1202" s="2"/>
      <c r="L1202" s="10"/>
      <c r="M1202" s="9"/>
      <c r="N1202" s="2"/>
      <c r="O1202" s="2"/>
      <c r="P1202" s="2"/>
      <c r="Q1202" s="50"/>
      <c r="R1202" s="50"/>
      <c r="S1202" s="2">
        <f>IFERROR(VLOOKUP(A1202,IMPORT_DESISTENCIA!$A$2:$Q2273,14,0),"NÃO")</f>
        <v>0</v>
      </c>
      <c r="T1202" s="35"/>
    </row>
    <row r="1203" spans="1:20" ht="45" customHeight="1" x14ac:dyDescent="0.25">
      <c r="A1203" s="2" t="str">
        <f t="shared" si="1"/>
        <v/>
      </c>
      <c r="B1203" s="2"/>
      <c r="C1203" s="43"/>
      <c r="D1203" s="2"/>
      <c r="E1203" s="2"/>
      <c r="F1203" s="2"/>
      <c r="G1203" s="11"/>
      <c r="H1203" s="11"/>
      <c r="I1203" s="2"/>
      <c r="J1203" s="2"/>
      <c r="K1203" s="2"/>
      <c r="L1203" s="10"/>
      <c r="M1203" s="9"/>
      <c r="N1203" s="2"/>
      <c r="O1203" s="2"/>
      <c r="P1203" s="2"/>
      <c r="Q1203" s="50"/>
      <c r="R1203" s="50"/>
      <c r="S1203" s="2">
        <f>IFERROR(VLOOKUP(A1203,IMPORT_DESISTENCIA!$A$2:$Q2273,14,0),"NÃO")</f>
        <v>0</v>
      </c>
      <c r="T1203" s="35"/>
    </row>
    <row r="1204" spans="1:20" ht="45" customHeight="1" x14ac:dyDescent="0.25">
      <c r="A1204" s="2" t="str">
        <f t="shared" si="1"/>
        <v/>
      </c>
      <c r="B1204" s="2"/>
      <c r="C1204" s="43"/>
      <c r="D1204" s="2"/>
      <c r="E1204" s="2"/>
      <c r="F1204" s="2"/>
      <c r="G1204" s="11"/>
      <c r="H1204" s="11"/>
      <c r="I1204" s="2"/>
      <c r="J1204" s="2"/>
      <c r="K1204" s="2"/>
      <c r="L1204" s="10"/>
      <c r="M1204" s="9"/>
      <c r="N1204" s="2"/>
      <c r="O1204" s="2"/>
      <c r="P1204" s="2"/>
      <c r="Q1204" s="50"/>
      <c r="R1204" s="50"/>
      <c r="S1204" s="2">
        <f>IFERROR(VLOOKUP(A1204,IMPORT_DESISTENCIA!$A$2:$Q2273,14,0),"NÃO")</f>
        <v>0</v>
      </c>
      <c r="T1204" s="35"/>
    </row>
    <row r="1205" spans="1:20" ht="45" customHeight="1" x14ac:dyDescent="0.25">
      <c r="A1205" s="2" t="str">
        <f t="shared" si="1"/>
        <v/>
      </c>
      <c r="B1205" s="2"/>
      <c r="C1205" s="43"/>
      <c r="D1205" s="2"/>
      <c r="E1205" s="2"/>
      <c r="F1205" s="2"/>
      <c r="G1205" s="11"/>
      <c r="H1205" s="11"/>
      <c r="I1205" s="2"/>
      <c r="J1205" s="2"/>
      <c r="K1205" s="2"/>
      <c r="L1205" s="10"/>
      <c r="M1205" s="9"/>
      <c r="N1205" s="2"/>
      <c r="O1205" s="2"/>
      <c r="P1205" s="2"/>
      <c r="Q1205" s="50"/>
      <c r="R1205" s="50"/>
      <c r="S1205" s="2">
        <f>IFERROR(VLOOKUP(A1205,IMPORT_DESISTENCIA!$A$2:$Q2273,14,0),"NÃO")</f>
        <v>0</v>
      </c>
      <c r="T1205" s="35"/>
    </row>
    <row r="1206" spans="1:20" ht="45" customHeight="1" x14ac:dyDescent="0.25">
      <c r="A1206" s="2" t="str">
        <f t="shared" si="1"/>
        <v/>
      </c>
      <c r="B1206" s="2"/>
      <c r="C1206" s="43"/>
      <c r="D1206" s="2"/>
      <c r="E1206" s="2"/>
      <c r="F1206" s="2"/>
      <c r="G1206" s="11"/>
      <c r="H1206" s="11"/>
      <c r="I1206" s="2"/>
      <c r="J1206" s="2"/>
      <c r="K1206" s="2"/>
      <c r="L1206" s="10"/>
      <c r="M1206" s="9"/>
      <c r="N1206" s="2"/>
      <c r="O1206" s="2"/>
      <c r="P1206" s="2"/>
      <c r="Q1206" s="50"/>
      <c r="R1206" s="50"/>
      <c r="S1206" s="2">
        <f>IFERROR(VLOOKUP(A1206,IMPORT_DESISTENCIA!$A$2:$Q2273,14,0),"NÃO")</f>
        <v>0</v>
      </c>
      <c r="T1206" s="35"/>
    </row>
    <row r="1207" spans="1:20" ht="45" customHeight="1" x14ac:dyDescent="0.25">
      <c r="A1207" s="2" t="str">
        <f t="shared" si="1"/>
        <v/>
      </c>
      <c r="B1207" s="2"/>
      <c r="C1207" s="43"/>
      <c r="D1207" s="2"/>
      <c r="E1207" s="2"/>
      <c r="F1207" s="2"/>
      <c r="G1207" s="11"/>
      <c r="H1207" s="11"/>
      <c r="I1207" s="2"/>
      <c r="J1207" s="2"/>
      <c r="K1207" s="2"/>
      <c r="L1207" s="10"/>
      <c r="M1207" s="9"/>
      <c r="N1207" s="2"/>
      <c r="O1207" s="2"/>
      <c r="P1207" s="2"/>
      <c r="Q1207" s="50"/>
      <c r="R1207" s="50"/>
      <c r="S1207" s="2">
        <f>IFERROR(VLOOKUP(A1207,IMPORT_DESISTENCIA!$A$2:$Q2273,14,0),"NÃO")</f>
        <v>0</v>
      </c>
      <c r="T1207" s="35"/>
    </row>
    <row r="1208" spans="1:20" ht="45" customHeight="1" x14ac:dyDescent="0.25">
      <c r="A1208" s="2" t="str">
        <f t="shared" si="1"/>
        <v/>
      </c>
      <c r="B1208" s="2"/>
      <c r="C1208" s="43"/>
      <c r="D1208" s="2"/>
      <c r="E1208" s="2"/>
      <c r="F1208" s="2"/>
      <c r="G1208" s="11"/>
      <c r="H1208" s="11"/>
      <c r="I1208" s="2"/>
      <c r="J1208" s="2"/>
      <c r="K1208" s="2"/>
      <c r="L1208" s="10"/>
      <c r="M1208" s="9"/>
      <c r="N1208" s="2"/>
      <c r="O1208" s="2"/>
      <c r="P1208" s="2"/>
      <c r="Q1208" s="50"/>
      <c r="R1208" s="50"/>
      <c r="S1208" s="2">
        <f>IFERROR(VLOOKUP(A1208,IMPORT_DESISTENCIA!$A$2:$Q2273,14,0),"NÃO")</f>
        <v>0</v>
      </c>
      <c r="T1208" s="35"/>
    </row>
    <row r="1209" spans="1:20" ht="45" customHeight="1" x14ac:dyDescent="0.25">
      <c r="A1209" s="2" t="str">
        <f t="shared" si="1"/>
        <v/>
      </c>
      <c r="B1209" s="2"/>
      <c r="C1209" s="43"/>
      <c r="D1209" s="2"/>
      <c r="E1209" s="2"/>
      <c r="F1209" s="2"/>
      <c r="G1209" s="11"/>
      <c r="H1209" s="11"/>
      <c r="I1209" s="2"/>
      <c r="J1209" s="2"/>
      <c r="K1209" s="2"/>
      <c r="L1209" s="10"/>
      <c r="M1209" s="9"/>
      <c r="N1209" s="2"/>
      <c r="O1209" s="2"/>
      <c r="P1209" s="2"/>
      <c r="Q1209" s="50"/>
      <c r="R1209" s="50"/>
      <c r="S1209" s="2">
        <f>IFERROR(VLOOKUP(A1209,IMPORT_DESISTENCIA!$A$2:$Q2273,14,0),"NÃO")</f>
        <v>0</v>
      </c>
      <c r="T1209" s="35"/>
    </row>
    <row r="1210" spans="1:20" ht="45" customHeight="1" x14ac:dyDescent="0.25">
      <c r="A1210" s="2" t="str">
        <f t="shared" si="1"/>
        <v/>
      </c>
      <c r="B1210" s="2"/>
      <c r="C1210" s="43"/>
      <c r="D1210" s="2"/>
      <c r="E1210" s="2"/>
      <c r="F1210" s="2"/>
      <c r="G1210" s="11"/>
      <c r="H1210" s="11"/>
      <c r="I1210" s="2"/>
      <c r="J1210" s="2"/>
      <c r="K1210" s="2"/>
      <c r="L1210" s="10"/>
      <c r="M1210" s="9"/>
      <c r="N1210" s="2"/>
      <c r="O1210" s="2"/>
      <c r="P1210" s="2"/>
      <c r="Q1210" s="50"/>
      <c r="R1210" s="50"/>
      <c r="S1210" s="2">
        <f>IFERROR(VLOOKUP(A1210,IMPORT_DESISTENCIA!$A$2:$Q2273,14,0),"NÃO")</f>
        <v>0</v>
      </c>
      <c r="T1210" s="35"/>
    </row>
    <row r="1211" spans="1:20" ht="45" customHeight="1" x14ac:dyDescent="0.25">
      <c r="A1211" s="2" t="str">
        <f t="shared" si="1"/>
        <v/>
      </c>
      <c r="B1211" s="2"/>
      <c r="C1211" s="43"/>
      <c r="D1211" s="2"/>
      <c r="E1211" s="2"/>
      <c r="F1211" s="2"/>
      <c r="G1211" s="11"/>
      <c r="H1211" s="11"/>
      <c r="I1211" s="2"/>
      <c r="J1211" s="2"/>
      <c r="K1211" s="2"/>
      <c r="L1211" s="10"/>
      <c r="M1211" s="9"/>
      <c r="N1211" s="2"/>
      <c r="O1211" s="2"/>
      <c r="P1211" s="2"/>
      <c r="Q1211" s="50"/>
      <c r="R1211" s="50"/>
      <c r="S1211" s="2">
        <f>IFERROR(VLOOKUP(A1211,IMPORT_DESISTENCIA!$A$2:$Q2273,14,0),"NÃO")</f>
        <v>0</v>
      </c>
      <c r="T1211" s="35"/>
    </row>
    <row r="1212" spans="1:20" ht="45" customHeight="1" x14ac:dyDescent="0.25">
      <c r="A1212" s="2" t="str">
        <f t="shared" si="1"/>
        <v/>
      </c>
      <c r="B1212" s="2"/>
      <c r="C1212" s="43"/>
      <c r="D1212" s="2"/>
      <c r="E1212" s="2"/>
      <c r="F1212" s="2"/>
      <c r="G1212" s="11"/>
      <c r="H1212" s="11"/>
      <c r="I1212" s="2"/>
      <c r="J1212" s="2"/>
      <c r="K1212" s="2"/>
      <c r="L1212" s="10"/>
      <c r="M1212" s="9"/>
      <c r="N1212" s="2"/>
      <c r="O1212" s="2"/>
      <c r="P1212" s="2"/>
      <c r="Q1212" s="50"/>
      <c r="R1212" s="50"/>
      <c r="S1212" s="2">
        <f>IFERROR(VLOOKUP(A1212,IMPORT_DESISTENCIA!$A$2:$Q2273,14,0),"NÃO")</f>
        <v>0</v>
      </c>
      <c r="T1212" s="35"/>
    </row>
    <row r="1213" spans="1:20" ht="45" customHeight="1" x14ac:dyDescent="0.25">
      <c r="A1213" s="2" t="str">
        <f t="shared" si="1"/>
        <v/>
      </c>
      <c r="B1213" s="2"/>
      <c r="C1213" s="43"/>
      <c r="D1213" s="2"/>
      <c r="E1213" s="2"/>
      <c r="F1213" s="2"/>
      <c r="G1213" s="11"/>
      <c r="H1213" s="11"/>
      <c r="I1213" s="2"/>
      <c r="J1213" s="2"/>
      <c r="K1213" s="2"/>
      <c r="L1213" s="10"/>
      <c r="M1213" s="9"/>
      <c r="N1213" s="2"/>
      <c r="O1213" s="2"/>
      <c r="P1213" s="2"/>
      <c r="Q1213" s="50"/>
      <c r="R1213" s="50"/>
      <c r="S1213" s="2">
        <f>IFERROR(VLOOKUP(A1213,IMPORT_DESISTENCIA!$A$2:$Q2273,14,0),"NÃO")</f>
        <v>0</v>
      </c>
      <c r="T1213" s="35"/>
    </row>
    <row r="1214" spans="1:20" ht="45" customHeight="1" x14ac:dyDescent="0.25">
      <c r="A1214" s="2" t="str">
        <f t="shared" si="1"/>
        <v/>
      </c>
      <c r="B1214" s="2"/>
      <c r="C1214" s="43"/>
      <c r="D1214" s="2"/>
      <c r="E1214" s="2"/>
      <c r="F1214" s="2"/>
      <c r="G1214" s="11"/>
      <c r="H1214" s="11"/>
      <c r="I1214" s="2"/>
      <c r="J1214" s="2"/>
      <c r="K1214" s="2"/>
      <c r="L1214" s="10"/>
      <c r="M1214" s="9"/>
      <c r="N1214" s="2"/>
      <c r="O1214" s="2"/>
      <c r="P1214" s="2"/>
      <c r="Q1214" s="50"/>
      <c r="R1214" s="50"/>
      <c r="S1214" s="2">
        <f>IFERROR(VLOOKUP(A1214,IMPORT_DESISTENCIA!$A$2:$Q2273,14,0),"NÃO")</f>
        <v>0</v>
      </c>
      <c r="T1214" s="35"/>
    </row>
    <row r="1215" spans="1:20" ht="45" customHeight="1" x14ac:dyDescent="0.25">
      <c r="A1215" s="2" t="str">
        <f t="shared" si="1"/>
        <v/>
      </c>
      <c r="B1215" s="2"/>
      <c r="C1215" s="43"/>
      <c r="D1215" s="2"/>
      <c r="E1215" s="2"/>
      <c r="F1215" s="2"/>
      <c r="G1215" s="11"/>
      <c r="H1215" s="11"/>
      <c r="I1215" s="2"/>
      <c r="J1215" s="2"/>
      <c r="K1215" s="2"/>
      <c r="L1215" s="10"/>
      <c r="M1215" s="9"/>
      <c r="N1215" s="2"/>
      <c r="O1215" s="2"/>
      <c r="P1215" s="2"/>
      <c r="Q1215" s="50"/>
      <c r="R1215" s="50"/>
      <c r="S1215" s="2">
        <f>IFERROR(VLOOKUP(A1215,IMPORT_DESISTENCIA!$A$2:$Q2273,14,0),"NÃO")</f>
        <v>0</v>
      </c>
      <c r="T1215" s="35"/>
    </row>
    <row r="1216" spans="1:20" ht="45" customHeight="1" x14ac:dyDescent="0.25">
      <c r="A1216" s="2" t="str">
        <f t="shared" si="1"/>
        <v/>
      </c>
      <c r="B1216" s="2"/>
      <c r="C1216" s="43"/>
      <c r="D1216" s="2"/>
      <c r="E1216" s="2"/>
      <c r="F1216" s="2"/>
      <c r="G1216" s="11"/>
      <c r="H1216" s="11"/>
      <c r="I1216" s="2"/>
      <c r="J1216" s="2"/>
      <c r="K1216" s="2"/>
      <c r="L1216" s="10"/>
      <c r="M1216" s="9"/>
      <c r="N1216" s="2"/>
      <c r="O1216" s="2"/>
      <c r="P1216" s="2"/>
      <c r="Q1216" s="50"/>
      <c r="R1216" s="50"/>
      <c r="S1216" s="2">
        <f>IFERROR(VLOOKUP(A1216,IMPORT_DESISTENCIA!$A$2:$Q2273,14,0),"NÃO")</f>
        <v>0</v>
      </c>
      <c r="T1216" s="35"/>
    </row>
    <row r="1217" spans="1:20" ht="45" customHeight="1" x14ac:dyDescent="0.25">
      <c r="A1217" s="2" t="str">
        <f t="shared" si="1"/>
        <v/>
      </c>
      <c r="B1217" s="2"/>
      <c r="C1217" s="43"/>
      <c r="D1217" s="2"/>
      <c r="E1217" s="2"/>
      <c r="F1217" s="2"/>
      <c r="G1217" s="11"/>
      <c r="H1217" s="11"/>
      <c r="I1217" s="2"/>
      <c r="J1217" s="2"/>
      <c r="K1217" s="2"/>
      <c r="L1217" s="10"/>
      <c r="M1217" s="9"/>
      <c r="N1217" s="2"/>
      <c r="O1217" s="2"/>
      <c r="P1217" s="2"/>
      <c r="Q1217" s="50"/>
      <c r="R1217" s="50"/>
      <c r="S1217" s="2">
        <f>IFERROR(VLOOKUP(A1217,IMPORT_DESISTENCIA!$A$2:$Q2273,14,0),"NÃO")</f>
        <v>0</v>
      </c>
      <c r="T1217" s="35"/>
    </row>
    <row r="1218" spans="1:20" ht="45" customHeight="1" x14ac:dyDescent="0.25">
      <c r="A1218" s="2" t="str">
        <f t="shared" si="1"/>
        <v/>
      </c>
      <c r="B1218" s="2"/>
      <c r="C1218" s="43"/>
      <c r="D1218" s="2"/>
      <c r="E1218" s="2"/>
      <c r="F1218" s="2"/>
      <c r="G1218" s="11"/>
      <c r="H1218" s="11"/>
      <c r="I1218" s="2"/>
      <c r="J1218" s="2"/>
      <c r="K1218" s="2"/>
      <c r="L1218" s="10"/>
      <c r="M1218" s="9"/>
      <c r="N1218" s="2"/>
      <c r="O1218" s="2"/>
      <c r="P1218" s="2"/>
      <c r="Q1218" s="50"/>
      <c r="R1218" s="50"/>
      <c r="S1218" s="2">
        <f>IFERROR(VLOOKUP(A1218,IMPORT_DESISTENCIA!$A$2:$Q2273,14,0),"NÃO")</f>
        <v>0</v>
      </c>
      <c r="T1218" s="35"/>
    </row>
    <row r="1219" spans="1:20" ht="45" customHeight="1" x14ac:dyDescent="0.25">
      <c r="A1219" s="2" t="str">
        <f t="shared" si="1"/>
        <v/>
      </c>
      <c r="B1219" s="2"/>
      <c r="C1219" s="43"/>
      <c r="D1219" s="2"/>
      <c r="E1219" s="2"/>
      <c r="F1219" s="2"/>
      <c r="G1219" s="11"/>
      <c r="H1219" s="11"/>
      <c r="I1219" s="2"/>
      <c r="J1219" s="2"/>
      <c r="K1219" s="2"/>
      <c r="L1219" s="10"/>
      <c r="M1219" s="9"/>
      <c r="N1219" s="2"/>
      <c r="O1219" s="2"/>
      <c r="P1219" s="2"/>
      <c r="Q1219" s="50"/>
      <c r="R1219" s="50"/>
      <c r="S1219" s="2">
        <f>IFERROR(VLOOKUP(A1219,IMPORT_DESISTENCIA!$A$2:$Q2273,14,0),"NÃO")</f>
        <v>0</v>
      </c>
      <c r="T1219" s="35"/>
    </row>
    <row r="1220" spans="1:20" ht="45" customHeight="1" x14ac:dyDescent="0.25">
      <c r="A1220" s="2" t="str">
        <f t="shared" si="1"/>
        <v/>
      </c>
      <c r="B1220" s="2"/>
      <c r="C1220" s="43"/>
      <c r="D1220" s="2"/>
      <c r="E1220" s="2"/>
      <c r="F1220" s="2"/>
      <c r="G1220" s="11"/>
      <c r="H1220" s="11"/>
      <c r="I1220" s="2"/>
      <c r="J1220" s="2"/>
      <c r="K1220" s="2"/>
      <c r="L1220" s="10"/>
      <c r="M1220" s="9"/>
      <c r="N1220" s="2"/>
      <c r="O1220" s="2"/>
      <c r="P1220" s="2"/>
      <c r="Q1220" s="50"/>
      <c r="R1220" s="50"/>
      <c r="S1220" s="2">
        <f>IFERROR(VLOOKUP(A1220,IMPORT_DESISTENCIA!$A$2:$Q2273,14,0),"NÃO")</f>
        <v>0</v>
      </c>
      <c r="T1220" s="35"/>
    </row>
    <row r="1221" spans="1:20" ht="45" customHeight="1" x14ac:dyDescent="0.25">
      <c r="A1221" s="2" t="str">
        <f t="shared" si="1"/>
        <v/>
      </c>
      <c r="B1221" s="2"/>
      <c r="C1221" s="43"/>
      <c r="D1221" s="2"/>
      <c r="E1221" s="2"/>
      <c r="F1221" s="2"/>
      <c r="G1221" s="11"/>
      <c r="H1221" s="11"/>
      <c r="I1221" s="2"/>
      <c r="J1221" s="2"/>
      <c r="K1221" s="2"/>
      <c r="L1221" s="10"/>
      <c r="M1221" s="9"/>
      <c r="N1221" s="2"/>
      <c r="O1221" s="2"/>
      <c r="P1221" s="2"/>
      <c r="Q1221" s="50"/>
      <c r="R1221" s="50"/>
      <c r="S1221" s="2">
        <f>IFERROR(VLOOKUP(A1221,IMPORT_DESISTENCIA!$A$2:$Q2273,14,0),"NÃO")</f>
        <v>0</v>
      </c>
      <c r="T1221" s="35"/>
    </row>
    <row r="1222" spans="1:20" ht="45" customHeight="1" x14ac:dyDescent="0.25">
      <c r="A1222" s="2" t="str">
        <f t="shared" si="1"/>
        <v/>
      </c>
      <c r="B1222" s="2"/>
      <c r="C1222" s="43"/>
      <c r="D1222" s="2"/>
      <c r="E1222" s="2"/>
      <c r="F1222" s="2"/>
      <c r="G1222" s="11"/>
      <c r="H1222" s="11"/>
      <c r="I1222" s="2"/>
      <c r="J1222" s="2"/>
      <c r="K1222" s="2"/>
      <c r="L1222" s="10"/>
      <c r="M1222" s="9"/>
      <c r="N1222" s="2"/>
      <c r="O1222" s="2"/>
      <c r="P1222" s="2"/>
      <c r="Q1222" s="50"/>
      <c r="R1222" s="50"/>
      <c r="S1222" s="2">
        <f>IFERROR(VLOOKUP(A1222,IMPORT_DESISTENCIA!$A$2:$Q2273,14,0),"NÃO")</f>
        <v>0</v>
      </c>
      <c r="T1222" s="35"/>
    </row>
    <row r="1223" spans="1:20" ht="45" customHeight="1" x14ac:dyDescent="0.25">
      <c r="A1223" s="2" t="str">
        <f t="shared" si="1"/>
        <v/>
      </c>
      <c r="B1223" s="2"/>
      <c r="C1223" s="43"/>
      <c r="D1223" s="2"/>
      <c r="E1223" s="2"/>
      <c r="F1223" s="2"/>
      <c r="G1223" s="11"/>
      <c r="H1223" s="11"/>
      <c r="I1223" s="2"/>
      <c r="J1223" s="2"/>
      <c r="K1223" s="2"/>
      <c r="L1223" s="10"/>
      <c r="M1223" s="9"/>
      <c r="N1223" s="2"/>
      <c r="O1223" s="2"/>
      <c r="P1223" s="2"/>
      <c r="Q1223" s="50"/>
      <c r="R1223" s="50"/>
      <c r="S1223" s="2">
        <f>IFERROR(VLOOKUP(A1223,IMPORT_DESISTENCIA!$A$2:$Q2273,14,0),"NÃO")</f>
        <v>0</v>
      </c>
      <c r="T1223" s="35"/>
    </row>
    <row r="1224" spans="1:20" ht="45" customHeight="1" x14ac:dyDescent="0.25">
      <c r="A1224" s="2" t="str">
        <f t="shared" si="1"/>
        <v/>
      </c>
      <c r="B1224" s="2"/>
      <c r="C1224" s="43"/>
      <c r="D1224" s="2"/>
      <c r="E1224" s="2"/>
      <c r="F1224" s="2"/>
      <c r="G1224" s="11"/>
      <c r="H1224" s="11"/>
      <c r="I1224" s="2"/>
      <c r="J1224" s="2"/>
      <c r="K1224" s="2"/>
      <c r="L1224" s="10"/>
      <c r="M1224" s="9"/>
      <c r="N1224" s="2"/>
      <c r="O1224" s="2"/>
      <c r="P1224" s="2"/>
      <c r="Q1224" s="50"/>
      <c r="R1224" s="50"/>
      <c r="S1224" s="2">
        <f>IFERROR(VLOOKUP(A1224,IMPORT_DESISTENCIA!$A$2:$Q2273,14,0),"NÃO")</f>
        <v>0</v>
      </c>
      <c r="T1224" s="35"/>
    </row>
    <row r="1225" spans="1:20" ht="45" customHeight="1" x14ac:dyDescent="0.25">
      <c r="A1225" s="2" t="str">
        <f t="shared" si="1"/>
        <v/>
      </c>
      <c r="B1225" s="2"/>
      <c r="C1225" s="43"/>
      <c r="D1225" s="2"/>
      <c r="E1225" s="2"/>
      <c r="F1225" s="2"/>
      <c r="G1225" s="11"/>
      <c r="H1225" s="11"/>
      <c r="I1225" s="2"/>
      <c r="J1225" s="2"/>
      <c r="K1225" s="2"/>
      <c r="L1225" s="10"/>
      <c r="M1225" s="9"/>
      <c r="N1225" s="2"/>
      <c r="O1225" s="2"/>
      <c r="P1225" s="2"/>
      <c r="Q1225" s="50"/>
      <c r="R1225" s="50"/>
      <c r="S1225" s="2">
        <f>IFERROR(VLOOKUP(A1225,IMPORT_DESISTENCIA!$A$2:$Q2273,14,0),"NÃO")</f>
        <v>0</v>
      </c>
      <c r="T1225" s="35"/>
    </row>
    <row r="1226" spans="1:20" ht="45" customHeight="1" x14ac:dyDescent="0.25">
      <c r="A1226" s="2" t="str">
        <f t="shared" si="1"/>
        <v/>
      </c>
      <c r="B1226" s="2"/>
      <c r="C1226" s="43"/>
      <c r="D1226" s="2"/>
      <c r="E1226" s="2"/>
      <c r="F1226" s="2"/>
      <c r="G1226" s="11"/>
      <c r="H1226" s="11"/>
      <c r="I1226" s="2"/>
      <c r="J1226" s="2"/>
      <c r="K1226" s="2"/>
      <c r="L1226" s="10"/>
      <c r="M1226" s="9"/>
      <c r="N1226" s="2"/>
      <c r="O1226" s="2"/>
      <c r="P1226" s="2"/>
      <c r="Q1226" s="50"/>
      <c r="R1226" s="50"/>
      <c r="S1226" s="2">
        <f>IFERROR(VLOOKUP(A1226,IMPORT_DESISTENCIA!$A$2:$Q2273,14,0),"NÃO")</f>
        <v>0</v>
      </c>
      <c r="T1226" s="35"/>
    </row>
    <row r="1227" spans="1:20" ht="45" customHeight="1" x14ac:dyDescent="0.25">
      <c r="A1227" s="2" t="str">
        <f t="shared" si="1"/>
        <v/>
      </c>
      <c r="B1227" s="2"/>
      <c r="C1227" s="43"/>
      <c r="D1227" s="2"/>
      <c r="E1227" s="2"/>
      <c r="F1227" s="2"/>
      <c r="G1227" s="11"/>
      <c r="H1227" s="11"/>
      <c r="I1227" s="2"/>
      <c r="J1227" s="2"/>
      <c r="K1227" s="2"/>
      <c r="L1227" s="10"/>
      <c r="M1227" s="9"/>
      <c r="N1227" s="2"/>
      <c r="O1227" s="2"/>
      <c r="P1227" s="2"/>
      <c r="Q1227" s="50"/>
      <c r="R1227" s="50"/>
      <c r="S1227" s="2">
        <f>IFERROR(VLOOKUP(A1227,IMPORT_DESISTENCIA!$A$2:$Q2273,14,0),"NÃO")</f>
        <v>0</v>
      </c>
      <c r="T1227" s="35"/>
    </row>
    <row r="1228" spans="1:20" ht="45" customHeight="1" x14ac:dyDescent="0.25">
      <c r="A1228" s="2" t="str">
        <f t="shared" si="1"/>
        <v/>
      </c>
      <c r="B1228" s="2"/>
      <c r="C1228" s="43"/>
      <c r="D1228" s="2"/>
      <c r="E1228" s="2"/>
      <c r="F1228" s="2"/>
      <c r="G1228" s="11"/>
      <c r="H1228" s="11"/>
      <c r="I1228" s="2"/>
      <c r="J1228" s="2"/>
      <c r="K1228" s="2"/>
      <c r="L1228" s="10"/>
      <c r="M1228" s="9"/>
      <c r="N1228" s="2"/>
      <c r="O1228" s="2"/>
      <c r="P1228" s="2"/>
      <c r="Q1228" s="50"/>
      <c r="R1228" s="50"/>
      <c r="S1228" s="2">
        <f>IFERROR(VLOOKUP(A1228,IMPORT_DESISTENCIA!$A$2:$Q2273,14,0),"NÃO")</f>
        <v>0</v>
      </c>
      <c r="T1228" s="35"/>
    </row>
    <row r="1229" spans="1:20" ht="45" customHeight="1" x14ac:dyDescent="0.25">
      <c r="A1229" s="2" t="str">
        <f t="shared" si="1"/>
        <v/>
      </c>
      <c r="B1229" s="2"/>
      <c r="C1229" s="43"/>
      <c r="D1229" s="2"/>
      <c r="E1229" s="2"/>
      <c r="F1229" s="2"/>
      <c r="G1229" s="11"/>
      <c r="H1229" s="11"/>
      <c r="I1229" s="2"/>
      <c r="J1229" s="2"/>
      <c r="K1229" s="2"/>
      <c r="L1229" s="10"/>
      <c r="M1229" s="9"/>
      <c r="N1229" s="2"/>
      <c r="O1229" s="2"/>
      <c r="P1229" s="2"/>
      <c r="Q1229" s="50"/>
      <c r="R1229" s="50"/>
      <c r="S1229" s="2">
        <f>IFERROR(VLOOKUP(A1229,IMPORT_DESISTENCIA!$A$2:$Q2273,14,0),"NÃO")</f>
        <v>0</v>
      </c>
      <c r="T1229" s="35"/>
    </row>
    <row r="1230" spans="1:20" ht="45" customHeight="1" x14ac:dyDescent="0.25">
      <c r="A1230" s="2" t="str">
        <f t="shared" si="1"/>
        <v/>
      </c>
      <c r="B1230" s="2"/>
      <c r="C1230" s="43"/>
      <c r="D1230" s="2"/>
      <c r="E1230" s="2"/>
      <c r="F1230" s="2"/>
      <c r="G1230" s="11"/>
      <c r="H1230" s="11"/>
      <c r="I1230" s="2"/>
      <c r="J1230" s="2"/>
      <c r="K1230" s="2"/>
      <c r="L1230" s="10"/>
      <c r="M1230" s="9"/>
      <c r="N1230" s="2"/>
      <c r="O1230" s="2"/>
      <c r="P1230" s="2"/>
      <c r="Q1230" s="50"/>
      <c r="R1230" s="50"/>
      <c r="S1230" s="2">
        <f>IFERROR(VLOOKUP(A1230,IMPORT_DESISTENCIA!$A$2:$Q2273,14,0),"NÃO")</f>
        <v>0</v>
      </c>
      <c r="T1230" s="35"/>
    </row>
    <row r="1231" spans="1:20" ht="45" customHeight="1" x14ac:dyDescent="0.25">
      <c r="A1231" s="2" t="str">
        <f t="shared" si="1"/>
        <v/>
      </c>
      <c r="B1231" s="2"/>
      <c r="C1231" s="43"/>
      <c r="D1231" s="2"/>
      <c r="E1231" s="2"/>
      <c r="F1231" s="2"/>
      <c r="G1231" s="11"/>
      <c r="H1231" s="11"/>
      <c r="I1231" s="2"/>
      <c r="J1231" s="2"/>
      <c r="K1231" s="2"/>
      <c r="L1231" s="10"/>
      <c r="M1231" s="9"/>
      <c r="N1231" s="2"/>
      <c r="O1231" s="2"/>
      <c r="P1231" s="2"/>
      <c r="Q1231" s="50"/>
      <c r="R1231" s="50"/>
      <c r="S1231" s="2">
        <f>IFERROR(VLOOKUP(A1231,IMPORT_DESISTENCIA!$A$2:$Q2273,14,0),"NÃO")</f>
        <v>0</v>
      </c>
      <c r="T1231" s="35"/>
    </row>
    <row r="1232" spans="1:20" ht="45" customHeight="1" x14ac:dyDescent="0.25">
      <c r="A1232" s="2" t="str">
        <f t="shared" si="1"/>
        <v/>
      </c>
      <c r="B1232" s="2"/>
      <c r="C1232" s="43"/>
      <c r="D1232" s="2"/>
      <c r="E1232" s="2"/>
      <c r="F1232" s="2"/>
      <c r="G1232" s="11"/>
      <c r="H1232" s="11"/>
      <c r="I1232" s="2"/>
      <c r="J1232" s="2"/>
      <c r="K1232" s="2"/>
      <c r="L1232" s="10"/>
      <c r="M1232" s="9"/>
      <c r="N1232" s="2"/>
      <c r="O1232" s="2"/>
      <c r="P1232" s="2"/>
      <c r="Q1232" s="50"/>
      <c r="R1232" s="50"/>
      <c r="S1232" s="2">
        <f>IFERROR(VLOOKUP(A1232,IMPORT_DESISTENCIA!$A$2:$Q2273,14,0),"NÃO")</f>
        <v>0</v>
      </c>
      <c r="T1232" s="35"/>
    </row>
    <row r="1233" spans="1:20" ht="45" customHeight="1" x14ac:dyDescent="0.25">
      <c r="A1233" s="2" t="str">
        <f t="shared" si="1"/>
        <v/>
      </c>
      <c r="B1233" s="2"/>
      <c r="C1233" s="43"/>
      <c r="D1233" s="2"/>
      <c r="E1233" s="2"/>
      <c r="F1233" s="2"/>
      <c r="G1233" s="11"/>
      <c r="H1233" s="11"/>
      <c r="I1233" s="2"/>
      <c r="J1233" s="2"/>
      <c r="K1233" s="2"/>
      <c r="L1233" s="10"/>
      <c r="M1233" s="9"/>
      <c r="N1233" s="2"/>
      <c r="O1233" s="2"/>
      <c r="P1233" s="2"/>
      <c r="Q1233" s="50"/>
      <c r="R1233" s="50"/>
      <c r="S1233" s="2">
        <f>IFERROR(VLOOKUP(A1233,IMPORT_DESISTENCIA!$A$2:$Q2273,14,0),"NÃO")</f>
        <v>0</v>
      </c>
      <c r="T1233" s="35"/>
    </row>
    <row r="1234" spans="1:20" ht="45" customHeight="1" x14ac:dyDescent="0.25">
      <c r="A1234" s="2" t="str">
        <f t="shared" si="1"/>
        <v/>
      </c>
      <c r="B1234" s="2"/>
      <c r="C1234" s="43"/>
      <c r="D1234" s="2"/>
      <c r="E1234" s="2"/>
      <c r="F1234" s="2"/>
      <c r="G1234" s="11"/>
      <c r="H1234" s="11"/>
      <c r="I1234" s="2"/>
      <c r="J1234" s="2"/>
      <c r="K1234" s="2"/>
      <c r="L1234" s="10"/>
      <c r="M1234" s="9"/>
      <c r="N1234" s="2"/>
      <c r="O1234" s="2"/>
      <c r="P1234" s="2"/>
      <c r="Q1234" s="50"/>
      <c r="R1234" s="50"/>
      <c r="S1234" s="2">
        <f>IFERROR(VLOOKUP(A1234,IMPORT_DESISTENCIA!$A$2:$Q2273,14,0),"NÃO")</f>
        <v>0</v>
      </c>
      <c r="T1234" s="35"/>
    </row>
    <row r="1235" spans="1:20" ht="45" customHeight="1" x14ac:dyDescent="0.25">
      <c r="A1235" s="2" t="str">
        <f t="shared" si="1"/>
        <v/>
      </c>
      <c r="B1235" s="2"/>
      <c r="C1235" s="43"/>
      <c r="D1235" s="2"/>
      <c r="E1235" s="2"/>
      <c r="F1235" s="2"/>
      <c r="G1235" s="11"/>
      <c r="H1235" s="11"/>
      <c r="I1235" s="2"/>
      <c r="J1235" s="2"/>
      <c r="K1235" s="2"/>
      <c r="L1235" s="10"/>
      <c r="M1235" s="9"/>
      <c r="N1235" s="2"/>
      <c r="O1235" s="2"/>
      <c r="P1235" s="2"/>
      <c r="Q1235" s="50"/>
      <c r="R1235" s="50"/>
      <c r="S1235" s="2">
        <f>IFERROR(VLOOKUP(A1235,IMPORT_DESISTENCIA!$A$2:$Q2273,14,0),"NÃO")</f>
        <v>0</v>
      </c>
      <c r="T1235" s="35"/>
    </row>
    <row r="1236" spans="1:20" ht="45" customHeight="1" x14ac:dyDescent="0.25">
      <c r="A1236" s="2" t="str">
        <f t="shared" si="1"/>
        <v/>
      </c>
      <c r="B1236" s="2"/>
      <c r="C1236" s="43"/>
      <c r="D1236" s="2"/>
      <c r="E1236" s="2"/>
      <c r="F1236" s="2"/>
      <c r="G1236" s="11"/>
      <c r="H1236" s="11"/>
      <c r="I1236" s="2"/>
      <c r="J1236" s="2"/>
      <c r="K1236" s="2"/>
      <c r="L1236" s="10"/>
      <c r="M1236" s="9"/>
      <c r="N1236" s="2"/>
      <c r="O1236" s="2"/>
      <c r="P1236" s="2"/>
      <c r="Q1236" s="50"/>
      <c r="R1236" s="50"/>
      <c r="S1236" s="2">
        <f>IFERROR(VLOOKUP(A1236,IMPORT_DESISTENCIA!$A$2:$Q2273,14,0),"NÃO")</f>
        <v>0</v>
      </c>
      <c r="T1236" s="35"/>
    </row>
    <row r="1237" spans="1:20" ht="45" customHeight="1" x14ac:dyDescent="0.25">
      <c r="A1237" s="2" t="str">
        <f t="shared" si="1"/>
        <v/>
      </c>
      <c r="B1237" s="2"/>
      <c r="C1237" s="43"/>
      <c r="D1237" s="2"/>
      <c r="E1237" s="2"/>
      <c r="F1237" s="2"/>
      <c r="G1237" s="11"/>
      <c r="H1237" s="11"/>
      <c r="I1237" s="2"/>
      <c r="J1237" s="2"/>
      <c r="K1237" s="2"/>
      <c r="L1237" s="10"/>
      <c r="M1237" s="9"/>
      <c r="N1237" s="2"/>
      <c r="O1237" s="2"/>
      <c r="P1237" s="2"/>
      <c r="Q1237" s="50"/>
      <c r="R1237" s="50"/>
      <c r="S1237" s="2">
        <f>IFERROR(VLOOKUP(A1237,IMPORT_DESISTENCIA!$A$2:$Q2273,14,0),"NÃO")</f>
        <v>0</v>
      </c>
      <c r="T1237" s="35"/>
    </row>
    <row r="1238" spans="1:20" ht="45" customHeight="1" x14ac:dyDescent="0.25">
      <c r="A1238" s="2" t="str">
        <f t="shared" si="1"/>
        <v/>
      </c>
      <c r="B1238" s="2"/>
      <c r="C1238" s="43"/>
      <c r="D1238" s="2"/>
      <c r="E1238" s="2"/>
      <c r="F1238" s="2"/>
      <c r="G1238" s="11"/>
      <c r="H1238" s="11"/>
      <c r="I1238" s="2"/>
      <c r="J1238" s="2"/>
      <c r="K1238" s="2"/>
      <c r="L1238" s="10"/>
      <c r="M1238" s="9"/>
      <c r="N1238" s="2"/>
      <c r="O1238" s="2"/>
      <c r="P1238" s="2"/>
      <c r="Q1238" s="50"/>
      <c r="R1238" s="50"/>
      <c r="S1238" s="2">
        <f>IFERROR(VLOOKUP(A1238,IMPORT_DESISTENCIA!$A$2:$Q2273,14,0),"NÃO")</f>
        <v>0</v>
      </c>
      <c r="T1238" s="35"/>
    </row>
    <row r="1239" spans="1:20" ht="45" customHeight="1" x14ac:dyDescent="0.25">
      <c r="A1239" s="2" t="str">
        <f t="shared" si="1"/>
        <v/>
      </c>
      <c r="B1239" s="2"/>
      <c r="C1239" s="43"/>
      <c r="D1239" s="2"/>
      <c r="E1239" s="2"/>
      <c r="F1239" s="2"/>
      <c r="G1239" s="11"/>
      <c r="H1239" s="11"/>
      <c r="I1239" s="2"/>
      <c r="J1239" s="2"/>
      <c r="K1239" s="2"/>
      <c r="L1239" s="10"/>
      <c r="M1239" s="9"/>
      <c r="N1239" s="2"/>
      <c r="O1239" s="2"/>
      <c r="P1239" s="2"/>
      <c r="Q1239" s="50"/>
      <c r="R1239" s="50"/>
      <c r="S1239" s="2">
        <f>IFERROR(VLOOKUP(A1239,IMPORT_DESISTENCIA!$A$2:$Q2273,14,0),"NÃO")</f>
        <v>0</v>
      </c>
      <c r="T1239" s="35"/>
    </row>
    <row r="1240" spans="1:20" ht="45" customHeight="1" x14ac:dyDescent="0.25">
      <c r="A1240" s="2" t="str">
        <f t="shared" si="1"/>
        <v/>
      </c>
      <c r="B1240" s="2"/>
      <c r="C1240" s="43"/>
      <c r="D1240" s="2"/>
      <c r="E1240" s="2"/>
      <c r="F1240" s="2"/>
      <c r="G1240" s="11"/>
      <c r="H1240" s="11"/>
      <c r="I1240" s="2"/>
      <c r="J1240" s="2"/>
      <c r="K1240" s="2"/>
      <c r="L1240" s="10"/>
      <c r="M1240" s="9"/>
      <c r="N1240" s="2"/>
      <c r="O1240" s="2"/>
      <c r="P1240" s="2"/>
      <c r="Q1240" s="50"/>
      <c r="R1240" s="50"/>
      <c r="S1240" s="2">
        <f>IFERROR(VLOOKUP(A1240,IMPORT_DESISTENCIA!$A$2:$Q2273,14,0),"NÃO")</f>
        <v>0</v>
      </c>
      <c r="T1240" s="35"/>
    </row>
    <row r="1241" spans="1:20" ht="45" customHeight="1" x14ac:dyDescent="0.25">
      <c r="A1241" s="2" t="str">
        <f t="shared" si="1"/>
        <v/>
      </c>
      <c r="B1241" s="2"/>
      <c r="C1241" s="43"/>
      <c r="D1241" s="2"/>
      <c r="E1241" s="2"/>
      <c r="F1241" s="2"/>
      <c r="G1241" s="11"/>
      <c r="H1241" s="11"/>
      <c r="I1241" s="2"/>
      <c r="J1241" s="2"/>
      <c r="K1241" s="2"/>
      <c r="L1241" s="10"/>
      <c r="M1241" s="9"/>
      <c r="N1241" s="2"/>
      <c r="O1241" s="2"/>
      <c r="P1241" s="2"/>
      <c r="Q1241" s="50"/>
      <c r="R1241" s="50"/>
      <c r="S1241" s="2">
        <f>IFERROR(VLOOKUP(A1241,IMPORT_DESISTENCIA!$A$2:$Q2273,14,0),"NÃO")</f>
        <v>0</v>
      </c>
      <c r="T1241" s="35"/>
    </row>
    <row r="1242" spans="1:20" ht="45" customHeight="1" x14ac:dyDescent="0.25">
      <c r="A1242" s="2" t="str">
        <f t="shared" si="1"/>
        <v/>
      </c>
      <c r="B1242" s="2"/>
      <c r="C1242" s="43"/>
      <c r="D1242" s="2"/>
      <c r="E1242" s="2"/>
      <c r="F1242" s="2"/>
      <c r="G1242" s="11"/>
      <c r="H1242" s="11"/>
      <c r="I1242" s="2"/>
      <c r="J1242" s="2"/>
      <c r="K1242" s="2"/>
      <c r="L1242" s="10"/>
      <c r="M1242" s="9"/>
      <c r="N1242" s="2"/>
      <c r="O1242" s="2"/>
      <c r="P1242" s="2"/>
      <c r="Q1242" s="50"/>
      <c r="R1242" s="50"/>
      <c r="S1242" s="2">
        <f>IFERROR(VLOOKUP(A1242,IMPORT_DESISTENCIA!$A$2:$Q2273,14,0),"NÃO")</f>
        <v>0</v>
      </c>
      <c r="T1242" s="35"/>
    </row>
    <row r="1243" spans="1:20" ht="45" customHeight="1" x14ac:dyDescent="0.25">
      <c r="A1243" s="2" t="str">
        <f t="shared" si="1"/>
        <v/>
      </c>
      <c r="B1243" s="2"/>
      <c r="C1243" s="43"/>
      <c r="D1243" s="2"/>
      <c r="E1243" s="2"/>
      <c r="F1243" s="2"/>
      <c r="G1243" s="11"/>
      <c r="H1243" s="11"/>
      <c r="I1243" s="2"/>
      <c r="J1243" s="2"/>
      <c r="K1243" s="2"/>
      <c r="L1243" s="10"/>
      <c r="M1243" s="9"/>
      <c r="N1243" s="2"/>
      <c r="O1243" s="2"/>
      <c r="P1243" s="2"/>
      <c r="Q1243" s="50"/>
      <c r="R1243" s="50"/>
      <c r="S1243" s="2">
        <f>IFERROR(VLOOKUP(A1243,IMPORT_DESISTENCIA!$A$2:$Q2273,14,0),"NÃO")</f>
        <v>0</v>
      </c>
      <c r="T1243" s="35"/>
    </row>
    <row r="1244" spans="1:20" ht="45" customHeight="1" x14ac:dyDescent="0.25">
      <c r="A1244" s="2" t="str">
        <f t="shared" si="1"/>
        <v/>
      </c>
      <c r="B1244" s="2"/>
      <c r="C1244" s="43"/>
      <c r="D1244" s="2"/>
      <c r="E1244" s="2"/>
      <c r="F1244" s="2"/>
      <c r="G1244" s="11"/>
      <c r="H1244" s="11"/>
      <c r="I1244" s="2"/>
      <c r="J1244" s="2"/>
      <c r="K1244" s="2"/>
      <c r="L1244" s="10"/>
      <c r="M1244" s="9"/>
      <c r="N1244" s="2"/>
      <c r="O1244" s="2"/>
      <c r="P1244" s="2"/>
      <c r="Q1244" s="50"/>
      <c r="R1244" s="50"/>
      <c r="S1244" s="2">
        <f>IFERROR(VLOOKUP(A1244,IMPORT_DESISTENCIA!$A$2:$Q2273,14,0),"NÃO")</f>
        <v>0</v>
      </c>
      <c r="T1244" s="35"/>
    </row>
    <row r="1245" spans="1:20" ht="45" customHeight="1" x14ac:dyDescent="0.25">
      <c r="A1245" s="2" t="str">
        <f t="shared" si="1"/>
        <v/>
      </c>
      <c r="B1245" s="2"/>
      <c r="C1245" s="43"/>
      <c r="D1245" s="2"/>
      <c r="E1245" s="2"/>
      <c r="F1245" s="2"/>
      <c r="G1245" s="11"/>
      <c r="H1245" s="11"/>
      <c r="I1245" s="2"/>
      <c r="J1245" s="2"/>
      <c r="K1245" s="2"/>
      <c r="L1245" s="10"/>
      <c r="M1245" s="9"/>
      <c r="N1245" s="2"/>
      <c r="O1245" s="2"/>
      <c r="P1245" s="2"/>
      <c r="Q1245" s="50"/>
      <c r="R1245" s="50"/>
      <c r="S1245" s="2">
        <f>IFERROR(VLOOKUP(A1245,IMPORT_DESISTENCIA!$A$2:$Q2273,14,0),"NÃO")</f>
        <v>0</v>
      </c>
      <c r="T1245" s="35"/>
    </row>
    <row r="1246" spans="1:20" ht="45" customHeight="1" x14ac:dyDescent="0.25">
      <c r="A1246" s="2" t="str">
        <f t="shared" si="1"/>
        <v/>
      </c>
      <c r="B1246" s="2"/>
      <c r="C1246" s="43"/>
      <c r="D1246" s="2"/>
      <c r="E1246" s="2"/>
      <c r="F1246" s="2"/>
      <c r="G1246" s="11"/>
      <c r="H1246" s="11"/>
      <c r="I1246" s="2"/>
      <c r="J1246" s="2"/>
      <c r="K1246" s="2"/>
      <c r="L1246" s="10"/>
      <c r="M1246" s="9"/>
      <c r="N1246" s="2"/>
      <c r="O1246" s="2"/>
      <c r="P1246" s="2"/>
      <c r="Q1246" s="50"/>
      <c r="R1246" s="50"/>
      <c r="S1246" s="2">
        <f>IFERROR(VLOOKUP(A1246,IMPORT_DESISTENCIA!$A$2:$Q2273,14,0),"NÃO")</f>
        <v>0</v>
      </c>
      <c r="T1246" s="35"/>
    </row>
    <row r="1247" spans="1:20" ht="45" customHeight="1" x14ac:dyDescent="0.25">
      <c r="A1247" s="2" t="str">
        <f t="shared" si="1"/>
        <v/>
      </c>
      <c r="B1247" s="2"/>
      <c r="C1247" s="43"/>
      <c r="D1247" s="2"/>
      <c r="E1247" s="2"/>
      <c r="F1247" s="2"/>
      <c r="G1247" s="11"/>
      <c r="H1247" s="11"/>
      <c r="I1247" s="2"/>
      <c r="J1247" s="2"/>
      <c r="K1247" s="2"/>
      <c r="L1247" s="10"/>
      <c r="M1247" s="9"/>
      <c r="N1247" s="2"/>
      <c r="O1247" s="2"/>
      <c r="P1247" s="2"/>
      <c r="Q1247" s="50"/>
      <c r="R1247" s="50"/>
      <c r="S1247" s="2">
        <f>IFERROR(VLOOKUP(A1247,IMPORT_DESISTENCIA!$A$2:$Q2273,14,0),"NÃO")</f>
        <v>0</v>
      </c>
      <c r="T1247" s="35"/>
    </row>
    <row r="1248" spans="1:20" ht="45" customHeight="1" x14ac:dyDescent="0.25">
      <c r="A1248" s="2" t="str">
        <f t="shared" si="1"/>
        <v/>
      </c>
      <c r="B1248" s="2"/>
      <c r="C1248" s="43"/>
      <c r="D1248" s="2"/>
      <c r="E1248" s="2"/>
      <c r="F1248" s="2"/>
      <c r="G1248" s="11"/>
      <c r="H1248" s="11"/>
      <c r="I1248" s="2"/>
      <c r="J1248" s="2"/>
      <c r="K1248" s="2"/>
      <c r="L1248" s="10"/>
      <c r="M1248" s="9"/>
      <c r="N1248" s="2"/>
      <c r="O1248" s="2"/>
      <c r="P1248" s="2"/>
      <c r="Q1248" s="50"/>
      <c r="R1248" s="50"/>
      <c r="S1248" s="2">
        <f>IFERROR(VLOOKUP(A1248,IMPORT_DESISTENCIA!$A$2:$Q2273,14,0),"NÃO")</f>
        <v>0</v>
      </c>
      <c r="T1248" s="35"/>
    </row>
    <row r="1249" spans="1:20" ht="45" customHeight="1" x14ac:dyDescent="0.25">
      <c r="A1249" s="2" t="str">
        <f t="shared" si="1"/>
        <v/>
      </c>
      <c r="B1249" s="2"/>
      <c r="C1249" s="43"/>
      <c r="D1249" s="2"/>
      <c r="E1249" s="2"/>
      <c r="F1249" s="2"/>
      <c r="G1249" s="11"/>
      <c r="H1249" s="11"/>
      <c r="I1249" s="2"/>
      <c r="J1249" s="2"/>
      <c r="K1249" s="2"/>
      <c r="L1249" s="10"/>
      <c r="M1249" s="9"/>
      <c r="N1249" s="2"/>
      <c r="O1249" s="2"/>
      <c r="P1249" s="2"/>
      <c r="Q1249" s="50"/>
      <c r="R1249" s="50"/>
      <c r="S1249" s="2">
        <f>IFERROR(VLOOKUP(A1249,IMPORT_DESISTENCIA!$A$2:$Q2273,14,0),"NÃO")</f>
        <v>0</v>
      </c>
      <c r="T1249" s="35"/>
    </row>
    <row r="1250" spans="1:20" ht="45" customHeight="1" x14ac:dyDescent="0.25">
      <c r="A1250" s="2" t="str">
        <f t="shared" si="1"/>
        <v/>
      </c>
      <c r="B1250" s="2"/>
      <c r="C1250" s="43"/>
      <c r="D1250" s="2"/>
      <c r="E1250" s="2"/>
      <c r="F1250" s="2"/>
      <c r="G1250" s="11"/>
      <c r="H1250" s="11"/>
      <c r="I1250" s="2"/>
      <c r="J1250" s="2"/>
      <c r="K1250" s="2"/>
      <c r="L1250" s="10"/>
      <c r="M1250" s="9"/>
      <c r="N1250" s="2"/>
      <c r="O1250" s="2"/>
      <c r="P1250" s="2"/>
      <c r="Q1250" s="50"/>
      <c r="R1250" s="50"/>
      <c r="S1250" s="2">
        <f>IFERROR(VLOOKUP(A1250,IMPORT_DESISTENCIA!$A$2:$Q2273,14,0),"NÃO")</f>
        <v>0</v>
      </c>
      <c r="T1250" s="35"/>
    </row>
    <row r="1251" spans="1:20" ht="45" customHeight="1" x14ac:dyDescent="0.25">
      <c r="A1251" s="2" t="str">
        <f t="shared" si="1"/>
        <v/>
      </c>
      <c r="B1251" s="2"/>
      <c r="C1251" s="43"/>
      <c r="D1251" s="2"/>
      <c r="E1251" s="2"/>
      <c r="F1251" s="2"/>
      <c r="G1251" s="11"/>
      <c r="H1251" s="11"/>
      <c r="I1251" s="2"/>
      <c r="J1251" s="2"/>
      <c r="K1251" s="2"/>
      <c r="L1251" s="10"/>
      <c r="M1251" s="9"/>
      <c r="N1251" s="2"/>
      <c r="O1251" s="2"/>
      <c r="P1251" s="2"/>
      <c r="Q1251" s="50"/>
      <c r="R1251" s="50"/>
      <c r="S1251" s="2">
        <f>IFERROR(VLOOKUP(A1251,IMPORT_DESISTENCIA!$A$2:$Q2273,14,0),"NÃO")</f>
        <v>0</v>
      </c>
      <c r="T1251" s="35"/>
    </row>
    <row r="1252" spans="1:20" ht="45" customHeight="1" x14ac:dyDescent="0.25">
      <c r="A1252" s="2" t="str">
        <f t="shared" si="1"/>
        <v/>
      </c>
      <c r="B1252" s="2"/>
      <c r="C1252" s="43"/>
      <c r="D1252" s="2"/>
      <c r="E1252" s="2"/>
      <c r="F1252" s="2"/>
      <c r="G1252" s="11"/>
      <c r="H1252" s="11"/>
      <c r="I1252" s="2"/>
      <c r="J1252" s="2"/>
      <c r="K1252" s="2"/>
      <c r="L1252" s="10"/>
      <c r="M1252" s="9"/>
      <c r="N1252" s="2"/>
      <c r="O1252" s="2"/>
      <c r="P1252" s="2"/>
      <c r="Q1252" s="50"/>
      <c r="R1252" s="50"/>
      <c r="S1252" s="2">
        <f>IFERROR(VLOOKUP(A1252,IMPORT_DESISTENCIA!$A$2:$Q2273,14,0),"NÃO")</f>
        <v>0</v>
      </c>
      <c r="T1252" s="35"/>
    </row>
    <row r="1253" spans="1:20" ht="45" customHeight="1" x14ac:dyDescent="0.25">
      <c r="A1253" s="2" t="str">
        <f t="shared" si="1"/>
        <v/>
      </c>
      <c r="B1253" s="2"/>
      <c r="C1253" s="43"/>
      <c r="D1253" s="2"/>
      <c r="E1253" s="2"/>
      <c r="F1253" s="2"/>
      <c r="G1253" s="11"/>
      <c r="H1253" s="11"/>
      <c r="I1253" s="2"/>
      <c r="J1253" s="2"/>
      <c r="K1253" s="2"/>
      <c r="L1253" s="10"/>
      <c r="M1253" s="9"/>
      <c r="N1253" s="2"/>
      <c r="O1253" s="2"/>
      <c r="P1253" s="2"/>
      <c r="Q1253" s="50"/>
      <c r="R1253" s="50"/>
      <c r="S1253" s="2">
        <f>IFERROR(VLOOKUP(A1253,IMPORT_DESISTENCIA!$A$2:$Q2273,14,0),"NÃO")</f>
        <v>0</v>
      </c>
      <c r="T1253" s="35"/>
    </row>
    <row r="1254" spans="1:20" ht="45" customHeight="1" x14ac:dyDescent="0.25">
      <c r="A1254" s="2" t="str">
        <f t="shared" si="1"/>
        <v/>
      </c>
      <c r="B1254" s="2"/>
      <c r="C1254" s="43"/>
      <c r="D1254" s="2"/>
      <c r="E1254" s="2"/>
      <c r="F1254" s="2"/>
      <c r="G1254" s="11"/>
      <c r="H1254" s="11"/>
      <c r="I1254" s="2"/>
      <c r="J1254" s="2"/>
      <c r="K1254" s="2"/>
      <c r="L1254" s="10"/>
      <c r="M1254" s="9"/>
      <c r="N1254" s="2"/>
      <c r="O1254" s="2"/>
      <c r="P1254" s="2"/>
      <c r="Q1254" s="50"/>
      <c r="R1254" s="50"/>
      <c r="S1254" s="2">
        <f>IFERROR(VLOOKUP(A1254,IMPORT_DESISTENCIA!$A$2:$Q2273,14,0),"NÃO")</f>
        <v>0</v>
      </c>
      <c r="T1254" s="35"/>
    </row>
    <row r="1255" spans="1:20" ht="45" customHeight="1" x14ac:dyDescent="0.25">
      <c r="A1255" s="2" t="str">
        <f t="shared" si="1"/>
        <v/>
      </c>
      <c r="B1255" s="2"/>
      <c r="C1255" s="43"/>
      <c r="D1255" s="2"/>
      <c r="E1255" s="2"/>
      <c r="F1255" s="2"/>
      <c r="G1255" s="11"/>
      <c r="H1255" s="11"/>
      <c r="I1255" s="2"/>
      <c r="J1255" s="2"/>
      <c r="K1255" s="2"/>
      <c r="L1255" s="10"/>
      <c r="M1255" s="9"/>
      <c r="N1255" s="2"/>
      <c r="O1255" s="2"/>
      <c r="P1255" s="2"/>
      <c r="Q1255" s="50"/>
      <c r="R1255" s="50"/>
      <c r="S1255" s="2">
        <f>IFERROR(VLOOKUP(A1255,IMPORT_DESISTENCIA!$A$2:$Q2273,14,0),"NÃO")</f>
        <v>0</v>
      </c>
      <c r="T1255" s="35"/>
    </row>
    <row r="1256" spans="1:20" ht="45" customHeight="1" x14ac:dyDescent="0.25">
      <c r="A1256" s="2" t="str">
        <f t="shared" si="1"/>
        <v/>
      </c>
      <c r="B1256" s="2"/>
      <c r="C1256" s="43"/>
      <c r="D1256" s="2"/>
      <c r="E1256" s="2"/>
      <c r="F1256" s="2"/>
      <c r="G1256" s="11"/>
      <c r="H1256" s="11"/>
      <c r="I1256" s="2"/>
      <c r="J1256" s="2"/>
      <c r="K1256" s="2"/>
      <c r="L1256" s="10"/>
      <c r="M1256" s="9"/>
      <c r="N1256" s="2"/>
      <c r="O1256" s="2"/>
      <c r="P1256" s="2"/>
      <c r="Q1256" s="50"/>
      <c r="R1256" s="50"/>
      <c r="S1256" s="2">
        <f>IFERROR(VLOOKUP(A1256,IMPORT_DESISTENCIA!$A$2:$Q2273,14,0),"NÃO")</f>
        <v>0</v>
      </c>
      <c r="T1256" s="35"/>
    </row>
    <row r="1257" spans="1:20" ht="45" customHeight="1" x14ac:dyDescent="0.25">
      <c r="A1257" s="2" t="str">
        <f t="shared" si="1"/>
        <v/>
      </c>
      <c r="B1257" s="2"/>
      <c r="C1257" s="43"/>
      <c r="D1257" s="2"/>
      <c r="E1257" s="2"/>
      <c r="F1257" s="2"/>
      <c r="G1257" s="11"/>
      <c r="H1257" s="11"/>
      <c r="I1257" s="2"/>
      <c r="J1257" s="2"/>
      <c r="K1257" s="2"/>
      <c r="L1257" s="10"/>
      <c r="M1257" s="9"/>
      <c r="N1257" s="2"/>
      <c r="O1257" s="2"/>
      <c r="P1257" s="2"/>
      <c r="Q1257" s="50"/>
      <c r="R1257" s="50"/>
      <c r="S1257" s="2">
        <f>IFERROR(VLOOKUP(A1257,IMPORT_DESISTENCIA!$A$2:$Q2273,14,0),"NÃO")</f>
        <v>0</v>
      </c>
      <c r="T1257" s="35"/>
    </row>
    <row r="1258" spans="1:20" ht="45" customHeight="1" x14ac:dyDescent="0.25">
      <c r="A1258" s="2" t="str">
        <f t="shared" si="1"/>
        <v/>
      </c>
      <c r="B1258" s="2"/>
      <c r="C1258" s="43"/>
      <c r="D1258" s="2"/>
      <c r="E1258" s="2"/>
      <c r="F1258" s="2"/>
      <c r="G1258" s="11"/>
      <c r="H1258" s="11"/>
      <c r="I1258" s="2"/>
      <c r="J1258" s="2"/>
      <c r="K1258" s="2"/>
      <c r="L1258" s="10"/>
      <c r="M1258" s="9"/>
      <c r="N1258" s="2"/>
      <c r="O1258" s="2"/>
      <c r="P1258" s="2"/>
      <c r="Q1258" s="50"/>
      <c r="R1258" s="50"/>
      <c r="S1258" s="2">
        <f>IFERROR(VLOOKUP(A1258,IMPORT_DESISTENCIA!$A$2:$Q2273,14,0),"NÃO")</f>
        <v>0</v>
      </c>
      <c r="T1258" s="35"/>
    </row>
    <row r="1259" spans="1:20" ht="45" customHeight="1" x14ac:dyDescent="0.25">
      <c r="A1259" s="2" t="str">
        <f t="shared" si="1"/>
        <v/>
      </c>
      <c r="B1259" s="2"/>
      <c r="C1259" s="43"/>
      <c r="D1259" s="2"/>
      <c r="E1259" s="2"/>
      <c r="F1259" s="2"/>
      <c r="G1259" s="11"/>
      <c r="H1259" s="11"/>
      <c r="I1259" s="2"/>
      <c r="J1259" s="2"/>
      <c r="K1259" s="2"/>
      <c r="L1259" s="10"/>
      <c r="M1259" s="9"/>
      <c r="N1259" s="2"/>
      <c r="O1259" s="2"/>
      <c r="P1259" s="2"/>
      <c r="Q1259" s="50"/>
      <c r="R1259" s="50"/>
      <c r="S1259" s="2">
        <f>IFERROR(VLOOKUP(A1259,IMPORT_DESISTENCIA!$A$2:$Q2273,14,0),"NÃO")</f>
        <v>0</v>
      </c>
      <c r="T1259" s="35"/>
    </row>
    <row r="1260" spans="1:20" ht="45" customHeight="1" x14ac:dyDescent="0.25">
      <c r="A1260" s="2" t="str">
        <f t="shared" si="1"/>
        <v/>
      </c>
      <c r="B1260" s="2"/>
      <c r="C1260" s="43"/>
      <c r="D1260" s="2"/>
      <c r="E1260" s="2"/>
      <c r="F1260" s="2"/>
      <c r="G1260" s="11"/>
      <c r="H1260" s="11"/>
      <c r="I1260" s="2"/>
      <c r="J1260" s="2"/>
      <c r="K1260" s="2"/>
      <c r="L1260" s="10"/>
      <c r="M1260" s="9"/>
      <c r="N1260" s="2"/>
      <c r="O1260" s="2"/>
      <c r="P1260" s="2"/>
      <c r="Q1260" s="50"/>
      <c r="R1260" s="50"/>
      <c r="S1260" s="2">
        <f>IFERROR(VLOOKUP(A1260,IMPORT_DESISTENCIA!$A$2:$Q2273,14,0),"NÃO")</f>
        <v>0</v>
      </c>
      <c r="T1260" s="35"/>
    </row>
    <row r="1261" spans="1:20" ht="45" customHeight="1" x14ac:dyDescent="0.25">
      <c r="A1261" s="2" t="str">
        <f t="shared" si="1"/>
        <v/>
      </c>
      <c r="B1261" s="2"/>
      <c r="C1261" s="43"/>
      <c r="D1261" s="2"/>
      <c r="E1261" s="2"/>
      <c r="F1261" s="2"/>
      <c r="G1261" s="11"/>
      <c r="H1261" s="11"/>
      <c r="I1261" s="2"/>
      <c r="J1261" s="2"/>
      <c r="K1261" s="2"/>
      <c r="L1261" s="10"/>
      <c r="M1261" s="9"/>
      <c r="N1261" s="2"/>
      <c r="O1261" s="2"/>
      <c r="P1261" s="2"/>
      <c r="Q1261" s="50"/>
      <c r="R1261" s="50"/>
      <c r="S1261" s="2">
        <f>IFERROR(VLOOKUP(A1261,IMPORT_DESISTENCIA!$A$2:$Q2273,14,0),"NÃO")</f>
        <v>0</v>
      </c>
      <c r="T1261" s="35"/>
    </row>
    <row r="1262" spans="1:20" ht="45" customHeight="1" x14ac:dyDescent="0.25">
      <c r="A1262" s="2" t="str">
        <f t="shared" si="1"/>
        <v/>
      </c>
      <c r="B1262" s="2"/>
      <c r="C1262" s="43"/>
      <c r="D1262" s="2"/>
      <c r="E1262" s="2"/>
      <c r="F1262" s="2"/>
      <c r="G1262" s="11"/>
      <c r="H1262" s="11"/>
      <c r="I1262" s="2"/>
      <c r="J1262" s="2"/>
      <c r="K1262" s="2"/>
      <c r="L1262" s="10"/>
      <c r="M1262" s="9"/>
      <c r="N1262" s="2"/>
      <c r="O1262" s="2"/>
      <c r="P1262" s="2"/>
      <c r="Q1262" s="50"/>
      <c r="R1262" s="50"/>
      <c r="S1262" s="2">
        <f>IFERROR(VLOOKUP(A1262,IMPORT_DESISTENCIA!$A$2:$Q2273,14,0),"NÃO")</f>
        <v>0</v>
      </c>
      <c r="T1262" s="35"/>
    </row>
    <row r="1263" spans="1:20" ht="45" customHeight="1" x14ac:dyDescent="0.25">
      <c r="A1263" s="2" t="str">
        <f t="shared" si="1"/>
        <v/>
      </c>
      <c r="B1263" s="2"/>
      <c r="C1263" s="43"/>
      <c r="D1263" s="2"/>
      <c r="E1263" s="2"/>
      <c r="F1263" s="2"/>
      <c r="G1263" s="11"/>
      <c r="H1263" s="11"/>
      <c r="I1263" s="2"/>
      <c r="J1263" s="2"/>
      <c r="K1263" s="2"/>
      <c r="L1263" s="10"/>
      <c r="M1263" s="9"/>
      <c r="N1263" s="2"/>
      <c r="O1263" s="2"/>
      <c r="P1263" s="2"/>
      <c r="Q1263" s="50"/>
      <c r="R1263" s="50"/>
      <c r="S1263" s="2">
        <f>IFERROR(VLOOKUP(A1263,IMPORT_DESISTENCIA!$A$2:$Q2273,14,0),"NÃO")</f>
        <v>0</v>
      </c>
      <c r="T1263" s="35"/>
    </row>
    <row r="1264" spans="1:20" ht="45" customHeight="1" x14ac:dyDescent="0.25">
      <c r="A1264" s="2" t="str">
        <f t="shared" si="1"/>
        <v/>
      </c>
      <c r="B1264" s="2"/>
      <c r="C1264" s="43"/>
      <c r="D1264" s="2"/>
      <c r="E1264" s="2"/>
      <c r="F1264" s="2"/>
      <c r="G1264" s="11"/>
      <c r="H1264" s="11"/>
      <c r="I1264" s="2"/>
      <c r="J1264" s="2"/>
      <c r="K1264" s="2"/>
      <c r="L1264" s="10"/>
      <c r="M1264" s="9"/>
      <c r="N1264" s="2"/>
      <c r="O1264" s="2"/>
      <c r="P1264" s="2"/>
      <c r="Q1264" s="50"/>
      <c r="R1264" s="50"/>
      <c r="S1264" s="2">
        <f>IFERROR(VLOOKUP(A1264,IMPORT_DESISTENCIA!$A$2:$Q2273,14,0),"NÃO")</f>
        <v>0</v>
      </c>
      <c r="T1264" s="35"/>
    </row>
    <row r="1265" spans="1:20" ht="45" customHeight="1" x14ac:dyDescent="0.25">
      <c r="A1265" s="2" t="str">
        <f t="shared" si="1"/>
        <v/>
      </c>
      <c r="B1265" s="2"/>
      <c r="C1265" s="43"/>
      <c r="D1265" s="2"/>
      <c r="E1265" s="2"/>
      <c r="F1265" s="2"/>
      <c r="G1265" s="11"/>
      <c r="H1265" s="11"/>
      <c r="I1265" s="2"/>
      <c r="J1265" s="2"/>
      <c r="K1265" s="2"/>
      <c r="L1265" s="10"/>
      <c r="M1265" s="9"/>
      <c r="N1265" s="2"/>
      <c r="O1265" s="2"/>
      <c r="P1265" s="2"/>
      <c r="Q1265" s="50"/>
      <c r="R1265" s="50"/>
      <c r="S1265" s="2">
        <f>IFERROR(VLOOKUP(A1265,IMPORT_DESISTENCIA!$A$2:$Q2273,14,0),"NÃO")</f>
        <v>0</v>
      </c>
      <c r="T1265" s="35"/>
    </row>
    <row r="1266" spans="1:20" ht="45" customHeight="1" x14ac:dyDescent="0.25">
      <c r="A1266" s="2" t="str">
        <f t="shared" si="1"/>
        <v/>
      </c>
      <c r="B1266" s="2"/>
      <c r="C1266" s="43"/>
      <c r="D1266" s="2"/>
      <c r="E1266" s="2"/>
      <c r="F1266" s="2"/>
      <c r="G1266" s="11"/>
      <c r="H1266" s="11"/>
      <c r="I1266" s="2"/>
      <c r="J1266" s="2"/>
      <c r="K1266" s="2"/>
      <c r="L1266" s="10"/>
      <c r="M1266" s="9"/>
      <c r="N1266" s="2"/>
      <c r="O1266" s="2"/>
      <c r="P1266" s="2"/>
      <c r="Q1266" s="50"/>
      <c r="R1266" s="50"/>
      <c r="S1266" s="2">
        <f>IFERROR(VLOOKUP(A1266,IMPORT_DESISTENCIA!$A$2:$Q2273,14,0),"NÃO")</f>
        <v>0</v>
      </c>
      <c r="T1266" s="35"/>
    </row>
    <row r="1267" spans="1:20" ht="45" customHeight="1" x14ac:dyDescent="0.25">
      <c r="A1267" s="2" t="str">
        <f t="shared" si="1"/>
        <v/>
      </c>
      <c r="B1267" s="2"/>
      <c r="C1267" s="43"/>
      <c r="D1267" s="2"/>
      <c r="E1267" s="2"/>
      <c r="F1267" s="2"/>
      <c r="G1267" s="11"/>
      <c r="H1267" s="11"/>
      <c r="I1267" s="2"/>
      <c r="J1267" s="2"/>
      <c r="K1267" s="2"/>
      <c r="L1267" s="10"/>
      <c r="M1267" s="9"/>
      <c r="N1267" s="2"/>
      <c r="O1267" s="2"/>
      <c r="P1267" s="2"/>
      <c r="Q1267" s="50"/>
      <c r="R1267" s="50"/>
      <c r="S1267" s="2">
        <f>IFERROR(VLOOKUP(A1267,IMPORT_DESISTENCIA!$A$2:$Q2273,14,0),"NÃO")</f>
        <v>0</v>
      </c>
      <c r="T1267" s="35"/>
    </row>
    <row r="1268" spans="1:20" ht="45" customHeight="1" x14ac:dyDescent="0.25">
      <c r="A1268" s="2" t="str">
        <f t="shared" si="1"/>
        <v/>
      </c>
      <c r="B1268" s="2"/>
      <c r="C1268" s="43"/>
      <c r="D1268" s="2"/>
      <c r="E1268" s="2"/>
      <c r="F1268" s="2"/>
      <c r="G1268" s="11"/>
      <c r="H1268" s="11"/>
      <c r="I1268" s="2"/>
      <c r="J1268" s="2"/>
      <c r="K1268" s="2"/>
      <c r="L1268" s="10"/>
      <c r="M1268" s="9"/>
      <c r="N1268" s="2"/>
      <c r="O1268" s="2"/>
      <c r="P1268" s="2"/>
      <c r="Q1268" s="50"/>
      <c r="R1268" s="50"/>
      <c r="S1268" s="2">
        <f>IFERROR(VLOOKUP(A1268,IMPORT_DESISTENCIA!$A$2:$Q2273,14,0),"NÃO")</f>
        <v>0</v>
      </c>
      <c r="T1268" s="35"/>
    </row>
    <row r="1269" spans="1:20" ht="45" customHeight="1" x14ac:dyDescent="0.25">
      <c r="A1269" s="2" t="str">
        <f t="shared" si="1"/>
        <v/>
      </c>
      <c r="B1269" s="2"/>
      <c r="C1269" s="43"/>
      <c r="D1269" s="2"/>
      <c r="E1269" s="2"/>
      <c r="F1269" s="2"/>
      <c r="G1269" s="11"/>
      <c r="H1269" s="11"/>
      <c r="I1269" s="2"/>
      <c r="J1269" s="2"/>
      <c r="K1269" s="2"/>
      <c r="L1269" s="10"/>
      <c r="M1269" s="9"/>
      <c r="N1269" s="2"/>
      <c r="O1269" s="2"/>
      <c r="P1269" s="2"/>
      <c r="Q1269" s="50"/>
      <c r="R1269" s="50"/>
      <c r="S1269" s="2">
        <f>IFERROR(VLOOKUP(A1269,IMPORT_DESISTENCIA!$A$2:$Q2273,14,0),"NÃO")</f>
        <v>0</v>
      </c>
      <c r="T1269" s="35"/>
    </row>
    <row r="1270" spans="1:20" ht="45" customHeight="1" x14ac:dyDescent="0.25">
      <c r="A1270" s="2" t="str">
        <f t="shared" si="1"/>
        <v/>
      </c>
      <c r="B1270" s="2"/>
      <c r="C1270" s="43"/>
      <c r="D1270" s="2"/>
      <c r="E1270" s="2"/>
      <c r="F1270" s="2"/>
      <c r="G1270" s="11"/>
      <c r="H1270" s="11"/>
      <c r="I1270" s="2"/>
      <c r="J1270" s="2"/>
      <c r="K1270" s="2"/>
      <c r="L1270" s="10"/>
      <c r="M1270" s="9"/>
      <c r="N1270" s="2"/>
      <c r="O1270" s="2"/>
      <c r="P1270" s="2"/>
      <c r="Q1270" s="50"/>
      <c r="R1270" s="50"/>
      <c r="S1270" s="2">
        <f>IFERROR(VLOOKUP(A1270,IMPORT_DESISTENCIA!$A$2:$Q2273,14,0),"NÃO")</f>
        <v>0</v>
      </c>
      <c r="T1270" s="35"/>
    </row>
    <row r="1271" spans="1:20" ht="45" customHeight="1" x14ac:dyDescent="0.25">
      <c r="A1271" s="2" t="str">
        <f t="shared" si="1"/>
        <v/>
      </c>
      <c r="B1271" s="2"/>
      <c r="C1271" s="43"/>
      <c r="D1271" s="2"/>
      <c r="E1271" s="2"/>
      <c r="F1271" s="2"/>
      <c r="G1271" s="11"/>
      <c r="H1271" s="11"/>
      <c r="I1271" s="2"/>
      <c r="J1271" s="2"/>
      <c r="K1271" s="2"/>
      <c r="L1271" s="10"/>
      <c r="M1271" s="9"/>
      <c r="N1271" s="2"/>
      <c r="O1271" s="2"/>
      <c r="P1271" s="2"/>
      <c r="Q1271" s="50"/>
      <c r="R1271" s="50"/>
      <c r="S1271" s="2">
        <f>IFERROR(VLOOKUP(A1271,IMPORT_DESISTENCIA!$A$2:$Q2273,14,0),"NÃO")</f>
        <v>0</v>
      </c>
      <c r="T1271" s="35"/>
    </row>
    <row r="1272" spans="1:20" ht="45" customHeight="1" x14ac:dyDescent="0.25">
      <c r="A1272" s="2" t="str">
        <f t="shared" si="1"/>
        <v/>
      </c>
      <c r="B1272" s="2"/>
      <c r="C1272" s="43"/>
      <c r="D1272" s="2"/>
      <c r="E1272" s="2"/>
      <c r="F1272" s="2"/>
      <c r="G1272" s="11"/>
      <c r="H1272" s="11"/>
      <c r="I1272" s="2"/>
      <c r="J1272" s="2"/>
      <c r="K1272" s="2"/>
      <c r="L1272" s="10"/>
      <c r="M1272" s="9"/>
      <c r="N1272" s="2"/>
      <c r="O1272" s="2"/>
      <c r="P1272" s="2"/>
      <c r="Q1272" s="50"/>
      <c r="R1272" s="50"/>
      <c r="S1272" s="2">
        <f>IFERROR(VLOOKUP(A1272,IMPORT_DESISTENCIA!$A$2:$Q2273,14,0),"NÃO")</f>
        <v>0</v>
      </c>
      <c r="T1272" s="35"/>
    </row>
    <row r="1273" spans="1:20" ht="45" customHeight="1" x14ac:dyDescent="0.25">
      <c r="A1273" s="2" t="str">
        <f t="shared" si="1"/>
        <v/>
      </c>
      <c r="B1273" s="2"/>
      <c r="C1273" s="43"/>
      <c r="D1273" s="2"/>
      <c r="E1273" s="2"/>
      <c r="F1273" s="2"/>
      <c r="G1273" s="11"/>
      <c r="H1273" s="11"/>
      <c r="I1273" s="2"/>
      <c r="J1273" s="2"/>
      <c r="K1273" s="2"/>
      <c r="L1273" s="10"/>
      <c r="M1273" s="9"/>
      <c r="N1273" s="2"/>
      <c r="O1273" s="2"/>
      <c r="P1273" s="2"/>
      <c r="Q1273" s="50"/>
      <c r="R1273" s="50"/>
      <c r="S1273" s="2">
        <f>IFERROR(VLOOKUP(A1273,IMPORT_DESISTENCIA!$A$2:$Q2273,14,0),"NÃO")</f>
        <v>0</v>
      </c>
      <c r="T1273" s="35"/>
    </row>
    <row r="1274" spans="1:20" ht="45" customHeight="1" x14ac:dyDescent="0.25">
      <c r="A1274" s="2" t="str">
        <f t="shared" si="1"/>
        <v/>
      </c>
      <c r="B1274" s="2"/>
      <c r="C1274" s="43"/>
      <c r="D1274" s="2"/>
      <c r="E1274" s="2"/>
      <c r="F1274" s="2"/>
      <c r="G1274" s="11"/>
      <c r="H1274" s="11"/>
      <c r="I1274" s="2"/>
      <c r="J1274" s="2"/>
      <c r="K1274" s="2"/>
      <c r="L1274" s="10"/>
      <c r="M1274" s="9"/>
      <c r="N1274" s="2"/>
      <c r="O1274" s="2"/>
      <c r="P1274" s="2"/>
      <c r="Q1274" s="50"/>
      <c r="R1274" s="50"/>
      <c r="S1274" s="2">
        <f>IFERROR(VLOOKUP(A1274,IMPORT_DESISTENCIA!$A$2:$Q2273,14,0),"NÃO")</f>
        <v>0</v>
      </c>
      <c r="T1274" s="35"/>
    </row>
    <row r="1275" spans="1:20" ht="45" customHeight="1" x14ac:dyDescent="0.25">
      <c r="A1275" s="2" t="str">
        <f t="shared" si="1"/>
        <v/>
      </c>
      <c r="B1275" s="2"/>
      <c r="C1275" s="43"/>
      <c r="D1275" s="2"/>
      <c r="E1275" s="2"/>
      <c r="F1275" s="2"/>
      <c r="G1275" s="11"/>
      <c r="H1275" s="11"/>
      <c r="I1275" s="2"/>
      <c r="J1275" s="2"/>
      <c r="K1275" s="2"/>
      <c r="L1275" s="10"/>
      <c r="M1275" s="9"/>
      <c r="N1275" s="2"/>
      <c r="O1275" s="2"/>
      <c r="P1275" s="2"/>
      <c r="Q1275" s="50"/>
      <c r="R1275" s="50"/>
      <c r="S1275" s="2">
        <f>IFERROR(VLOOKUP(A1275,IMPORT_DESISTENCIA!$A$2:$Q2273,14,0),"NÃO")</f>
        <v>0</v>
      </c>
      <c r="T1275" s="35"/>
    </row>
    <row r="1276" spans="1:20" ht="45" customHeight="1" x14ac:dyDescent="0.25">
      <c r="A1276" s="2" t="str">
        <f t="shared" si="1"/>
        <v/>
      </c>
      <c r="B1276" s="2"/>
      <c r="C1276" s="43"/>
      <c r="D1276" s="2"/>
      <c r="E1276" s="2"/>
      <c r="F1276" s="2"/>
      <c r="G1276" s="11"/>
      <c r="H1276" s="11"/>
      <c r="I1276" s="2"/>
      <c r="J1276" s="2"/>
      <c r="K1276" s="2"/>
      <c r="L1276" s="10"/>
      <c r="M1276" s="9"/>
      <c r="N1276" s="2"/>
      <c r="O1276" s="2"/>
      <c r="P1276" s="2"/>
      <c r="Q1276" s="50"/>
      <c r="R1276" s="50"/>
      <c r="S1276" s="2">
        <f>IFERROR(VLOOKUP(A1276,IMPORT_DESISTENCIA!$A$2:$Q2273,14,0),"NÃO")</f>
        <v>0</v>
      </c>
      <c r="T1276" s="35"/>
    </row>
    <row r="1277" spans="1:20" ht="45" customHeight="1" x14ac:dyDescent="0.25">
      <c r="A1277" s="2" t="str">
        <f t="shared" si="1"/>
        <v/>
      </c>
      <c r="B1277" s="2"/>
      <c r="C1277" s="43"/>
      <c r="D1277" s="2"/>
      <c r="E1277" s="2"/>
      <c r="F1277" s="2"/>
      <c r="G1277" s="11"/>
      <c r="H1277" s="11"/>
      <c r="I1277" s="2"/>
      <c r="J1277" s="2"/>
      <c r="K1277" s="2"/>
      <c r="L1277" s="10"/>
      <c r="M1277" s="9"/>
      <c r="N1277" s="2"/>
      <c r="O1277" s="2"/>
      <c r="P1277" s="2"/>
      <c r="Q1277" s="50"/>
      <c r="R1277" s="50"/>
      <c r="S1277" s="2">
        <f>IFERROR(VLOOKUP(A1277,IMPORT_DESISTENCIA!$A$2:$Q2273,14,0),"NÃO")</f>
        <v>0</v>
      </c>
      <c r="T1277" s="35"/>
    </row>
    <row r="1278" spans="1:20" ht="45" customHeight="1" x14ac:dyDescent="0.25">
      <c r="A1278" s="2" t="str">
        <f t="shared" si="1"/>
        <v/>
      </c>
      <c r="B1278" s="2"/>
      <c r="C1278" s="43"/>
      <c r="D1278" s="2"/>
      <c r="E1278" s="2"/>
      <c r="F1278" s="2"/>
      <c r="G1278" s="11"/>
      <c r="H1278" s="11"/>
      <c r="I1278" s="2"/>
      <c r="J1278" s="2"/>
      <c r="K1278" s="2"/>
      <c r="L1278" s="10"/>
      <c r="M1278" s="9"/>
      <c r="N1278" s="2"/>
      <c r="O1278" s="2"/>
      <c r="P1278" s="2"/>
      <c r="Q1278" s="50"/>
      <c r="R1278" s="50"/>
      <c r="S1278" s="2">
        <f>IFERROR(VLOOKUP(A1278,IMPORT_DESISTENCIA!$A$2:$Q2273,14,0),"NÃO")</f>
        <v>0</v>
      </c>
      <c r="T1278" s="35"/>
    </row>
    <row r="1279" spans="1:20" ht="45" customHeight="1" x14ac:dyDescent="0.25">
      <c r="A1279" s="2" t="str">
        <f t="shared" si="1"/>
        <v/>
      </c>
      <c r="B1279" s="2"/>
      <c r="C1279" s="43"/>
      <c r="D1279" s="2"/>
      <c r="E1279" s="2"/>
      <c r="F1279" s="2"/>
      <c r="G1279" s="11"/>
      <c r="H1279" s="11"/>
      <c r="I1279" s="2"/>
      <c r="J1279" s="2"/>
      <c r="K1279" s="2"/>
      <c r="L1279" s="10"/>
      <c r="M1279" s="9"/>
      <c r="N1279" s="2"/>
      <c r="O1279" s="2"/>
      <c r="P1279" s="2"/>
      <c r="Q1279" s="50"/>
      <c r="R1279" s="50"/>
      <c r="S1279" s="2">
        <f>IFERROR(VLOOKUP(A1279,IMPORT_DESISTENCIA!$A$2:$Q2273,14,0),"NÃO")</f>
        <v>0</v>
      </c>
      <c r="T1279" s="35"/>
    </row>
    <row r="1280" spans="1:20" ht="45" customHeight="1" x14ac:dyDescent="0.25">
      <c r="A1280" s="2" t="str">
        <f t="shared" si="1"/>
        <v/>
      </c>
      <c r="B1280" s="2"/>
      <c r="C1280" s="43"/>
      <c r="D1280" s="2"/>
      <c r="E1280" s="2"/>
      <c r="F1280" s="2"/>
      <c r="G1280" s="11"/>
      <c r="H1280" s="11"/>
      <c r="I1280" s="2"/>
      <c r="J1280" s="2"/>
      <c r="K1280" s="2"/>
      <c r="L1280" s="10"/>
      <c r="M1280" s="9"/>
      <c r="N1280" s="2"/>
      <c r="O1280" s="2"/>
      <c r="P1280" s="2"/>
      <c r="Q1280" s="50"/>
      <c r="R1280" s="50"/>
      <c r="S1280" s="2">
        <f>IFERROR(VLOOKUP(A1280,IMPORT_DESISTENCIA!$A$2:$Q2273,14,0),"NÃO")</f>
        <v>0</v>
      </c>
      <c r="T1280" s="35"/>
    </row>
    <row r="1281" spans="1:20" ht="45" customHeight="1" x14ac:dyDescent="0.25">
      <c r="A1281" s="2" t="str">
        <f t="shared" si="1"/>
        <v/>
      </c>
      <c r="B1281" s="2"/>
      <c r="C1281" s="43"/>
      <c r="D1281" s="2"/>
      <c r="E1281" s="2"/>
      <c r="F1281" s="2"/>
      <c r="G1281" s="11"/>
      <c r="H1281" s="11"/>
      <c r="I1281" s="2"/>
      <c r="J1281" s="2"/>
      <c r="K1281" s="2"/>
      <c r="L1281" s="10"/>
      <c r="M1281" s="9"/>
      <c r="N1281" s="2"/>
      <c r="O1281" s="2"/>
      <c r="P1281" s="2"/>
      <c r="Q1281" s="50"/>
      <c r="R1281" s="50"/>
      <c r="S1281" s="2">
        <f>IFERROR(VLOOKUP(A1281,IMPORT_DESISTENCIA!$A$2:$Q2273,14,0),"NÃO")</f>
        <v>0</v>
      </c>
      <c r="T1281" s="35"/>
    </row>
    <row r="1282" spans="1:20" ht="45" customHeight="1" x14ac:dyDescent="0.25">
      <c r="A1282" s="2" t="str">
        <f t="shared" si="1"/>
        <v/>
      </c>
      <c r="B1282" s="2"/>
      <c r="C1282" s="43"/>
      <c r="D1282" s="2"/>
      <c r="E1282" s="2"/>
      <c r="F1282" s="2"/>
      <c r="G1282" s="11"/>
      <c r="H1282" s="11"/>
      <c r="I1282" s="2"/>
      <c r="J1282" s="2"/>
      <c r="K1282" s="2"/>
      <c r="L1282" s="10"/>
      <c r="M1282" s="9"/>
      <c r="N1282" s="2"/>
      <c r="O1282" s="2"/>
      <c r="P1282" s="2"/>
      <c r="Q1282" s="50"/>
      <c r="R1282" s="50"/>
      <c r="S1282" s="2">
        <f>IFERROR(VLOOKUP(A1282,IMPORT_DESISTENCIA!$A$2:$Q2273,14,0),"NÃO")</f>
        <v>0</v>
      </c>
      <c r="T1282" s="35"/>
    </row>
    <row r="1283" spans="1:20" ht="45" customHeight="1" x14ac:dyDescent="0.25">
      <c r="A1283" s="2" t="str">
        <f t="shared" si="1"/>
        <v/>
      </c>
      <c r="B1283" s="2"/>
      <c r="C1283" s="43"/>
      <c r="D1283" s="2"/>
      <c r="E1283" s="2"/>
      <c r="F1283" s="2"/>
      <c r="G1283" s="11"/>
      <c r="H1283" s="11"/>
      <c r="I1283" s="2"/>
      <c r="J1283" s="2"/>
      <c r="K1283" s="2"/>
      <c r="L1283" s="10"/>
      <c r="M1283" s="9"/>
      <c r="N1283" s="2"/>
      <c r="O1283" s="2"/>
      <c r="P1283" s="2"/>
      <c r="Q1283" s="50"/>
      <c r="R1283" s="50"/>
      <c r="S1283" s="2">
        <f>IFERROR(VLOOKUP(A1283,IMPORT_DESISTENCIA!$A$2:$Q2273,14,0),"NÃO")</f>
        <v>0</v>
      </c>
      <c r="T1283" s="35"/>
    </row>
    <row r="1284" spans="1:20" ht="45" customHeight="1" x14ac:dyDescent="0.25">
      <c r="A1284" s="2" t="str">
        <f t="shared" si="1"/>
        <v/>
      </c>
      <c r="B1284" s="2"/>
      <c r="C1284" s="43"/>
      <c r="D1284" s="2"/>
      <c r="E1284" s="2"/>
      <c r="F1284" s="2"/>
      <c r="G1284" s="11"/>
      <c r="H1284" s="11"/>
      <c r="I1284" s="2"/>
      <c r="J1284" s="2"/>
      <c r="K1284" s="2"/>
      <c r="L1284" s="10"/>
      <c r="M1284" s="9"/>
      <c r="N1284" s="2"/>
      <c r="O1284" s="2"/>
      <c r="P1284" s="2"/>
      <c r="Q1284" s="50"/>
      <c r="R1284" s="50"/>
      <c r="S1284" s="2">
        <f>IFERROR(VLOOKUP(A1284,IMPORT_DESISTENCIA!$A$2:$Q2273,14,0),"NÃO")</f>
        <v>0</v>
      </c>
      <c r="T1284" s="35"/>
    </row>
    <row r="1285" spans="1:20" ht="45" customHeight="1" x14ac:dyDescent="0.25">
      <c r="A1285" s="2" t="str">
        <f t="shared" si="1"/>
        <v/>
      </c>
      <c r="B1285" s="2"/>
      <c r="C1285" s="43"/>
      <c r="D1285" s="2"/>
      <c r="E1285" s="2"/>
      <c r="F1285" s="2"/>
      <c r="G1285" s="11"/>
      <c r="H1285" s="11"/>
      <c r="I1285" s="2"/>
      <c r="J1285" s="2"/>
      <c r="K1285" s="2"/>
      <c r="L1285" s="10"/>
      <c r="M1285" s="9"/>
      <c r="N1285" s="2"/>
      <c r="O1285" s="2"/>
      <c r="P1285" s="2"/>
      <c r="Q1285" s="50"/>
      <c r="R1285" s="50"/>
      <c r="S1285" s="2">
        <f>IFERROR(VLOOKUP(A1285,IMPORT_DESISTENCIA!$A$2:$Q2273,14,0),"NÃO")</f>
        <v>0</v>
      </c>
      <c r="T1285" s="35"/>
    </row>
    <row r="1286" spans="1:20" ht="45" customHeight="1" x14ac:dyDescent="0.25">
      <c r="A1286" s="2" t="str">
        <f t="shared" si="1"/>
        <v/>
      </c>
      <c r="B1286" s="2"/>
      <c r="C1286" s="43"/>
      <c r="D1286" s="2"/>
      <c r="E1286" s="2"/>
      <c r="F1286" s="2"/>
      <c r="G1286" s="11"/>
      <c r="H1286" s="11"/>
      <c r="I1286" s="2"/>
      <c r="J1286" s="2"/>
      <c r="K1286" s="2"/>
      <c r="L1286" s="10"/>
      <c r="M1286" s="9"/>
      <c r="N1286" s="2"/>
      <c r="O1286" s="2"/>
      <c r="P1286" s="2"/>
      <c r="Q1286" s="50"/>
      <c r="R1286" s="50"/>
      <c r="S1286" s="2">
        <f>IFERROR(VLOOKUP(A1286,IMPORT_DESISTENCIA!$A$2:$Q2273,14,0),"NÃO")</f>
        <v>0</v>
      </c>
      <c r="T1286" s="35"/>
    </row>
    <row r="1287" spans="1:20" ht="45" customHeight="1" x14ac:dyDescent="0.25">
      <c r="A1287" s="2" t="str">
        <f t="shared" si="1"/>
        <v/>
      </c>
      <c r="B1287" s="2"/>
      <c r="C1287" s="43"/>
      <c r="D1287" s="2"/>
      <c r="E1287" s="2"/>
      <c r="F1287" s="2"/>
      <c r="G1287" s="11"/>
      <c r="H1287" s="11"/>
      <c r="I1287" s="2"/>
      <c r="J1287" s="2"/>
      <c r="K1287" s="2"/>
      <c r="L1287" s="10"/>
      <c r="M1287" s="9"/>
      <c r="N1287" s="2"/>
      <c r="O1287" s="2"/>
      <c r="P1287" s="2"/>
      <c r="Q1287" s="50"/>
      <c r="R1287" s="50"/>
      <c r="S1287" s="2">
        <f>IFERROR(VLOOKUP(A1287,IMPORT_DESISTENCIA!$A$2:$Q2273,14,0),"NÃO")</f>
        <v>0</v>
      </c>
      <c r="T1287" s="35"/>
    </row>
    <row r="1288" spans="1:20" ht="45" customHeight="1" x14ac:dyDescent="0.25">
      <c r="A1288" s="2" t="str">
        <f t="shared" si="1"/>
        <v/>
      </c>
      <c r="B1288" s="2"/>
      <c r="C1288" s="43"/>
      <c r="D1288" s="2"/>
      <c r="E1288" s="2"/>
      <c r="F1288" s="2"/>
      <c r="G1288" s="11"/>
      <c r="H1288" s="11"/>
      <c r="I1288" s="2"/>
      <c r="J1288" s="2"/>
      <c r="K1288" s="2"/>
      <c r="L1288" s="10"/>
      <c r="M1288" s="9"/>
      <c r="N1288" s="2"/>
      <c r="O1288" s="2"/>
      <c r="P1288" s="2"/>
      <c r="Q1288" s="50"/>
      <c r="R1288" s="50"/>
      <c r="S1288" s="2">
        <f>IFERROR(VLOOKUP(A1288,IMPORT_DESISTENCIA!$A$2:$Q2273,14,0),"NÃO")</f>
        <v>0</v>
      </c>
      <c r="T1288" s="35"/>
    </row>
    <row r="1289" spans="1:20" ht="45" customHeight="1" x14ac:dyDescent="0.25">
      <c r="A1289" s="2" t="str">
        <f t="shared" si="1"/>
        <v/>
      </c>
      <c r="B1289" s="2"/>
      <c r="C1289" s="43"/>
      <c r="D1289" s="2"/>
      <c r="E1289" s="2"/>
      <c r="F1289" s="2"/>
      <c r="G1289" s="11"/>
      <c r="H1289" s="11"/>
      <c r="I1289" s="2"/>
      <c r="J1289" s="2"/>
      <c r="K1289" s="2"/>
      <c r="L1289" s="10"/>
      <c r="M1289" s="9"/>
      <c r="N1289" s="2"/>
      <c r="O1289" s="2"/>
      <c r="P1289" s="2"/>
      <c r="Q1289" s="50"/>
      <c r="R1289" s="50"/>
      <c r="S1289" s="2">
        <f>IFERROR(VLOOKUP(A1289,IMPORT_DESISTENCIA!$A$2:$Q2273,14,0),"NÃO")</f>
        <v>0</v>
      </c>
      <c r="T1289" s="35"/>
    </row>
    <row r="1290" spans="1:20" ht="45" customHeight="1" x14ac:dyDescent="0.25">
      <c r="A1290" s="2" t="str">
        <f t="shared" si="1"/>
        <v/>
      </c>
      <c r="B1290" s="2"/>
      <c r="C1290" s="43"/>
      <c r="D1290" s="2"/>
      <c r="E1290" s="2"/>
      <c r="F1290" s="2"/>
      <c r="G1290" s="11"/>
      <c r="H1290" s="11"/>
      <c r="I1290" s="2"/>
      <c r="J1290" s="2"/>
      <c r="K1290" s="2"/>
      <c r="L1290" s="10"/>
      <c r="M1290" s="9"/>
      <c r="N1290" s="2"/>
      <c r="O1290" s="2"/>
      <c r="P1290" s="2"/>
      <c r="Q1290" s="50"/>
      <c r="R1290" s="50"/>
      <c r="S1290" s="2">
        <f>IFERROR(VLOOKUP(A1290,IMPORT_DESISTENCIA!$A$2:$Q2273,14,0),"NÃO")</f>
        <v>0</v>
      </c>
      <c r="T1290" s="35"/>
    </row>
    <row r="1291" spans="1:20" ht="45" customHeight="1" x14ac:dyDescent="0.25">
      <c r="A1291" s="2" t="str">
        <f t="shared" si="1"/>
        <v/>
      </c>
      <c r="B1291" s="2"/>
      <c r="C1291" s="43"/>
      <c r="D1291" s="2"/>
      <c r="E1291" s="2"/>
      <c r="F1291" s="2"/>
      <c r="G1291" s="11"/>
      <c r="H1291" s="11"/>
      <c r="I1291" s="2"/>
      <c r="J1291" s="2"/>
      <c r="K1291" s="2"/>
      <c r="L1291" s="10"/>
      <c r="M1291" s="9"/>
      <c r="N1291" s="2"/>
      <c r="O1291" s="2"/>
      <c r="P1291" s="2"/>
      <c r="Q1291" s="50"/>
      <c r="R1291" s="50"/>
      <c r="S1291" s="2">
        <f>IFERROR(VLOOKUP(A1291,IMPORT_DESISTENCIA!$A$2:$Q2273,14,0),"NÃO")</f>
        <v>0</v>
      </c>
      <c r="T1291" s="35"/>
    </row>
    <row r="1292" spans="1:20" ht="45" customHeight="1" x14ac:dyDescent="0.25">
      <c r="A1292" s="2" t="str">
        <f t="shared" si="1"/>
        <v/>
      </c>
      <c r="B1292" s="2"/>
      <c r="C1292" s="43"/>
      <c r="D1292" s="2"/>
      <c r="E1292" s="2"/>
      <c r="F1292" s="2"/>
      <c r="G1292" s="11"/>
      <c r="H1292" s="11"/>
      <c r="I1292" s="2"/>
      <c r="J1292" s="2"/>
      <c r="K1292" s="2"/>
      <c r="L1292" s="10"/>
      <c r="M1292" s="9"/>
      <c r="N1292" s="2"/>
      <c r="O1292" s="2"/>
      <c r="P1292" s="2"/>
      <c r="Q1292" s="50"/>
      <c r="R1292" s="50"/>
      <c r="S1292" s="2">
        <f>IFERROR(VLOOKUP(A1292,IMPORT_DESISTENCIA!$A$2:$Q2273,14,0),"NÃO")</f>
        <v>0</v>
      </c>
      <c r="T1292" s="35"/>
    </row>
    <row r="1293" spans="1:20" ht="45" customHeight="1" x14ac:dyDescent="0.25">
      <c r="A1293" s="2" t="str">
        <f t="shared" si="1"/>
        <v/>
      </c>
      <c r="B1293" s="2"/>
      <c r="C1293" s="43"/>
      <c r="D1293" s="2"/>
      <c r="E1293" s="2"/>
      <c r="F1293" s="2"/>
      <c r="G1293" s="11"/>
      <c r="H1293" s="11"/>
      <c r="I1293" s="2"/>
      <c r="J1293" s="2"/>
      <c r="K1293" s="2"/>
      <c r="L1293" s="10"/>
      <c r="M1293" s="9"/>
      <c r="N1293" s="2"/>
      <c r="O1293" s="2"/>
      <c r="P1293" s="2"/>
      <c r="Q1293" s="50"/>
      <c r="R1293" s="50"/>
      <c r="S1293" s="2">
        <f>IFERROR(VLOOKUP(A1293,IMPORT_DESISTENCIA!$A$2:$Q2273,14,0),"NÃO")</f>
        <v>0</v>
      </c>
      <c r="T1293" s="35"/>
    </row>
    <row r="1294" spans="1:20" ht="45" customHeight="1" x14ac:dyDescent="0.25">
      <c r="A1294" s="2" t="str">
        <f t="shared" si="1"/>
        <v/>
      </c>
      <c r="B1294" s="2"/>
      <c r="C1294" s="43"/>
      <c r="D1294" s="2"/>
      <c r="E1294" s="2"/>
      <c r="F1294" s="2"/>
      <c r="G1294" s="11"/>
      <c r="H1294" s="11"/>
      <c r="I1294" s="2"/>
      <c r="J1294" s="2"/>
      <c r="K1294" s="2"/>
      <c r="L1294" s="10"/>
      <c r="M1294" s="9"/>
      <c r="N1294" s="2"/>
      <c r="O1294" s="2"/>
      <c r="P1294" s="2"/>
      <c r="Q1294" s="50"/>
      <c r="R1294" s="50"/>
      <c r="S1294" s="2">
        <f>IFERROR(VLOOKUP(A1294,IMPORT_DESISTENCIA!$A$2:$Q2273,14,0),"NÃO")</f>
        <v>0</v>
      </c>
      <c r="T1294" s="35"/>
    </row>
    <row r="1295" spans="1:20" ht="45" customHeight="1" x14ac:dyDescent="0.25">
      <c r="A1295" s="2" t="str">
        <f t="shared" si="1"/>
        <v/>
      </c>
      <c r="B1295" s="2"/>
      <c r="C1295" s="43"/>
      <c r="D1295" s="2"/>
      <c r="E1295" s="2"/>
      <c r="F1295" s="2"/>
      <c r="G1295" s="11"/>
      <c r="H1295" s="11"/>
      <c r="I1295" s="2"/>
      <c r="J1295" s="2"/>
      <c r="K1295" s="2"/>
      <c r="L1295" s="10"/>
      <c r="M1295" s="9"/>
      <c r="N1295" s="2"/>
      <c r="O1295" s="2"/>
      <c r="P1295" s="2"/>
      <c r="Q1295" s="50"/>
      <c r="R1295" s="50"/>
      <c r="S1295" s="2">
        <f>IFERROR(VLOOKUP(A1295,IMPORT_DESISTENCIA!$A$2:$Q2273,14,0),"NÃO")</f>
        <v>0</v>
      </c>
      <c r="T1295" s="35"/>
    </row>
    <row r="1296" spans="1:20" ht="45" customHeight="1" x14ac:dyDescent="0.25">
      <c r="A1296" s="2" t="str">
        <f t="shared" si="1"/>
        <v/>
      </c>
      <c r="B1296" s="2"/>
      <c r="C1296" s="43"/>
      <c r="D1296" s="2"/>
      <c r="E1296" s="2"/>
      <c r="F1296" s="2"/>
      <c r="G1296" s="11"/>
      <c r="H1296" s="11"/>
      <c r="I1296" s="2"/>
      <c r="J1296" s="2"/>
      <c r="K1296" s="2"/>
      <c r="L1296" s="10"/>
      <c r="M1296" s="9"/>
      <c r="N1296" s="2"/>
      <c r="O1296" s="2"/>
      <c r="P1296" s="2"/>
      <c r="Q1296" s="50"/>
      <c r="R1296" s="50"/>
      <c r="S1296" s="2">
        <f>IFERROR(VLOOKUP(A1296,IMPORT_DESISTENCIA!$A$2:$Q2273,14,0),"NÃO")</f>
        <v>0</v>
      </c>
      <c r="T1296" s="35"/>
    </row>
    <row r="1297" spans="1:20" ht="45" customHeight="1" x14ac:dyDescent="0.25">
      <c r="A1297" s="2" t="str">
        <f t="shared" si="1"/>
        <v/>
      </c>
      <c r="B1297" s="2"/>
      <c r="C1297" s="43"/>
      <c r="D1297" s="2"/>
      <c r="E1297" s="2"/>
      <c r="F1297" s="2"/>
      <c r="G1297" s="11"/>
      <c r="H1297" s="11"/>
      <c r="I1297" s="2"/>
      <c r="J1297" s="2"/>
      <c r="K1297" s="2"/>
      <c r="L1297" s="10"/>
      <c r="M1297" s="9"/>
      <c r="N1297" s="2"/>
      <c r="O1297" s="2"/>
      <c r="P1297" s="2"/>
      <c r="Q1297" s="50"/>
      <c r="R1297" s="50"/>
      <c r="S1297" s="2">
        <f>IFERROR(VLOOKUP(A1297,IMPORT_DESISTENCIA!$A$2:$Q2273,14,0),"NÃO")</f>
        <v>0</v>
      </c>
      <c r="T1297" s="35"/>
    </row>
    <row r="1298" spans="1:20" ht="45" customHeight="1" x14ac:dyDescent="0.25">
      <c r="A1298" s="2" t="str">
        <f t="shared" si="1"/>
        <v/>
      </c>
      <c r="B1298" s="2"/>
      <c r="C1298" s="43"/>
      <c r="D1298" s="2"/>
      <c r="E1298" s="2"/>
      <c r="F1298" s="2"/>
      <c r="G1298" s="11"/>
      <c r="H1298" s="11"/>
      <c r="I1298" s="2"/>
      <c r="J1298" s="2"/>
      <c r="K1298" s="2"/>
      <c r="L1298" s="10"/>
      <c r="M1298" s="9"/>
      <c r="N1298" s="2"/>
      <c r="O1298" s="2"/>
      <c r="P1298" s="2"/>
      <c r="Q1298" s="50"/>
      <c r="R1298" s="50"/>
      <c r="S1298" s="2">
        <f>IFERROR(VLOOKUP(A1298,IMPORT_DESISTENCIA!$A$2:$Q2273,14,0),"NÃO")</f>
        <v>0</v>
      </c>
      <c r="T1298" s="35"/>
    </row>
    <row r="1299" spans="1:20" ht="45" customHeight="1" x14ac:dyDescent="0.25">
      <c r="A1299" s="2" t="str">
        <f t="shared" si="1"/>
        <v/>
      </c>
      <c r="B1299" s="2"/>
      <c r="C1299" s="43"/>
      <c r="D1299" s="2"/>
      <c r="E1299" s="2"/>
      <c r="F1299" s="2"/>
      <c r="G1299" s="11"/>
      <c r="H1299" s="11"/>
      <c r="I1299" s="2"/>
      <c r="J1299" s="2"/>
      <c r="K1299" s="2"/>
      <c r="L1299" s="10"/>
      <c r="M1299" s="9"/>
      <c r="N1299" s="2"/>
      <c r="O1299" s="2"/>
      <c r="P1299" s="2"/>
      <c r="Q1299" s="50"/>
      <c r="R1299" s="50"/>
      <c r="S1299" s="2">
        <f>IFERROR(VLOOKUP(A1299,IMPORT_DESISTENCIA!$A$2:$Q2273,14,0),"NÃO")</f>
        <v>0</v>
      </c>
      <c r="T1299" s="35"/>
    </row>
    <row r="1300" spans="1:20" ht="45" customHeight="1" x14ac:dyDescent="0.25">
      <c r="A1300" s="2" t="str">
        <f t="shared" si="1"/>
        <v/>
      </c>
      <c r="B1300" s="2"/>
      <c r="C1300" s="43"/>
      <c r="D1300" s="2"/>
      <c r="E1300" s="2"/>
      <c r="F1300" s="2"/>
      <c r="G1300" s="11"/>
      <c r="H1300" s="11"/>
      <c r="I1300" s="2"/>
      <c r="J1300" s="2"/>
      <c r="K1300" s="2"/>
      <c r="L1300" s="10"/>
      <c r="M1300" s="9"/>
      <c r="N1300" s="2"/>
      <c r="O1300" s="2"/>
      <c r="P1300" s="2"/>
      <c r="Q1300" s="50"/>
      <c r="R1300" s="50"/>
      <c r="S1300" s="2">
        <f>IFERROR(VLOOKUP(A1300,IMPORT_DESISTENCIA!$A$2:$Q2273,14,0),"NÃO")</f>
        <v>0</v>
      </c>
      <c r="T1300" s="35"/>
    </row>
    <row r="1301" spans="1:20" ht="45" customHeight="1" x14ac:dyDescent="0.25">
      <c r="A1301" s="2" t="str">
        <f t="shared" si="1"/>
        <v/>
      </c>
      <c r="B1301" s="2"/>
      <c r="C1301" s="43"/>
      <c r="D1301" s="2"/>
      <c r="E1301" s="2"/>
      <c r="F1301" s="2"/>
      <c r="G1301" s="11"/>
      <c r="H1301" s="11"/>
      <c r="I1301" s="2"/>
      <c r="J1301" s="2"/>
      <c r="K1301" s="2"/>
      <c r="L1301" s="10"/>
      <c r="M1301" s="9"/>
      <c r="N1301" s="2"/>
      <c r="O1301" s="2"/>
      <c r="P1301" s="2"/>
      <c r="Q1301" s="50"/>
      <c r="R1301" s="50"/>
      <c r="S1301" s="2">
        <f>IFERROR(VLOOKUP(A1301,IMPORT_DESISTENCIA!$A$2:$Q2273,14,0),"NÃO")</f>
        <v>0</v>
      </c>
      <c r="T1301" s="35"/>
    </row>
    <row r="1302" spans="1:20" ht="45" customHeight="1" x14ac:dyDescent="0.25">
      <c r="A1302" s="2" t="str">
        <f t="shared" si="1"/>
        <v/>
      </c>
      <c r="B1302" s="2"/>
      <c r="C1302" s="43"/>
      <c r="D1302" s="2"/>
      <c r="E1302" s="2"/>
      <c r="F1302" s="2"/>
      <c r="G1302" s="11"/>
      <c r="H1302" s="11"/>
      <c r="I1302" s="2"/>
      <c r="J1302" s="2"/>
      <c r="K1302" s="2"/>
      <c r="L1302" s="10"/>
      <c r="M1302" s="9"/>
      <c r="N1302" s="2"/>
      <c r="O1302" s="2"/>
      <c r="P1302" s="2"/>
      <c r="Q1302" s="50"/>
      <c r="R1302" s="50"/>
      <c r="S1302" s="2">
        <f>IFERROR(VLOOKUP(A1302,IMPORT_DESISTENCIA!$A$2:$Q2273,14,0),"NÃO")</f>
        <v>0</v>
      </c>
      <c r="T1302" s="35"/>
    </row>
    <row r="1303" spans="1:20" ht="45" customHeight="1" x14ac:dyDescent="0.25">
      <c r="A1303" s="2" t="str">
        <f t="shared" si="1"/>
        <v/>
      </c>
      <c r="B1303" s="2"/>
      <c r="C1303" s="43"/>
      <c r="D1303" s="2"/>
      <c r="E1303" s="2"/>
      <c r="F1303" s="2"/>
      <c r="G1303" s="11"/>
      <c r="H1303" s="11"/>
      <c r="I1303" s="2"/>
      <c r="J1303" s="2"/>
      <c r="K1303" s="2"/>
      <c r="L1303" s="10"/>
      <c r="M1303" s="9"/>
      <c r="N1303" s="2"/>
      <c r="O1303" s="2"/>
      <c r="P1303" s="2"/>
      <c r="Q1303" s="50"/>
      <c r="R1303" s="50"/>
      <c r="S1303" s="2">
        <f>IFERROR(VLOOKUP(A1303,IMPORT_DESISTENCIA!$A$2:$Q2273,14,0),"NÃO")</f>
        <v>0</v>
      </c>
      <c r="T1303" s="35"/>
    </row>
    <row r="1304" spans="1:20" ht="45" customHeight="1" x14ac:dyDescent="0.25">
      <c r="A1304" s="2" t="str">
        <f t="shared" si="1"/>
        <v/>
      </c>
      <c r="B1304" s="2"/>
      <c r="C1304" s="43"/>
      <c r="D1304" s="2"/>
      <c r="E1304" s="2"/>
      <c r="F1304" s="2"/>
      <c r="G1304" s="11"/>
      <c r="H1304" s="11"/>
      <c r="I1304" s="2"/>
      <c r="J1304" s="2"/>
      <c r="K1304" s="2"/>
      <c r="L1304" s="10"/>
      <c r="M1304" s="9"/>
      <c r="N1304" s="2"/>
      <c r="O1304" s="2"/>
      <c r="P1304" s="2"/>
      <c r="Q1304" s="50"/>
      <c r="R1304" s="50"/>
      <c r="S1304" s="2">
        <f>IFERROR(VLOOKUP(A1304,IMPORT_DESISTENCIA!$A$2:$Q2273,14,0),"NÃO")</f>
        <v>0</v>
      </c>
      <c r="T1304" s="35"/>
    </row>
    <row r="1305" spans="1:20" ht="45" customHeight="1" x14ac:dyDescent="0.25">
      <c r="A1305" s="2" t="str">
        <f t="shared" si="1"/>
        <v/>
      </c>
      <c r="B1305" s="2"/>
      <c r="C1305" s="43"/>
      <c r="D1305" s="2"/>
      <c r="E1305" s="2"/>
      <c r="F1305" s="2"/>
      <c r="G1305" s="11"/>
      <c r="H1305" s="11"/>
      <c r="I1305" s="2"/>
      <c r="J1305" s="2"/>
      <c r="K1305" s="2"/>
      <c r="L1305" s="10"/>
      <c r="M1305" s="9"/>
      <c r="N1305" s="2"/>
      <c r="O1305" s="2"/>
      <c r="P1305" s="2"/>
      <c r="Q1305" s="50"/>
      <c r="R1305" s="50"/>
      <c r="S1305" s="2">
        <f>IFERROR(VLOOKUP(A1305,IMPORT_DESISTENCIA!$A$2:$Q2273,14,0),"NÃO")</f>
        <v>0</v>
      </c>
      <c r="T1305" s="35"/>
    </row>
    <row r="1306" spans="1:20" ht="45" customHeight="1" x14ac:dyDescent="0.25">
      <c r="A1306" s="2" t="str">
        <f t="shared" si="1"/>
        <v/>
      </c>
      <c r="B1306" s="2"/>
      <c r="C1306" s="43"/>
      <c r="D1306" s="2"/>
      <c r="E1306" s="2"/>
      <c r="F1306" s="2"/>
      <c r="G1306" s="11"/>
      <c r="H1306" s="11"/>
      <c r="I1306" s="2"/>
      <c r="J1306" s="2"/>
      <c r="K1306" s="2"/>
      <c r="L1306" s="10"/>
      <c r="M1306" s="9"/>
      <c r="N1306" s="2"/>
      <c r="O1306" s="2"/>
      <c r="P1306" s="2"/>
      <c r="Q1306" s="50"/>
      <c r="R1306" s="50"/>
      <c r="S1306" s="2">
        <f>IFERROR(VLOOKUP(A1306,IMPORT_DESISTENCIA!$A$2:$Q2273,14,0),"NÃO")</f>
        <v>0</v>
      </c>
      <c r="T1306" s="35"/>
    </row>
    <row r="1307" spans="1:20" ht="45" customHeight="1" x14ac:dyDescent="0.25">
      <c r="A1307" s="2" t="str">
        <f t="shared" si="1"/>
        <v/>
      </c>
      <c r="B1307" s="2"/>
      <c r="C1307" s="43"/>
      <c r="D1307" s="2"/>
      <c r="E1307" s="2"/>
      <c r="F1307" s="2"/>
      <c r="G1307" s="11"/>
      <c r="H1307" s="11"/>
      <c r="I1307" s="2"/>
      <c r="J1307" s="2"/>
      <c r="K1307" s="2"/>
      <c r="L1307" s="10"/>
      <c r="M1307" s="9"/>
      <c r="N1307" s="2"/>
      <c r="O1307" s="2"/>
      <c r="P1307" s="2"/>
      <c r="Q1307" s="50"/>
      <c r="R1307" s="50"/>
      <c r="S1307" s="2">
        <f>IFERROR(VLOOKUP(A1307,IMPORT_DESISTENCIA!$A$2:$Q2273,14,0),"NÃO")</f>
        <v>0</v>
      </c>
      <c r="T1307" s="35"/>
    </row>
    <row r="1308" spans="1:20" ht="45" customHeight="1" x14ac:dyDescent="0.25">
      <c r="A1308" s="2" t="str">
        <f t="shared" si="1"/>
        <v/>
      </c>
      <c r="B1308" s="2"/>
      <c r="C1308" s="43"/>
      <c r="D1308" s="2"/>
      <c r="E1308" s="2"/>
      <c r="F1308" s="2"/>
      <c r="G1308" s="11"/>
      <c r="H1308" s="11"/>
      <c r="I1308" s="2"/>
      <c r="J1308" s="2"/>
      <c r="K1308" s="2"/>
      <c r="L1308" s="10"/>
      <c r="M1308" s="9"/>
      <c r="N1308" s="2"/>
      <c r="O1308" s="2"/>
      <c r="P1308" s="2"/>
      <c r="Q1308" s="50"/>
      <c r="R1308" s="50"/>
      <c r="S1308" s="2">
        <f>IFERROR(VLOOKUP(A1308,IMPORT_DESISTENCIA!$A$2:$Q2273,14,0),"NÃO")</f>
        <v>0</v>
      </c>
      <c r="T1308" s="35"/>
    </row>
    <row r="1309" spans="1:20" ht="45" customHeight="1" x14ac:dyDescent="0.25">
      <c r="A1309" s="2" t="str">
        <f t="shared" si="1"/>
        <v/>
      </c>
      <c r="B1309" s="2"/>
      <c r="C1309" s="43"/>
      <c r="D1309" s="2"/>
      <c r="E1309" s="2"/>
      <c r="F1309" s="2"/>
      <c r="G1309" s="11"/>
      <c r="H1309" s="11"/>
      <c r="I1309" s="2"/>
      <c r="J1309" s="2"/>
      <c r="K1309" s="2"/>
      <c r="L1309" s="10"/>
      <c r="M1309" s="9"/>
      <c r="N1309" s="2"/>
      <c r="O1309" s="2"/>
      <c r="P1309" s="2"/>
      <c r="Q1309" s="50"/>
      <c r="R1309" s="50"/>
      <c r="S1309" s="2">
        <f>IFERROR(VLOOKUP(A1309,IMPORT_DESISTENCIA!$A$2:$Q2273,14,0),"NÃO")</f>
        <v>0</v>
      </c>
      <c r="T1309" s="35"/>
    </row>
    <row r="1310" spans="1:20" ht="45" customHeight="1" x14ac:dyDescent="0.25">
      <c r="A1310" s="2" t="str">
        <f t="shared" si="1"/>
        <v/>
      </c>
      <c r="B1310" s="2"/>
      <c r="C1310" s="43"/>
      <c r="D1310" s="2"/>
      <c r="E1310" s="2"/>
      <c r="F1310" s="2"/>
      <c r="G1310" s="11"/>
      <c r="H1310" s="11"/>
      <c r="I1310" s="2"/>
      <c r="J1310" s="2"/>
      <c r="K1310" s="2"/>
      <c r="L1310" s="10"/>
      <c r="M1310" s="9"/>
      <c r="N1310" s="2"/>
      <c r="O1310" s="2"/>
      <c r="P1310" s="2"/>
      <c r="Q1310" s="50"/>
      <c r="R1310" s="50"/>
      <c r="S1310" s="2">
        <f>IFERROR(VLOOKUP(A1310,IMPORT_DESISTENCIA!$A$2:$Q2273,14,0),"NÃO")</f>
        <v>0</v>
      </c>
      <c r="T1310" s="35"/>
    </row>
    <row r="1311" spans="1:20" ht="45" customHeight="1" x14ac:dyDescent="0.25">
      <c r="A1311" s="2" t="str">
        <f t="shared" si="1"/>
        <v/>
      </c>
      <c r="B1311" s="2"/>
      <c r="C1311" s="43"/>
      <c r="D1311" s="2"/>
      <c r="E1311" s="2"/>
      <c r="F1311" s="2"/>
      <c r="G1311" s="11"/>
      <c r="H1311" s="11"/>
      <c r="I1311" s="2"/>
      <c r="J1311" s="2"/>
      <c r="K1311" s="2"/>
      <c r="L1311" s="10"/>
      <c r="M1311" s="9"/>
      <c r="N1311" s="2"/>
      <c r="O1311" s="2"/>
      <c r="P1311" s="2"/>
      <c r="Q1311" s="50"/>
      <c r="R1311" s="50"/>
      <c r="S1311" s="2">
        <f>IFERROR(VLOOKUP(A1311,IMPORT_DESISTENCIA!$A$2:$Q2273,14,0),"NÃO")</f>
        <v>0</v>
      </c>
      <c r="T1311" s="35"/>
    </row>
    <row r="1312" spans="1:20" ht="45" customHeight="1" x14ac:dyDescent="0.25">
      <c r="A1312" s="2" t="str">
        <f t="shared" si="1"/>
        <v/>
      </c>
      <c r="B1312" s="2"/>
      <c r="C1312" s="43"/>
      <c r="D1312" s="2"/>
      <c r="E1312" s="2"/>
      <c r="F1312" s="2"/>
      <c r="G1312" s="11"/>
      <c r="H1312" s="11"/>
      <c r="I1312" s="2"/>
      <c r="J1312" s="2"/>
      <c r="K1312" s="2"/>
      <c r="L1312" s="10"/>
      <c r="M1312" s="9"/>
      <c r="N1312" s="2"/>
      <c r="O1312" s="2"/>
      <c r="P1312" s="2"/>
      <c r="Q1312" s="50"/>
      <c r="R1312" s="50"/>
      <c r="S1312" s="2">
        <f>IFERROR(VLOOKUP(A1312,IMPORT_DESISTENCIA!$A$2:$Q2273,14,0),"NÃO")</f>
        <v>0</v>
      </c>
      <c r="T1312" s="35"/>
    </row>
    <row r="1313" spans="1:20" ht="45" customHeight="1" x14ac:dyDescent="0.25">
      <c r="A1313" s="2" t="str">
        <f t="shared" si="1"/>
        <v/>
      </c>
      <c r="B1313" s="2"/>
      <c r="C1313" s="43"/>
      <c r="D1313" s="2"/>
      <c r="E1313" s="2"/>
      <c r="F1313" s="2"/>
      <c r="G1313" s="11"/>
      <c r="H1313" s="11"/>
      <c r="I1313" s="2"/>
      <c r="J1313" s="2"/>
      <c r="K1313" s="2"/>
      <c r="L1313" s="10"/>
      <c r="M1313" s="9"/>
      <c r="N1313" s="2"/>
      <c r="O1313" s="2"/>
      <c r="P1313" s="2"/>
      <c r="Q1313" s="50"/>
      <c r="R1313" s="50"/>
      <c r="S1313" s="2">
        <f>IFERROR(VLOOKUP(A1313,IMPORT_DESISTENCIA!$A$2:$Q2273,14,0),"NÃO")</f>
        <v>0</v>
      </c>
      <c r="T1313" s="35"/>
    </row>
    <row r="1314" spans="1:20" ht="45" customHeight="1" x14ac:dyDescent="0.25">
      <c r="A1314" s="2" t="str">
        <f t="shared" si="1"/>
        <v/>
      </c>
      <c r="B1314" s="2"/>
      <c r="C1314" s="43"/>
      <c r="D1314" s="2"/>
      <c r="E1314" s="2"/>
      <c r="F1314" s="2"/>
      <c r="G1314" s="11"/>
      <c r="H1314" s="11"/>
      <c r="I1314" s="2"/>
      <c r="J1314" s="2"/>
      <c r="K1314" s="2"/>
      <c r="L1314" s="10"/>
      <c r="M1314" s="9"/>
      <c r="N1314" s="2"/>
      <c r="O1314" s="2"/>
      <c r="P1314" s="2"/>
      <c r="Q1314" s="50"/>
      <c r="R1314" s="50"/>
      <c r="S1314" s="2">
        <f>IFERROR(VLOOKUP(A1314,IMPORT_DESISTENCIA!$A$2:$Q2273,14,0),"NÃO")</f>
        <v>0</v>
      </c>
      <c r="T1314" s="35"/>
    </row>
    <row r="1315" spans="1:20" ht="45" customHeight="1" x14ac:dyDescent="0.25">
      <c r="A1315" s="2" t="str">
        <f t="shared" si="1"/>
        <v/>
      </c>
      <c r="B1315" s="2"/>
      <c r="C1315" s="43"/>
      <c r="D1315" s="2"/>
      <c r="E1315" s="2"/>
      <c r="F1315" s="2"/>
      <c r="G1315" s="11"/>
      <c r="H1315" s="11"/>
      <c r="I1315" s="2"/>
      <c r="J1315" s="2"/>
      <c r="K1315" s="2"/>
      <c r="L1315" s="10"/>
      <c r="M1315" s="9"/>
      <c r="N1315" s="2"/>
      <c r="O1315" s="2"/>
      <c r="P1315" s="2"/>
      <c r="Q1315" s="50"/>
      <c r="R1315" s="50"/>
      <c r="S1315" s="2">
        <f>IFERROR(VLOOKUP(A1315,IMPORT_DESISTENCIA!$A$2:$Q2273,14,0),"NÃO")</f>
        <v>0</v>
      </c>
      <c r="T1315" s="35"/>
    </row>
    <row r="1316" spans="1:20" ht="45" customHeight="1" x14ac:dyDescent="0.25">
      <c r="A1316" s="2" t="str">
        <f t="shared" si="1"/>
        <v/>
      </c>
      <c r="B1316" s="2"/>
      <c r="C1316" s="43"/>
      <c r="D1316" s="2"/>
      <c r="E1316" s="2"/>
      <c r="F1316" s="2"/>
      <c r="G1316" s="11"/>
      <c r="H1316" s="11"/>
      <c r="I1316" s="2"/>
      <c r="J1316" s="2"/>
      <c r="K1316" s="2"/>
      <c r="L1316" s="10"/>
      <c r="M1316" s="9"/>
      <c r="N1316" s="2"/>
      <c r="O1316" s="2"/>
      <c r="P1316" s="2"/>
      <c r="Q1316" s="50"/>
      <c r="R1316" s="50"/>
      <c r="S1316" s="2">
        <f>IFERROR(VLOOKUP(A1316,IMPORT_DESISTENCIA!$A$2:$Q2273,14,0),"NÃO")</f>
        <v>0</v>
      </c>
      <c r="T1316" s="35"/>
    </row>
    <row r="1317" spans="1:20" ht="45" customHeight="1" x14ac:dyDescent="0.25">
      <c r="A1317" s="2" t="str">
        <f t="shared" si="1"/>
        <v/>
      </c>
      <c r="B1317" s="2"/>
      <c r="C1317" s="43"/>
      <c r="D1317" s="2"/>
      <c r="E1317" s="2"/>
      <c r="F1317" s="2"/>
      <c r="G1317" s="11"/>
      <c r="H1317" s="11"/>
      <c r="I1317" s="2"/>
      <c r="J1317" s="2"/>
      <c r="K1317" s="2"/>
      <c r="L1317" s="10"/>
      <c r="M1317" s="9"/>
      <c r="N1317" s="2"/>
      <c r="O1317" s="2"/>
      <c r="P1317" s="2"/>
      <c r="Q1317" s="50"/>
      <c r="R1317" s="50"/>
      <c r="S1317" s="2">
        <f>IFERROR(VLOOKUP(A1317,IMPORT_DESISTENCIA!$A$2:$Q2273,14,0),"NÃO")</f>
        <v>0</v>
      </c>
      <c r="T1317" s="35"/>
    </row>
    <row r="1318" spans="1:20" ht="45" customHeight="1" x14ac:dyDescent="0.25">
      <c r="A1318" s="2" t="str">
        <f t="shared" si="1"/>
        <v/>
      </c>
      <c r="B1318" s="2"/>
      <c r="C1318" s="43"/>
      <c r="D1318" s="2"/>
      <c r="E1318" s="2"/>
      <c r="F1318" s="2"/>
      <c r="G1318" s="11"/>
      <c r="H1318" s="11"/>
      <c r="I1318" s="2"/>
      <c r="J1318" s="2"/>
      <c r="K1318" s="2"/>
      <c r="L1318" s="10"/>
      <c r="M1318" s="9"/>
      <c r="N1318" s="2"/>
      <c r="O1318" s="2"/>
      <c r="P1318" s="2"/>
      <c r="Q1318" s="50"/>
      <c r="R1318" s="50"/>
      <c r="S1318" s="2">
        <f>IFERROR(VLOOKUP(A1318,IMPORT_DESISTENCIA!$A$2:$Q2273,14,0),"NÃO")</f>
        <v>0</v>
      </c>
      <c r="T1318" s="35"/>
    </row>
    <row r="1319" spans="1:20" ht="45" customHeight="1" x14ac:dyDescent="0.25">
      <c r="A1319" s="2" t="str">
        <f t="shared" si="1"/>
        <v/>
      </c>
      <c r="B1319" s="2"/>
      <c r="C1319" s="43"/>
      <c r="D1319" s="2"/>
      <c r="E1319" s="2"/>
      <c r="F1319" s="2"/>
      <c r="G1319" s="11"/>
      <c r="H1319" s="11"/>
      <c r="I1319" s="2"/>
      <c r="J1319" s="2"/>
      <c r="K1319" s="2"/>
      <c r="L1319" s="10"/>
      <c r="M1319" s="9"/>
      <c r="N1319" s="2"/>
      <c r="O1319" s="2"/>
      <c r="P1319" s="2"/>
      <c r="Q1319" s="50"/>
      <c r="R1319" s="50"/>
      <c r="S1319" s="2">
        <f>IFERROR(VLOOKUP(A1319,IMPORT_DESISTENCIA!$A$2:$Q2273,14,0),"NÃO")</f>
        <v>0</v>
      </c>
      <c r="T1319" s="35"/>
    </row>
    <row r="1320" spans="1:20" ht="45" customHeight="1" x14ac:dyDescent="0.25">
      <c r="A1320" s="2" t="str">
        <f t="shared" si="1"/>
        <v/>
      </c>
      <c r="B1320" s="2"/>
      <c r="C1320" s="43"/>
      <c r="D1320" s="2"/>
      <c r="E1320" s="2"/>
      <c r="F1320" s="2"/>
      <c r="G1320" s="11"/>
      <c r="H1320" s="11"/>
      <c r="I1320" s="2"/>
      <c r="J1320" s="2"/>
      <c r="K1320" s="2"/>
      <c r="L1320" s="10"/>
      <c r="M1320" s="9"/>
      <c r="N1320" s="2"/>
      <c r="O1320" s="2"/>
      <c r="P1320" s="2"/>
      <c r="Q1320" s="50"/>
      <c r="R1320" s="50"/>
      <c r="S1320" s="2">
        <f>IFERROR(VLOOKUP(A1320,IMPORT_DESISTENCIA!$A$2:$Q2273,14,0),"NÃO")</f>
        <v>0</v>
      </c>
      <c r="T1320" s="35"/>
    </row>
    <row r="1321" spans="1:20" ht="45" customHeight="1" x14ac:dyDescent="0.25">
      <c r="A1321" s="2" t="str">
        <f t="shared" si="1"/>
        <v/>
      </c>
      <c r="B1321" s="2"/>
      <c r="C1321" s="43"/>
      <c r="D1321" s="2"/>
      <c r="E1321" s="2"/>
      <c r="F1321" s="2"/>
      <c r="G1321" s="11"/>
      <c r="H1321" s="11"/>
      <c r="I1321" s="2"/>
      <c r="J1321" s="2"/>
      <c r="K1321" s="2"/>
      <c r="L1321" s="10"/>
      <c r="M1321" s="9"/>
      <c r="N1321" s="2"/>
      <c r="O1321" s="2"/>
      <c r="P1321" s="2"/>
      <c r="Q1321" s="50"/>
      <c r="R1321" s="50"/>
      <c r="S1321" s="2">
        <f>IFERROR(VLOOKUP(A1321,IMPORT_DESISTENCIA!$A$2:$Q2273,14,0),"NÃO")</f>
        <v>0</v>
      </c>
      <c r="T1321" s="35"/>
    </row>
    <row r="1322" spans="1:20" ht="45" customHeight="1" x14ac:dyDescent="0.25">
      <c r="A1322" s="2" t="str">
        <f t="shared" si="1"/>
        <v/>
      </c>
      <c r="B1322" s="2"/>
      <c r="C1322" s="43"/>
      <c r="D1322" s="2"/>
      <c r="E1322" s="2"/>
      <c r="F1322" s="2"/>
      <c r="G1322" s="11"/>
      <c r="H1322" s="11"/>
      <c r="I1322" s="2"/>
      <c r="J1322" s="2"/>
      <c r="K1322" s="2"/>
      <c r="L1322" s="10"/>
      <c r="M1322" s="9"/>
      <c r="N1322" s="2"/>
      <c r="O1322" s="2"/>
      <c r="P1322" s="2"/>
      <c r="Q1322" s="50"/>
      <c r="R1322" s="50"/>
      <c r="S1322" s="2">
        <f>IFERROR(VLOOKUP(A1322,IMPORT_DESISTENCIA!$A$2:$Q2273,14,0),"NÃO")</f>
        <v>0</v>
      </c>
      <c r="T1322" s="35"/>
    </row>
    <row r="1323" spans="1:20" ht="45" customHeight="1" x14ac:dyDescent="0.25">
      <c r="A1323" s="2" t="str">
        <f t="shared" si="1"/>
        <v/>
      </c>
      <c r="B1323" s="2"/>
      <c r="C1323" s="43"/>
      <c r="D1323" s="2"/>
      <c r="E1323" s="2"/>
      <c r="F1323" s="2"/>
      <c r="G1323" s="11"/>
      <c r="H1323" s="11"/>
      <c r="I1323" s="2"/>
      <c r="J1323" s="2"/>
      <c r="K1323" s="2"/>
      <c r="L1323" s="10"/>
      <c r="M1323" s="9"/>
      <c r="N1323" s="2"/>
      <c r="O1323" s="2"/>
      <c r="P1323" s="2"/>
      <c r="Q1323" s="50"/>
      <c r="R1323" s="50"/>
      <c r="S1323" s="2">
        <f>IFERROR(VLOOKUP(A1323,IMPORT_DESISTENCIA!$A$2:$Q2273,14,0),"NÃO")</f>
        <v>0</v>
      </c>
      <c r="T1323" s="35"/>
    </row>
    <row r="1324" spans="1:20" ht="45" customHeight="1" x14ac:dyDescent="0.25">
      <c r="A1324" s="2" t="str">
        <f t="shared" si="1"/>
        <v/>
      </c>
      <c r="B1324" s="2"/>
      <c r="C1324" s="43"/>
      <c r="D1324" s="2"/>
      <c r="E1324" s="2"/>
      <c r="F1324" s="2"/>
      <c r="G1324" s="11"/>
      <c r="H1324" s="11"/>
      <c r="I1324" s="2"/>
      <c r="J1324" s="2"/>
      <c r="K1324" s="2"/>
      <c r="L1324" s="10"/>
      <c r="M1324" s="9"/>
      <c r="N1324" s="2"/>
      <c r="O1324" s="2"/>
      <c r="P1324" s="2"/>
      <c r="Q1324" s="50"/>
      <c r="R1324" s="50"/>
      <c r="S1324" s="2">
        <f>IFERROR(VLOOKUP(A1324,IMPORT_DESISTENCIA!$A$2:$Q2273,14,0),"NÃO")</f>
        <v>0</v>
      </c>
      <c r="T1324" s="35"/>
    </row>
    <row r="1325" spans="1:20" ht="45" customHeight="1" x14ac:dyDescent="0.25">
      <c r="A1325" s="2" t="str">
        <f t="shared" si="1"/>
        <v/>
      </c>
      <c r="B1325" s="2"/>
      <c r="C1325" s="43"/>
      <c r="D1325" s="2"/>
      <c r="E1325" s="2"/>
      <c r="F1325" s="2"/>
      <c r="G1325" s="11"/>
      <c r="H1325" s="11"/>
      <c r="I1325" s="2"/>
      <c r="J1325" s="2"/>
      <c r="K1325" s="2"/>
      <c r="L1325" s="10"/>
      <c r="M1325" s="9"/>
      <c r="N1325" s="2"/>
      <c r="O1325" s="2"/>
      <c r="P1325" s="2"/>
      <c r="Q1325" s="50"/>
      <c r="R1325" s="50"/>
      <c r="S1325" s="2">
        <f>IFERROR(VLOOKUP(A1325,IMPORT_DESISTENCIA!$A$2:$Q2273,14,0),"NÃO")</f>
        <v>0</v>
      </c>
      <c r="T1325" s="35"/>
    </row>
    <row r="1326" spans="1:20" ht="45" customHeight="1" x14ac:dyDescent="0.25">
      <c r="A1326" s="2" t="str">
        <f t="shared" si="1"/>
        <v/>
      </c>
      <c r="B1326" s="2"/>
      <c r="C1326" s="43"/>
      <c r="D1326" s="2"/>
      <c r="E1326" s="2"/>
      <c r="F1326" s="2"/>
      <c r="G1326" s="11"/>
      <c r="H1326" s="11"/>
      <c r="I1326" s="2"/>
      <c r="J1326" s="2"/>
      <c r="K1326" s="2"/>
      <c r="L1326" s="10"/>
      <c r="M1326" s="9"/>
      <c r="N1326" s="2"/>
      <c r="O1326" s="2"/>
      <c r="P1326" s="2"/>
      <c r="Q1326" s="50"/>
      <c r="R1326" s="50"/>
      <c r="S1326" s="2">
        <f>IFERROR(VLOOKUP(A1326,IMPORT_DESISTENCIA!$A$2:$Q2273,14,0),"NÃO")</f>
        <v>0</v>
      </c>
      <c r="T1326" s="35"/>
    </row>
    <row r="1327" spans="1:20" ht="45" customHeight="1" x14ac:dyDescent="0.25">
      <c r="A1327" s="2" t="str">
        <f t="shared" si="1"/>
        <v/>
      </c>
      <c r="B1327" s="2"/>
      <c r="C1327" s="43"/>
      <c r="D1327" s="2"/>
      <c r="E1327" s="2"/>
      <c r="F1327" s="2"/>
      <c r="G1327" s="11"/>
      <c r="H1327" s="11"/>
      <c r="I1327" s="2"/>
      <c r="J1327" s="2"/>
      <c r="K1327" s="2"/>
      <c r="L1327" s="10"/>
      <c r="M1327" s="9"/>
      <c r="N1327" s="2"/>
      <c r="O1327" s="2"/>
      <c r="P1327" s="2"/>
      <c r="Q1327" s="50"/>
      <c r="R1327" s="50"/>
      <c r="S1327" s="2">
        <f>IFERROR(VLOOKUP(A1327,IMPORT_DESISTENCIA!$A$2:$Q2273,14,0),"NÃO")</f>
        <v>0</v>
      </c>
      <c r="T1327" s="35"/>
    </row>
    <row r="1328" spans="1:20" ht="45" customHeight="1" x14ac:dyDescent="0.25">
      <c r="A1328" s="2" t="str">
        <f t="shared" si="1"/>
        <v/>
      </c>
      <c r="B1328" s="2"/>
      <c r="C1328" s="43"/>
      <c r="D1328" s="2"/>
      <c r="E1328" s="2"/>
      <c r="F1328" s="2"/>
      <c r="G1328" s="11"/>
      <c r="H1328" s="11"/>
      <c r="I1328" s="2"/>
      <c r="J1328" s="2"/>
      <c r="K1328" s="2"/>
      <c r="L1328" s="10"/>
      <c r="M1328" s="9"/>
      <c r="N1328" s="2"/>
      <c r="O1328" s="2"/>
      <c r="P1328" s="2"/>
      <c r="Q1328" s="50"/>
      <c r="R1328" s="50"/>
      <c r="S1328" s="2">
        <f>IFERROR(VLOOKUP(A1328,IMPORT_DESISTENCIA!$A$2:$Q2273,14,0),"NÃO")</f>
        <v>0</v>
      </c>
      <c r="T1328" s="35"/>
    </row>
    <row r="1329" spans="1:20" ht="45" customHeight="1" x14ac:dyDescent="0.25">
      <c r="A1329" s="2" t="str">
        <f t="shared" si="1"/>
        <v/>
      </c>
      <c r="B1329" s="2"/>
      <c r="C1329" s="43"/>
      <c r="D1329" s="2"/>
      <c r="E1329" s="2"/>
      <c r="F1329" s="2"/>
      <c r="G1329" s="11"/>
      <c r="H1329" s="11"/>
      <c r="I1329" s="2"/>
      <c r="J1329" s="2"/>
      <c r="K1329" s="2"/>
      <c r="L1329" s="10"/>
      <c r="M1329" s="9"/>
      <c r="N1329" s="2"/>
      <c r="O1329" s="2"/>
      <c r="P1329" s="2"/>
      <c r="Q1329" s="50"/>
      <c r="R1329" s="50"/>
      <c r="S1329" s="2">
        <f>IFERROR(VLOOKUP(A1329,IMPORT_DESISTENCIA!$A$2:$Q2273,14,0),"NÃO")</f>
        <v>0</v>
      </c>
      <c r="T1329" s="35"/>
    </row>
    <row r="1330" spans="1:20" ht="45" customHeight="1" x14ac:dyDescent="0.25">
      <c r="A1330" s="2" t="str">
        <f t="shared" si="1"/>
        <v/>
      </c>
      <c r="B1330" s="2"/>
      <c r="C1330" s="43"/>
      <c r="D1330" s="2"/>
      <c r="E1330" s="2"/>
      <c r="F1330" s="2"/>
      <c r="G1330" s="11"/>
      <c r="H1330" s="11"/>
      <c r="I1330" s="2"/>
      <c r="J1330" s="2"/>
      <c r="K1330" s="2"/>
      <c r="L1330" s="10"/>
      <c r="M1330" s="9"/>
      <c r="N1330" s="2"/>
      <c r="O1330" s="2"/>
      <c r="P1330" s="2"/>
      <c r="Q1330" s="50"/>
      <c r="R1330" s="50"/>
      <c r="S1330" s="2">
        <f>IFERROR(VLOOKUP(A1330,IMPORT_DESISTENCIA!$A$2:$Q2273,14,0),"NÃO")</f>
        <v>0</v>
      </c>
      <c r="T1330" s="35"/>
    </row>
    <row r="1331" spans="1:20" ht="45" customHeight="1" x14ac:dyDescent="0.25">
      <c r="A1331" s="2" t="str">
        <f t="shared" si="1"/>
        <v/>
      </c>
      <c r="B1331" s="2"/>
      <c r="C1331" s="43"/>
      <c r="D1331" s="2"/>
      <c r="E1331" s="2"/>
      <c r="F1331" s="2"/>
      <c r="G1331" s="11"/>
      <c r="H1331" s="11"/>
      <c r="I1331" s="2"/>
      <c r="J1331" s="2"/>
      <c r="K1331" s="2"/>
      <c r="L1331" s="10"/>
      <c r="M1331" s="9"/>
      <c r="N1331" s="2"/>
      <c r="O1331" s="2"/>
      <c r="P1331" s="2"/>
      <c r="Q1331" s="50"/>
      <c r="R1331" s="50"/>
      <c r="S1331" s="2">
        <f>IFERROR(VLOOKUP(A1331,IMPORT_DESISTENCIA!$A$2:$Q2273,14,0),"NÃO")</f>
        <v>0</v>
      </c>
      <c r="T1331" s="35"/>
    </row>
    <row r="1332" spans="1:20" ht="45" customHeight="1" x14ac:dyDescent="0.25">
      <c r="A1332" s="2" t="str">
        <f t="shared" si="1"/>
        <v/>
      </c>
      <c r="B1332" s="2"/>
      <c r="C1332" s="43"/>
      <c r="D1332" s="2"/>
      <c r="E1332" s="2"/>
      <c r="F1332" s="2"/>
      <c r="G1332" s="11"/>
      <c r="H1332" s="11"/>
      <c r="I1332" s="2"/>
      <c r="J1332" s="2"/>
      <c r="K1332" s="2"/>
      <c r="L1332" s="10"/>
      <c r="M1332" s="9"/>
      <c r="N1332" s="2"/>
      <c r="O1332" s="2"/>
      <c r="P1332" s="2"/>
      <c r="Q1332" s="50"/>
      <c r="R1332" s="50"/>
      <c r="S1332" s="2">
        <f>IFERROR(VLOOKUP(A1332,IMPORT_DESISTENCIA!$A$2:$Q2273,14,0),"NÃO")</f>
        <v>0</v>
      </c>
      <c r="T1332" s="35"/>
    </row>
    <row r="1333" spans="1:20" ht="45" customHeight="1" x14ac:dyDescent="0.25">
      <c r="A1333" s="2" t="str">
        <f t="shared" si="1"/>
        <v/>
      </c>
      <c r="B1333" s="2"/>
      <c r="C1333" s="43"/>
      <c r="D1333" s="2"/>
      <c r="E1333" s="2"/>
      <c r="F1333" s="2"/>
      <c r="G1333" s="11"/>
      <c r="H1333" s="11"/>
      <c r="I1333" s="2"/>
      <c r="J1333" s="2"/>
      <c r="K1333" s="2"/>
      <c r="L1333" s="10"/>
      <c r="M1333" s="9"/>
      <c r="N1333" s="2"/>
      <c r="O1333" s="2"/>
      <c r="P1333" s="2"/>
      <c r="Q1333" s="50"/>
      <c r="R1333" s="50"/>
      <c r="S1333" s="2">
        <f>IFERROR(VLOOKUP(A1333,IMPORT_DESISTENCIA!$A$2:$Q2273,14,0),"NÃO")</f>
        <v>0</v>
      </c>
      <c r="T1333" s="35"/>
    </row>
    <row r="1334" spans="1:20" ht="45" customHeight="1" x14ac:dyDescent="0.25">
      <c r="A1334" s="2" t="str">
        <f t="shared" si="1"/>
        <v/>
      </c>
      <c r="B1334" s="2"/>
      <c r="C1334" s="43"/>
      <c r="D1334" s="2"/>
      <c r="E1334" s="2"/>
      <c r="F1334" s="2"/>
      <c r="G1334" s="11"/>
      <c r="H1334" s="11"/>
      <c r="I1334" s="2"/>
      <c r="J1334" s="2"/>
      <c r="K1334" s="2"/>
      <c r="L1334" s="10"/>
      <c r="M1334" s="9"/>
      <c r="N1334" s="2"/>
      <c r="O1334" s="2"/>
      <c r="P1334" s="2"/>
      <c r="Q1334" s="50"/>
      <c r="R1334" s="50"/>
      <c r="S1334" s="2">
        <f>IFERROR(VLOOKUP(A1334,IMPORT_DESISTENCIA!$A$2:$Q2273,14,0),"NÃO")</f>
        <v>0</v>
      </c>
      <c r="T1334" s="35"/>
    </row>
    <row r="1335" spans="1:20" ht="45" customHeight="1" x14ac:dyDescent="0.25">
      <c r="A1335" s="2" t="str">
        <f t="shared" si="1"/>
        <v/>
      </c>
      <c r="B1335" s="2"/>
      <c r="C1335" s="43"/>
      <c r="D1335" s="2"/>
      <c r="E1335" s="2"/>
      <c r="F1335" s="2"/>
      <c r="G1335" s="11"/>
      <c r="H1335" s="11"/>
      <c r="I1335" s="2"/>
      <c r="J1335" s="2"/>
      <c r="K1335" s="2"/>
      <c r="L1335" s="10"/>
      <c r="M1335" s="9"/>
      <c r="N1335" s="2"/>
      <c r="O1335" s="2"/>
      <c r="P1335" s="2"/>
      <c r="Q1335" s="50"/>
      <c r="R1335" s="50"/>
      <c r="S1335" s="2">
        <f>IFERROR(VLOOKUP(A1335,IMPORT_DESISTENCIA!$A$2:$Q2273,14,0),"NÃO")</f>
        <v>0</v>
      </c>
      <c r="T1335" s="35"/>
    </row>
    <row r="1336" spans="1:20" ht="45" customHeight="1" x14ac:dyDescent="0.25">
      <c r="A1336" s="2" t="str">
        <f t="shared" si="1"/>
        <v/>
      </c>
      <c r="B1336" s="2"/>
      <c r="C1336" s="43"/>
      <c r="D1336" s="2"/>
      <c r="E1336" s="2"/>
      <c r="F1336" s="2"/>
      <c r="G1336" s="11"/>
      <c r="H1336" s="11"/>
      <c r="I1336" s="2"/>
      <c r="J1336" s="2"/>
      <c r="K1336" s="2"/>
      <c r="L1336" s="10"/>
      <c r="M1336" s="9"/>
      <c r="N1336" s="2"/>
      <c r="O1336" s="2"/>
      <c r="P1336" s="2"/>
      <c r="Q1336" s="50"/>
      <c r="R1336" s="50"/>
      <c r="S1336" s="2">
        <f>IFERROR(VLOOKUP(A1336,IMPORT_DESISTENCIA!$A$2:$Q2273,14,0),"NÃO")</f>
        <v>0</v>
      </c>
      <c r="T1336" s="35"/>
    </row>
    <row r="1337" spans="1:20" ht="45" customHeight="1" x14ac:dyDescent="0.25">
      <c r="A1337" s="2" t="str">
        <f t="shared" si="1"/>
        <v/>
      </c>
      <c r="B1337" s="2"/>
      <c r="C1337" s="43"/>
      <c r="D1337" s="2"/>
      <c r="E1337" s="2"/>
      <c r="F1337" s="2"/>
      <c r="G1337" s="11"/>
      <c r="H1337" s="11"/>
      <c r="I1337" s="2"/>
      <c r="J1337" s="2"/>
      <c r="K1337" s="2"/>
      <c r="L1337" s="10"/>
      <c r="M1337" s="9"/>
      <c r="N1337" s="2"/>
      <c r="O1337" s="2"/>
      <c r="P1337" s="2"/>
      <c r="Q1337" s="50"/>
      <c r="R1337" s="50"/>
      <c r="S1337" s="2">
        <f>IFERROR(VLOOKUP(A1337,IMPORT_DESISTENCIA!$A$2:$Q2273,14,0),"NÃO")</f>
        <v>0</v>
      </c>
      <c r="T1337" s="35"/>
    </row>
    <row r="1338" spans="1:20" ht="45" customHeight="1" x14ac:dyDescent="0.25">
      <c r="A1338" s="2" t="str">
        <f t="shared" si="1"/>
        <v/>
      </c>
      <c r="B1338" s="2"/>
      <c r="C1338" s="43"/>
      <c r="D1338" s="2"/>
      <c r="E1338" s="2"/>
      <c r="F1338" s="2"/>
      <c r="G1338" s="11"/>
      <c r="H1338" s="11"/>
      <c r="I1338" s="2"/>
      <c r="J1338" s="2"/>
      <c r="K1338" s="2"/>
      <c r="L1338" s="10"/>
      <c r="M1338" s="9"/>
      <c r="N1338" s="2"/>
      <c r="O1338" s="2"/>
      <c r="P1338" s="2"/>
      <c r="Q1338" s="50"/>
      <c r="R1338" s="50"/>
      <c r="S1338" s="2">
        <f>IFERROR(VLOOKUP(A1338,IMPORT_DESISTENCIA!$A$2:$Q2273,14,0),"NÃO")</f>
        <v>0</v>
      </c>
      <c r="T1338" s="35"/>
    </row>
    <row r="1339" spans="1:20" ht="45" customHeight="1" x14ac:dyDescent="0.25">
      <c r="A1339" s="2" t="str">
        <f t="shared" si="1"/>
        <v/>
      </c>
      <c r="B1339" s="2"/>
      <c r="C1339" s="43"/>
      <c r="D1339" s="2"/>
      <c r="E1339" s="2"/>
      <c r="F1339" s="2"/>
      <c r="G1339" s="11"/>
      <c r="H1339" s="11"/>
      <c r="I1339" s="2"/>
      <c r="J1339" s="2"/>
      <c r="K1339" s="2"/>
      <c r="L1339" s="10"/>
      <c r="M1339" s="9"/>
      <c r="N1339" s="2"/>
      <c r="O1339" s="2"/>
      <c r="P1339" s="2"/>
      <c r="Q1339" s="50"/>
      <c r="R1339" s="50"/>
      <c r="S1339" s="2">
        <f>IFERROR(VLOOKUP(A1339,IMPORT_DESISTENCIA!$A$2:$Q2273,14,0),"NÃO")</f>
        <v>0</v>
      </c>
      <c r="T1339" s="35"/>
    </row>
    <row r="1340" spans="1:20" ht="45" customHeight="1" x14ac:dyDescent="0.25">
      <c r="A1340" s="2" t="str">
        <f t="shared" si="1"/>
        <v/>
      </c>
      <c r="B1340" s="2"/>
      <c r="C1340" s="43"/>
      <c r="D1340" s="2"/>
      <c r="E1340" s="2"/>
      <c r="F1340" s="2"/>
      <c r="G1340" s="11"/>
      <c r="H1340" s="11"/>
      <c r="I1340" s="2"/>
      <c r="J1340" s="2"/>
      <c r="K1340" s="2"/>
      <c r="L1340" s="10"/>
      <c r="M1340" s="9"/>
      <c r="N1340" s="2"/>
      <c r="O1340" s="2"/>
      <c r="P1340" s="2"/>
      <c r="Q1340" s="50"/>
      <c r="R1340" s="50"/>
      <c r="S1340" s="2">
        <f>IFERROR(VLOOKUP(A1340,IMPORT_DESISTENCIA!$A$2:$Q2273,14,0),"NÃO")</f>
        <v>0</v>
      </c>
      <c r="T1340" s="35"/>
    </row>
    <row r="1341" spans="1:20" ht="45" customHeight="1" x14ac:dyDescent="0.25">
      <c r="A1341" s="2" t="str">
        <f t="shared" si="1"/>
        <v/>
      </c>
      <c r="B1341" s="2"/>
      <c r="C1341" s="43"/>
      <c r="D1341" s="2"/>
      <c r="E1341" s="2"/>
      <c r="F1341" s="2"/>
      <c r="G1341" s="11"/>
      <c r="H1341" s="11"/>
      <c r="I1341" s="2"/>
      <c r="J1341" s="2"/>
      <c r="K1341" s="2"/>
      <c r="L1341" s="10"/>
      <c r="M1341" s="9"/>
      <c r="N1341" s="2"/>
      <c r="O1341" s="2"/>
      <c r="P1341" s="2"/>
      <c r="Q1341" s="50"/>
      <c r="R1341" s="50"/>
      <c r="S1341" s="2">
        <f>IFERROR(VLOOKUP(A1341,IMPORT_DESISTENCIA!$A$2:$Q2273,14,0),"NÃO")</f>
        <v>0</v>
      </c>
      <c r="T1341" s="35"/>
    </row>
    <row r="1342" spans="1:20" ht="45" customHeight="1" x14ac:dyDescent="0.25">
      <c r="A1342" s="2" t="str">
        <f t="shared" si="1"/>
        <v/>
      </c>
      <c r="B1342" s="2"/>
      <c r="C1342" s="43"/>
      <c r="D1342" s="2"/>
      <c r="E1342" s="2"/>
      <c r="F1342" s="2"/>
      <c r="G1342" s="11"/>
      <c r="H1342" s="11"/>
      <c r="I1342" s="2"/>
      <c r="J1342" s="2"/>
      <c r="K1342" s="2"/>
      <c r="L1342" s="10"/>
      <c r="M1342" s="9"/>
      <c r="N1342" s="2"/>
      <c r="O1342" s="2"/>
      <c r="P1342" s="2"/>
      <c r="Q1342" s="50"/>
      <c r="R1342" s="50"/>
      <c r="S1342" s="2">
        <f>IFERROR(VLOOKUP(A1342,IMPORT_DESISTENCIA!$A$2:$Q2273,14,0),"NÃO")</f>
        <v>0</v>
      </c>
      <c r="T1342" s="35"/>
    </row>
    <row r="1343" spans="1:20" ht="45" customHeight="1" x14ac:dyDescent="0.25">
      <c r="A1343" s="2" t="str">
        <f t="shared" si="1"/>
        <v/>
      </c>
      <c r="B1343" s="2"/>
      <c r="C1343" s="43"/>
      <c r="D1343" s="2"/>
      <c r="E1343" s="2"/>
      <c r="F1343" s="2"/>
      <c r="G1343" s="11"/>
      <c r="H1343" s="11"/>
      <c r="I1343" s="2"/>
      <c r="J1343" s="2"/>
      <c r="K1343" s="2"/>
      <c r="L1343" s="10"/>
      <c r="M1343" s="9"/>
      <c r="N1343" s="2"/>
      <c r="O1343" s="2"/>
      <c r="P1343" s="2"/>
      <c r="Q1343" s="50"/>
      <c r="R1343" s="50"/>
      <c r="S1343" s="2">
        <f>IFERROR(VLOOKUP(A1343,IMPORT_DESISTENCIA!$A$2:$Q2273,14,0),"NÃO")</f>
        <v>0</v>
      </c>
      <c r="T1343" s="35"/>
    </row>
    <row r="1344" spans="1:20" ht="45" customHeight="1" x14ac:dyDescent="0.25">
      <c r="A1344" s="2" t="str">
        <f t="shared" si="1"/>
        <v/>
      </c>
      <c r="B1344" s="2"/>
      <c r="C1344" s="43"/>
      <c r="D1344" s="2"/>
      <c r="E1344" s="2"/>
      <c r="F1344" s="2"/>
      <c r="G1344" s="11"/>
      <c r="H1344" s="11"/>
      <c r="I1344" s="2"/>
      <c r="J1344" s="2"/>
      <c r="K1344" s="2"/>
      <c r="L1344" s="10"/>
      <c r="M1344" s="9"/>
      <c r="N1344" s="2"/>
      <c r="O1344" s="2"/>
      <c r="P1344" s="2"/>
      <c r="Q1344" s="50"/>
      <c r="R1344" s="50"/>
      <c r="S1344" s="2">
        <f>IFERROR(VLOOKUP(A1344,IMPORT_DESISTENCIA!$A$2:$Q2273,14,0),"NÃO")</f>
        <v>0</v>
      </c>
      <c r="T1344" s="35"/>
    </row>
    <row r="1345" spans="1:20" ht="45" customHeight="1" x14ac:dyDescent="0.25">
      <c r="A1345" s="2" t="str">
        <f t="shared" si="1"/>
        <v/>
      </c>
      <c r="B1345" s="2"/>
      <c r="C1345" s="43"/>
      <c r="D1345" s="2"/>
      <c r="E1345" s="2"/>
      <c r="F1345" s="2"/>
      <c r="G1345" s="11"/>
      <c r="H1345" s="11"/>
      <c r="I1345" s="2"/>
      <c r="J1345" s="2"/>
      <c r="K1345" s="2"/>
      <c r="L1345" s="10"/>
      <c r="M1345" s="9"/>
      <c r="N1345" s="2"/>
      <c r="O1345" s="2"/>
      <c r="P1345" s="2"/>
      <c r="Q1345" s="50"/>
      <c r="R1345" s="50"/>
      <c r="S1345" s="2">
        <f>IFERROR(VLOOKUP(A1345,IMPORT_DESISTENCIA!$A$2:$Q2273,14,0),"NÃO")</f>
        <v>0</v>
      </c>
      <c r="T1345" s="35"/>
    </row>
    <row r="1346" spans="1:20" ht="45" customHeight="1" x14ac:dyDescent="0.25">
      <c r="A1346" s="2" t="str">
        <f t="shared" si="1"/>
        <v/>
      </c>
      <c r="B1346" s="2"/>
      <c r="C1346" s="43"/>
      <c r="D1346" s="2"/>
      <c r="E1346" s="2"/>
      <c r="F1346" s="2"/>
      <c r="G1346" s="11"/>
      <c r="H1346" s="11"/>
      <c r="I1346" s="2"/>
      <c r="J1346" s="2"/>
      <c r="K1346" s="2"/>
      <c r="L1346" s="10"/>
      <c r="M1346" s="9"/>
      <c r="N1346" s="2"/>
      <c r="O1346" s="2"/>
      <c r="P1346" s="2"/>
      <c r="Q1346" s="50"/>
      <c r="R1346" s="50"/>
      <c r="S1346" s="2">
        <f>IFERROR(VLOOKUP(A1346,IMPORT_DESISTENCIA!$A$2:$Q2273,14,0),"NÃO")</f>
        <v>0</v>
      </c>
      <c r="T1346" s="35"/>
    </row>
    <row r="1347" spans="1:20" ht="45" customHeight="1" x14ac:dyDescent="0.25">
      <c r="A1347" s="2" t="str">
        <f t="shared" si="1"/>
        <v/>
      </c>
      <c r="B1347" s="2"/>
      <c r="C1347" s="43"/>
      <c r="D1347" s="2"/>
      <c r="E1347" s="2"/>
      <c r="F1347" s="2"/>
      <c r="G1347" s="11"/>
      <c r="H1347" s="11"/>
      <c r="I1347" s="2"/>
      <c r="J1347" s="2"/>
      <c r="K1347" s="2"/>
      <c r="L1347" s="10"/>
      <c r="M1347" s="9"/>
      <c r="N1347" s="2"/>
      <c r="O1347" s="2"/>
      <c r="P1347" s="2"/>
      <c r="Q1347" s="50"/>
      <c r="R1347" s="50"/>
      <c r="S1347" s="2">
        <f>IFERROR(VLOOKUP(A1347,IMPORT_DESISTENCIA!$A$2:$Q2273,14,0),"NÃO")</f>
        <v>0</v>
      </c>
      <c r="T1347" s="35"/>
    </row>
    <row r="1348" spans="1:20" ht="45" customHeight="1" x14ac:dyDescent="0.25">
      <c r="A1348" s="2" t="str">
        <f t="shared" si="1"/>
        <v/>
      </c>
      <c r="B1348" s="2"/>
      <c r="C1348" s="43"/>
      <c r="D1348" s="2"/>
      <c r="E1348" s="2"/>
      <c r="F1348" s="2"/>
      <c r="G1348" s="11"/>
      <c r="H1348" s="11"/>
      <c r="I1348" s="2"/>
      <c r="J1348" s="2"/>
      <c r="K1348" s="2"/>
      <c r="L1348" s="10"/>
      <c r="M1348" s="9"/>
      <c r="N1348" s="2"/>
      <c r="O1348" s="2"/>
      <c r="P1348" s="2"/>
      <c r="Q1348" s="50"/>
      <c r="R1348" s="50"/>
      <c r="S1348" s="2">
        <f>IFERROR(VLOOKUP(A1348,IMPORT_DESISTENCIA!$A$2:$Q2273,14,0),"NÃO")</f>
        <v>0</v>
      </c>
      <c r="T1348" s="35"/>
    </row>
    <row r="1349" spans="1:20" ht="45" customHeight="1" x14ac:dyDescent="0.25">
      <c r="A1349" s="2" t="str">
        <f t="shared" si="1"/>
        <v/>
      </c>
      <c r="B1349" s="2"/>
      <c r="C1349" s="43"/>
      <c r="D1349" s="2"/>
      <c r="E1349" s="2"/>
      <c r="F1349" s="2"/>
      <c r="G1349" s="11"/>
      <c r="H1349" s="11"/>
      <c r="I1349" s="2"/>
      <c r="J1349" s="2"/>
      <c r="K1349" s="2"/>
      <c r="L1349" s="10"/>
      <c r="M1349" s="9"/>
      <c r="N1349" s="2"/>
      <c r="O1349" s="2"/>
      <c r="P1349" s="2"/>
      <c r="Q1349" s="50"/>
      <c r="R1349" s="50"/>
      <c r="S1349" s="2">
        <f>IFERROR(VLOOKUP(A1349,IMPORT_DESISTENCIA!$A$2:$Q2273,14,0),"NÃO")</f>
        <v>0</v>
      </c>
      <c r="T1349" s="35"/>
    </row>
    <row r="1350" spans="1:20" ht="45" customHeight="1" x14ac:dyDescent="0.25">
      <c r="A1350" s="2" t="str">
        <f t="shared" si="1"/>
        <v/>
      </c>
      <c r="B1350" s="2"/>
      <c r="C1350" s="43"/>
      <c r="D1350" s="2"/>
      <c r="E1350" s="2"/>
      <c r="F1350" s="2"/>
      <c r="G1350" s="11"/>
      <c r="H1350" s="11"/>
      <c r="I1350" s="2"/>
      <c r="J1350" s="2"/>
      <c r="K1350" s="2"/>
      <c r="L1350" s="10"/>
      <c r="M1350" s="9"/>
      <c r="N1350" s="2"/>
      <c r="O1350" s="2"/>
      <c r="P1350" s="2"/>
      <c r="Q1350" s="50"/>
      <c r="R1350" s="50"/>
      <c r="S1350" s="2">
        <f>IFERROR(VLOOKUP(A1350,IMPORT_DESISTENCIA!$A$2:$Q2273,14,0),"NÃO")</f>
        <v>0</v>
      </c>
      <c r="T1350" s="35"/>
    </row>
    <row r="1351" spans="1:20" ht="45" customHeight="1" x14ac:dyDescent="0.25">
      <c r="A1351" s="2" t="str">
        <f t="shared" si="1"/>
        <v/>
      </c>
      <c r="B1351" s="2"/>
      <c r="C1351" s="43"/>
      <c r="D1351" s="2"/>
      <c r="E1351" s="2"/>
      <c r="F1351" s="2"/>
      <c r="G1351" s="11"/>
      <c r="H1351" s="11"/>
      <c r="I1351" s="2"/>
      <c r="J1351" s="2"/>
      <c r="K1351" s="2"/>
      <c r="L1351" s="10"/>
      <c r="M1351" s="9"/>
      <c r="N1351" s="2"/>
      <c r="O1351" s="2"/>
      <c r="P1351" s="2"/>
      <c r="Q1351" s="50"/>
      <c r="R1351" s="50"/>
      <c r="S1351" s="2">
        <f>IFERROR(VLOOKUP(A1351,IMPORT_DESISTENCIA!$A$2:$Q2273,14,0),"NÃO")</f>
        <v>0</v>
      </c>
      <c r="T1351" s="35"/>
    </row>
    <row r="1352" spans="1:20" ht="45" customHeight="1" x14ac:dyDescent="0.25">
      <c r="A1352" s="2" t="str">
        <f t="shared" si="1"/>
        <v/>
      </c>
      <c r="B1352" s="2"/>
      <c r="C1352" s="43"/>
      <c r="D1352" s="2"/>
      <c r="E1352" s="2"/>
      <c r="F1352" s="2"/>
      <c r="G1352" s="11"/>
      <c r="H1352" s="11"/>
      <c r="I1352" s="2"/>
      <c r="J1352" s="2"/>
      <c r="K1352" s="2"/>
      <c r="L1352" s="10"/>
      <c r="M1352" s="9"/>
      <c r="N1352" s="2"/>
      <c r="O1352" s="2"/>
      <c r="P1352" s="2"/>
      <c r="Q1352" s="50"/>
      <c r="R1352" s="50"/>
      <c r="S1352" s="2">
        <f>IFERROR(VLOOKUP(A1352,IMPORT_DESISTENCIA!$A$2:$Q2273,14,0),"NÃO")</f>
        <v>0</v>
      </c>
      <c r="T1352" s="35"/>
    </row>
    <row r="1353" spans="1:20" ht="45" customHeight="1" x14ac:dyDescent="0.25">
      <c r="A1353" s="2" t="str">
        <f t="shared" si="1"/>
        <v/>
      </c>
      <c r="B1353" s="2"/>
      <c r="C1353" s="43"/>
      <c r="D1353" s="2"/>
      <c r="E1353" s="2"/>
      <c r="F1353" s="2"/>
      <c r="G1353" s="11"/>
      <c r="H1353" s="11"/>
      <c r="I1353" s="2"/>
      <c r="J1353" s="2"/>
      <c r="K1353" s="2"/>
      <c r="L1353" s="10"/>
      <c r="M1353" s="9"/>
      <c r="N1353" s="2"/>
      <c r="O1353" s="2"/>
      <c r="P1353" s="2"/>
      <c r="Q1353" s="50"/>
      <c r="R1353" s="50"/>
      <c r="S1353" s="2">
        <f>IFERROR(VLOOKUP(A1353,IMPORT_DESISTENCIA!$A$2:$Q2273,14,0),"NÃO")</f>
        <v>0</v>
      </c>
      <c r="T1353" s="35"/>
    </row>
    <row r="1354" spans="1:20" ht="45" customHeight="1" x14ac:dyDescent="0.25">
      <c r="A1354" s="2" t="str">
        <f t="shared" si="1"/>
        <v/>
      </c>
      <c r="B1354" s="2"/>
      <c r="C1354" s="43"/>
      <c r="D1354" s="2"/>
      <c r="E1354" s="2"/>
      <c r="F1354" s="2"/>
      <c r="G1354" s="11"/>
      <c r="H1354" s="11"/>
      <c r="I1354" s="2"/>
      <c r="J1354" s="2"/>
      <c r="K1354" s="2"/>
      <c r="L1354" s="10"/>
      <c r="M1354" s="9"/>
      <c r="N1354" s="2"/>
      <c r="O1354" s="2"/>
      <c r="P1354" s="2"/>
      <c r="Q1354" s="50"/>
      <c r="R1354" s="50"/>
      <c r="S1354" s="2">
        <f>IFERROR(VLOOKUP(A1354,IMPORT_DESISTENCIA!$A$2:$Q2273,14,0),"NÃO")</f>
        <v>0</v>
      </c>
      <c r="T1354" s="35"/>
    </row>
    <row r="1355" spans="1:20" ht="45" customHeight="1" x14ac:dyDescent="0.25">
      <c r="A1355" s="2" t="str">
        <f t="shared" si="1"/>
        <v/>
      </c>
      <c r="B1355" s="2"/>
      <c r="C1355" s="43"/>
      <c r="D1355" s="2"/>
      <c r="E1355" s="2"/>
      <c r="F1355" s="2"/>
      <c r="G1355" s="11"/>
      <c r="H1355" s="11"/>
      <c r="I1355" s="2"/>
      <c r="J1355" s="2"/>
      <c r="K1355" s="2"/>
      <c r="L1355" s="10"/>
      <c r="M1355" s="9"/>
      <c r="N1355" s="2"/>
      <c r="O1355" s="2"/>
      <c r="P1355" s="2"/>
      <c r="Q1355" s="50"/>
      <c r="R1355" s="50"/>
      <c r="S1355" s="2">
        <f>IFERROR(VLOOKUP(A1355,IMPORT_DESISTENCIA!$A$2:$Q2273,14,0),"NÃO")</f>
        <v>0</v>
      </c>
      <c r="T1355" s="35"/>
    </row>
    <row r="1356" spans="1:20" ht="45" customHeight="1" x14ac:dyDescent="0.25">
      <c r="A1356" s="2" t="str">
        <f t="shared" si="1"/>
        <v/>
      </c>
      <c r="B1356" s="2"/>
      <c r="C1356" s="43"/>
      <c r="D1356" s="2"/>
      <c r="E1356" s="2"/>
      <c r="F1356" s="2"/>
      <c r="G1356" s="11"/>
      <c r="H1356" s="11"/>
      <c r="I1356" s="2"/>
      <c r="J1356" s="2"/>
      <c r="K1356" s="2"/>
      <c r="L1356" s="10"/>
      <c r="M1356" s="9"/>
      <c r="N1356" s="2"/>
      <c r="O1356" s="2"/>
      <c r="P1356" s="2"/>
      <c r="Q1356" s="50"/>
      <c r="R1356" s="50"/>
      <c r="S1356" s="2">
        <f>IFERROR(VLOOKUP(A1356,IMPORT_DESISTENCIA!$A$2:$Q2273,14,0),"NÃO")</f>
        <v>0</v>
      </c>
      <c r="T1356" s="35"/>
    </row>
    <row r="1357" spans="1:20" ht="45" customHeight="1" x14ac:dyDescent="0.25">
      <c r="A1357" s="2" t="str">
        <f t="shared" si="1"/>
        <v/>
      </c>
      <c r="B1357" s="2"/>
      <c r="C1357" s="43"/>
      <c r="D1357" s="2"/>
      <c r="E1357" s="2"/>
      <c r="F1357" s="2"/>
      <c r="G1357" s="11"/>
      <c r="H1357" s="11"/>
      <c r="I1357" s="2"/>
      <c r="J1357" s="2"/>
      <c r="K1357" s="2"/>
      <c r="L1357" s="10"/>
      <c r="M1357" s="9"/>
      <c r="N1357" s="2"/>
      <c r="O1357" s="2"/>
      <c r="P1357" s="2"/>
      <c r="Q1357" s="50"/>
      <c r="R1357" s="50"/>
      <c r="S1357" s="2">
        <f>IFERROR(VLOOKUP(A1357,IMPORT_DESISTENCIA!$A$2:$Q2273,14,0),"NÃO")</f>
        <v>0</v>
      </c>
      <c r="T1357" s="35"/>
    </row>
    <row r="1358" spans="1:20" ht="45" customHeight="1" x14ac:dyDescent="0.25">
      <c r="A1358" s="2" t="str">
        <f t="shared" si="1"/>
        <v/>
      </c>
      <c r="B1358" s="2"/>
      <c r="C1358" s="43"/>
      <c r="D1358" s="2"/>
      <c r="E1358" s="2"/>
      <c r="F1358" s="2"/>
      <c r="G1358" s="11"/>
      <c r="H1358" s="11"/>
      <c r="I1358" s="2"/>
      <c r="J1358" s="2"/>
      <c r="K1358" s="2"/>
      <c r="L1358" s="10"/>
      <c r="M1358" s="9"/>
      <c r="N1358" s="2"/>
      <c r="O1358" s="2"/>
      <c r="P1358" s="2"/>
      <c r="Q1358" s="50"/>
      <c r="R1358" s="50"/>
      <c r="S1358" s="2">
        <f>IFERROR(VLOOKUP(A1358,IMPORT_DESISTENCIA!$A$2:$Q2273,14,0),"NÃO")</f>
        <v>0</v>
      </c>
      <c r="T1358" s="35"/>
    </row>
    <row r="1359" spans="1:20" ht="45" customHeight="1" x14ac:dyDescent="0.25">
      <c r="A1359" s="2" t="str">
        <f t="shared" si="1"/>
        <v/>
      </c>
      <c r="B1359" s="2"/>
      <c r="C1359" s="43"/>
      <c r="D1359" s="2"/>
      <c r="E1359" s="2"/>
      <c r="F1359" s="2"/>
      <c r="G1359" s="11"/>
      <c r="H1359" s="11"/>
      <c r="I1359" s="2"/>
      <c r="J1359" s="2"/>
      <c r="K1359" s="2"/>
      <c r="L1359" s="10"/>
      <c r="M1359" s="9"/>
      <c r="N1359" s="2"/>
      <c r="O1359" s="2"/>
      <c r="P1359" s="2"/>
      <c r="Q1359" s="50"/>
      <c r="R1359" s="50"/>
      <c r="S1359" s="2">
        <f>IFERROR(VLOOKUP(A1359,IMPORT_DESISTENCIA!$A$2:$Q2273,14,0),"NÃO")</f>
        <v>0</v>
      </c>
      <c r="T1359" s="35"/>
    </row>
    <row r="1360" spans="1:20" ht="45" customHeight="1" x14ac:dyDescent="0.25">
      <c r="A1360" s="2" t="str">
        <f t="shared" si="1"/>
        <v/>
      </c>
      <c r="B1360" s="2"/>
      <c r="C1360" s="43"/>
      <c r="D1360" s="2"/>
      <c r="E1360" s="2"/>
      <c r="F1360" s="2"/>
      <c r="G1360" s="11"/>
      <c r="H1360" s="11"/>
      <c r="I1360" s="2"/>
      <c r="J1360" s="2"/>
      <c r="K1360" s="2"/>
      <c r="L1360" s="10"/>
      <c r="M1360" s="9"/>
      <c r="N1360" s="2"/>
      <c r="O1360" s="2"/>
      <c r="P1360" s="2"/>
      <c r="Q1360" s="50"/>
      <c r="R1360" s="50"/>
      <c r="S1360" s="2">
        <f>IFERROR(VLOOKUP(A1360,IMPORT_DESISTENCIA!$A$2:$Q2273,14,0),"NÃO")</f>
        <v>0</v>
      </c>
      <c r="T1360" s="35"/>
    </row>
    <row r="1361" spans="1:20" ht="45" customHeight="1" x14ac:dyDescent="0.25">
      <c r="A1361" s="2" t="str">
        <f t="shared" si="1"/>
        <v/>
      </c>
      <c r="B1361" s="2"/>
      <c r="C1361" s="43"/>
      <c r="D1361" s="2"/>
      <c r="E1361" s="2"/>
      <c r="F1361" s="2"/>
      <c r="G1361" s="11"/>
      <c r="H1361" s="11"/>
      <c r="I1361" s="2"/>
      <c r="J1361" s="2"/>
      <c r="K1361" s="2"/>
      <c r="L1361" s="10"/>
      <c r="M1361" s="9"/>
      <c r="N1361" s="2"/>
      <c r="O1361" s="2"/>
      <c r="P1361" s="2"/>
      <c r="Q1361" s="50"/>
      <c r="R1361" s="50"/>
      <c r="S1361" s="2">
        <f>IFERROR(VLOOKUP(A1361,IMPORT_DESISTENCIA!$A$2:$Q2273,14,0),"NÃO")</f>
        <v>0</v>
      </c>
      <c r="T1361" s="35"/>
    </row>
    <row r="1362" spans="1:20" ht="45" customHeight="1" x14ac:dyDescent="0.25">
      <c r="A1362" s="2" t="str">
        <f t="shared" si="1"/>
        <v/>
      </c>
      <c r="B1362" s="2"/>
      <c r="C1362" s="43"/>
      <c r="D1362" s="2"/>
      <c r="E1362" s="2"/>
      <c r="F1362" s="2"/>
      <c r="G1362" s="11"/>
      <c r="H1362" s="11"/>
      <c r="I1362" s="2"/>
      <c r="J1362" s="2"/>
      <c r="K1362" s="2"/>
      <c r="L1362" s="10"/>
      <c r="M1362" s="9"/>
      <c r="N1362" s="2"/>
      <c r="O1362" s="2"/>
      <c r="P1362" s="2"/>
      <c r="Q1362" s="50"/>
      <c r="R1362" s="50"/>
      <c r="S1362" s="2">
        <f>IFERROR(VLOOKUP(A1362,IMPORT_DESISTENCIA!$A$2:$Q2273,14,0),"NÃO")</f>
        <v>0</v>
      </c>
      <c r="T1362" s="35"/>
    </row>
    <row r="1363" spans="1:20" ht="45" customHeight="1" x14ac:dyDescent="0.25">
      <c r="A1363" s="2" t="str">
        <f t="shared" si="1"/>
        <v/>
      </c>
      <c r="B1363" s="2"/>
      <c r="C1363" s="43"/>
      <c r="D1363" s="2"/>
      <c r="E1363" s="2"/>
      <c r="F1363" s="2"/>
      <c r="G1363" s="11"/>
      <c r="H1363" s="11"/>
      <c r="I1363" s="2"/>
      <c r="J1363" s="2"/>
      <c r="K1363" s="2"/>
      <c r="L1363" s="10"/>
      <c r="M1363" s="9"/>
      <c r="N1363" s="2"/>
      <c r="O1363" s="2"/>
      <c r="P1363" s="2"/>
      <c r="Q1363" s="50"/>
      <c r="R1363" s="50"/>
      <c r="S1363" s="2">
        <f>IFERROR(VLOOKUP(A1363,IMPORT_DESISTENCIA!$A$2:$Q2273,14,0),"NÃO")</f>
        <v>0</v>
      </c>
      <c r="T1363" s="35"/>
    </row>
    <row r="1364" spans="1:20" ht="45" customHeight="1" x14ac:dyDescent="0.25">
      <c r="A1364" s="2" t="str">
        <f t="shared" si="1"/>
        <v/>
      </c>
      <c r="B1364" s="2"/>
      <c r="C1364" s="43"/>
      <c r="D1364" s="2"/>
      <c r="E1364" s="2"/>
      <c r="F1364" s="2"/>
      <c r="G1364" s="11"/>
      <c r="H1364" s="11"/>
      <c r="I1364" s="2"/>
      <c r="J1364" s="2"/>
      <c r="K1364" s="2"/>
      <c r="L1364" s="10"/>
      <c r="M1364" s="9"/>
      <c r="N1364" s="2"/>
      <c r="O1364" s="2"/>
      <c r="P1364" s="2"/>
      <c r="Q1364" s="50"/>
      <c r="R1364" s="50"/>
      <c r="S1364" s="2">
        <f>IFERROR(VLOOKUP(A1364,IMPORT_DESISTENCIA!$A$2:$Q2273,14,0),"NÃO")</f>
        <v>0</v>
      </c>
      <c r="T1364" s="35"/>
    </row>
    <row r="1365" spans="1:20" ht="45" customHeight="1" x14ac:dyDescent="0.25">
      <c r="A1365" s="2" t="str">
        <f t="shared" si="1"/>
        <v/>
      </c>
      <c r="B1365" s="2"/>
      <c r="C1365" s="43"/>
      <c r="D1365" s="2"/>
      <c r="E1365" s="2"/>
      <c r="F1365" s="2"/>
      <c r="G1365" s="11"/>
      <c r="H1365" s="11"/>
      <c r="I1365" s="2"/>
      <c r="J1365" s="2"/>
      <c r="K1365" s="2"/>
      <c r="L1365" s="10"/>
      <c r="M1365" s="9"/>
      <c r="N1365" s="2"/>
      <c r="O1365" s="2"/>
      <c r="P1365" s="2"/>
      <c r="Q1365" s="50"/>
      <c r="R1365" s="50"/>
      <c r="S1365" s="2">
        <f>IFERROR(VLOOKUP(A1365,IMPORT_DESISTENCIA!$A$2:$Q2273,14,0),"NÃO")</f>
        <v>0</v>
      </c>
      <c r="T1365" s="35"/>
    </row>
    <row r="1366" spans="1:20" ht="45" customHeight="1" x14ac:dyDescent="0.25">
      <c r="A1366" s="2" t="str">
        <f t="shared" si="1"/>
        <v/>
      </c>
      <c r="B1366" s="2"/>
      <c r="C1366" s="43"/>
      <c r="D1366" s="2"/>
      <c r="E1366" s="2"/>
      <c r="F1366" s="2"/>
      <c r="G1366" s="11"/>
      <c r="H1366" s="11"/>
      <c r="I1366" s="2"/>
      <c r="J1366" s="2"/>
      <c r="K1366" s="2"/>
      <c r="L1366" s="10"/>
      <c r="M1366" s="9"/>
      <c r="N1366" s="2"/>
      <c r="O1366" s="2"/>
      <c r="P1366" s="2"/>
      <c r="Q1366" s="50"/>
      <c r="R1366" s="50"/>
      <c r="S1366" s="2">
        <f>IFERROR(VLOOKUP(A1366,IMPORT_DESISTENCIA!$A$2:$Q2273,14,0),"NÃO")</f>
        <v>0</v>
      </c>
      <c r="T1366" s="35"/>
    </row>
    <row r="1367" spans="1:20" ht="45" customHeight="1" x14ac:dyDescent="0.25">
      <c r="A1367" s="2" t="str">
        <f t="shared" si="1"/>
        <v/>
      </c>
      <c r="B1367" s="2"/>
      <c r="C1367" s="43"/>
      <c r="D1367" s="2"/>
      <c r="E1367" s="2"/>
      <c r="F1367" s="2"/>
      <c r="G1367" s="11"/>
      <c r="H1367" s="11"/>
      <c r="I1367" s="2"/>
      <c r="J1367" s="2"/>
      <c r="K1367" s="2"/>
      <c r="L1367" s="10"/>
      <c r="M1367" s="9"/>
      <c r="N1367" s="2"/>
      <c r="O1367" s="2"/>
      <c r="P1367" s="2"/>
      <c r="Q1367" s="50"/>
      <c r="R1367" s="50"/>
      <c r="S1367" s="2">
        <f>IFERROR(VLOOKUP(A1367,IMPORT_DESISTENCIA!$A$2:$Q2273,14,0),"NÃO")</f>
        <v>0</v>
      </c>
      <c r="T1367" s="35"/>
    </row>
    <row r="1368" spans="1:20" ht="45" customHeight="1" x14ac:dyDescent="0.25">
      <c r="A1368" s="2" t="str">
        <f t="shared" si="1"/>
        <v/>
      </c>
      <c r="B1368" s="2"/>
      <c r="C1368" s="43"/>
      <c r="D1368" s="2"/>
      <c r="E1368" s="2"/>
      <c r="F1368" s="2"/>
      <c r="G1368" s="11"/>
      <c r="H1368" s="11"/>
      <c r="I1368" s="2"/>
      <c r="J1368" s="2"/>
      <c r="K1368" s="2"/>
      <c r="L1368" s="10"/>
      <c r="M1368" s="9"/>
      <c r="N1368" s="2"/>
      <c r="O1368" s="2"/>
      <c r="P1368" s="2"/>
      <c r="Q1368" s="50"/>
      <c r="R1368" s="50"/>
      <c r="S1368" s="2">
        <f>IFERROR(VLOOKUP(A1368,IMPORT_DESISTENCIA!$A$2:$Q2273,14,0),"NÃO")</f>
        <v>0</v>
      </c>
      <c r="T1368" s="35"/>
    </row>
    <row r="1369" spans="1:20" ht="45" customHeight="1" x14ac:dyDescent="0.25">
      <c r="A1369" s="2" t="str">
        <f t="shared" si="1"/>
        <v/>
      </c>
      <c r="B1369" s="2"/>
      <c r="C1369" s="43"/>
      <c r="D1369" s="2"/>
      <c r="E1369" s="2"/>
      <c r="F1369" s="2"/>
      <c r="G1369" s="11"/>
      <c r="H1369" s="11"/>
      <c r="I1369" s="2"/>
      <c r="J1369" s="2"/>
      <c r="K1369" s="2"/>
      <c r="L1369" s="10"/>
      <c r="M1369" s="9"/>
      <c r="N1369" s="2"/>
      <c r="O1369" s="2"/>
      <c r="P1369" s="2"/>
      <c r="Q1369" s="50"/>
      <c r="R1369" s="50"/>
      <c r="S1369" s="2">
        <f>IFERROR(VLOOKUP(A1369,IMPORT_DESISTENCIA!$A$2:$Q2273,14,0),"NÃO")</f>
        <v>0</v>
      </c>
      <c r="T1369" s="35"/>
    </row>
    <row r="1370" spans="1:20" ht="45" customHeight="1" x14ac:dyDescent="0.25">
      <c r="A1370" s="2" t="str">
        <f t="shared" si="1"/>
        <v/>
      </c>
      <c r="B1370" s="2"/>
      <c r="C1370" s="43"/>
      <c r="D1370" s="2"/>
      <c r="E1370" s="2"/>
      <c r="F1370" s="2"/>
      <c r="G1370" s="11"/>
      <c r="H1370" s="11"/>
      <c r="I1370" s="2"/>
      <c r="J1370" s="2"/>
      <c r="K1370" s="2"/>
      <c r="L1370" s="10"/>
      <c r="M1370" s="9"/>
      <c r="N1370" s="2"/>
      <c r="O1370" s="2"/>
      <c r="P1370" s="2"/>
      <c r="Q1370" s="50"/>
      <c r="R1370" s="50"/>
      <c r="S1370" s="2">
        <f>IFERROR(VLOOKUP(A1370,IMPORT_DESISTENCIA!$A$2:$Q2273,14,0),"NÃO")</f>
        <v>0</v>
      </c>
      <c r="T1370" s="35"/>
    </row>
    <row r="1371" spans="1:20" ht="45" customHeight="1" x14ac:dyDescent="0.25">
      <c r="A1371" s="2" t="str">
        <f t="shared" si="1"/>
        <v/>
      </c>
      <c r="B1371" s="2"/>
      <c r="C1371" s="43"/>
      <c r="D1371" s="2"/>
      <c r="E1371" s="2"/>
      <c r="F1371" s="2"/>
      <c r="G1371" s="11"/>
      <c r="H1371" s="11"/>
      <c r="I1371" s="2"/>
      <c r="J1371" s="2"/>
      <c r="K1371" s="2"/>
      <c r="L1371" s="10"/>
      <c r="M1371" s="9"/>
      <c r="N1371" s="2"/>
      <c r="O1371" s="2"/>
      <c r="P1371" s="2"/>
      <c r="Q1371" s="50"/>
      <c r="R1371" s="50"/>
      <c r="S1371" s="2">
        <f>IFERROR(VLOOKUP(A1371,IMPORT_DESISTENCIA!$A$2:$Q2273,14,0),"NÃO")</f>
        <v>0</v>
      </c>
      <c r="T1371" s="35"/>
    </row>
    <row r="1372" spans="1:20" ht="45" customHeight="1" x14ac:dyDescent="0.25">
      <c r="A1372" s="2" t="str">
        <f t="shared" si="1"/>
        <v/>
      </c>
      <c r="B1372" s="2"/>
      <c r="C1372" s="43"/>
      <c r="D1372" s="2"/>
      <c r="E1372" s="2"/>
      <c r="F1372" s="2"/>
      <c r="G1372" s="11"/>
      <c r="H1372" s="11"/>
      <c r="I1372" s="2"/>
      <c r="J1372" s="2"/>
      <c r="K1372" s="2"/>
      <c r="L1372" s="10"/>
      <c r="M1372" s="9"/>
      <c r="N1372" s="2"/>
      <c r="O1372" s="2"/>
      <c r="P1372" s="2"/>
      <c r="Q1372" s="50"/>
      <c r="R1372" s="50"/>
      <c r="S1372" s="2">
        <f>IFERROR(VLOOKUP(A1372,IMPORT_DESISTENCIA!$A$2:$Q2273,14,0),"NÃO")</f>
        <v>0</v>
      </c>
      <c r="T1372" s="35"/>
    </row>
    <row r="1373" spans="1:20" ht="45" customHeight="1" x14ac:dyDescent="0.25">
      <c r="A1373" s="2" t="str">
        <f t="shared" si="1"/>
        <v/>
      </c>
      <c r="B1373" s="2"/>
      <c r="C1373" s="43"/>
      <c r="D1373" s="2"/>
      <c r="E1373" s="2"/>
      <c r="F1373" s="2"/>
      <c r="G1373" s="11"/>
      <c r="H1373" s="11"/>
      <c r="I1373" s="2"/>
      <c r="J1373" s="2"/>
      <c r="K1373" s="2"/>
      <c r="L1373" s="10"/>
      <c r="M1373" s="9"/>
      <c r="N1373" s="2"/>
      <c r="O1373" s="2"/>
      <c r="P1373" s="2"/>
      <c r="Q1373" s="50"/>
      <c r="R1373" s="50"/>
      <c r="S1373" s="2">
        <f>IFERROR(VLOOKUP(A1373,IMPORT_DESISTENCIA!$A$2:$Q2273,14,0),"NÃO")</f>
        <v>0</v>
      </c>
      <c r="T1373" s="35"/>
    </row>
    <row r="1374" spans="1:20" ht="45" customHeight="1" x14ac:dyDescent="0.25">
      <c r="A1374" s="2" t="str">
        <f t="shared" si="1"/>
        <v/>
      </c>
      <c r="B1374" s="2"/>
      <c r="C1374" s="43"/>
      <c r="D1374" s="2"/>
      <c r="E1374" s="2"/>
      <c r="F1374" s="2"/>
      <c r="G1374" s="11"/>
      <c r="H1374" s="11"/>
      <c r="I1374" s="2"/>
      <c r="J1374" s="2"/>
      <c r="K1374" s="2"/>
      <c r="L1374" s="10"/>
      <c r="M1374" s="9"/>
      <c r="N1374" s="2"/>
      <c r="O1374" s="2"/>
      <c r="P1374" s="2"/>
      <c r="Q1374" s="50"/>
      <c r="R1374" s="50"/>
      <c r="S1374" s="2">
        <f>IFERROR(VLOOKUP(A1374,IMPORT_DESISTENCIA!$A$2:$Q2273,14,0),"NÃO")</f>
        <v>0</v>
      </c>
      <c r="T1374" s="35"/>
    </row>
    <row r="1375" spans="1:20" ht="45" customHeight="1" x14ac:dyDescent="0.25">
      <c r="A1375" s="2" t="str">
        <f t="shared" si="1"/>
        <v/>
      </c>
      <c r="B1375" s="2"/>
      <c r="C1375" s="43"/>
      <c r="D1375" s="2"/>
      <c r="E1375" s="2"/>
      <c r="F1375" s="2"/>
      <c r="G1375" s="11"/>
      <c r="H1375" s="11"/>
      <c r="I1375" s="2"/>
      <c r="J1375" s="2"/>
      <c r="K1375" s="2"/>
      <c r="L1375" s="10"/>
      <c r="M1375" s="9"/>
      <c r="N1375" s="2"/>
      <c r="O1375" s="2"/>
      <c r="P1375" s="2"/>
      <c r="Q1375" s="50"/>
      <c r="R1375" s="50"/>
      <c r="S1375" s="2">
        <f>IFERROR(VLOOKUP(A1375,IMPORT_DESISTENCIA!$A$2:$Q2273,14,0),"NÃO")</f>
        <v>0</v>
      </c>
      <c r="T1375" s="35"/>
    </row>
    <row r="1376" spans="1:20" ht="45" customHeight="1" x14ac:dyDescent="0.25">
      <c r="A1376" s="2" t="str">
        <f t="shared" si="1"/>
        <v/>
      </c>
      <c r="B1376" s="2"/>
      <c r="C1376" s="43"/>
      <c r="D1376" s="2"/>
      <c r="E1376" s="2"/>
      <c r="F1376" s="2"/>
      <c r="G1376" s="11"/>
      <c r="H1376" s="11"/>
      <c r="I1376" s="2"/>
      <c r="J1376" s="2"/>
      <c r="K1376" s="2"/>
      <c r="L1376" s="10"/>
      <c r="M1376" s="9"/>
      <c r="N1376" s="2"/>
      <c r="O1376" s="2"/>
      <c r="P1376" s="2"/>
      <c r="Q1376" s="50"/>
      <c r="R1376" s="50"/>
      <c r="S1376" s="2">
        <f>IFERROR(VLOOKUP(A1376,IMPORT_DESISTENCIA!$A$2:$Q2273,14,0),"NÃO")</f>
        <v>0</v>
      </c>
      <c r="T1376" s="35"/>
    </row>
    <row r="1377" spans="1:20" ht="45" customHeight="1" x14ac:dyDescent="0.25">
      <c r="A1377" s="2" t="str">
        <f t="shared" si="1"/>
        <v/>
      </c>
      <c r="B1377" s="2"/>
      <c r="C1377" s="43"/>
      <c r="D1377" s="2"/>
      <c r="E1377" s="2"/>
      <c r="F1377" s="2"/>
      <c r="G1377" s="11"/>
      <c r="H1377" s="11"/>
      <c r="I1377" s="2"/>
      <c r="J1377" s="2"/>
      <c r="K1377" s="2"/>
      <c r="L1377" s="10"/>
      <c r="M1377" s="9"/>
      <c r="N1377" s="2"/>
      <c r="O1377" s="2"/>
      <c r="P1377" s="2"/>
      <c r="Q1377" s="50"/>
      <c r="R1377" s="50"/>
      <c r="S1377" s="2">
        <f>IFERROR(VLOOKUP(A1377,IMPORT_DESISTENCIA!$A$2:$Q2273,14,0),"NÃO")</f>
        <v>0</v>
      </c>
      <c r="T1377" s="35"/>
    </row>
    <row r="1378" spans="1:20" ht="45" customHeight="1" x14ac:dyDescent="0.25">
      <c r="A1378" s="2" t="str">
        <f t="shared" si="1"/>
        <v/>
      </c>
      <c r="B1378" s="2"/>
      <c r="C1378" s="43"/>
      <c r="D1378" s="2"/>
      <c r="E1378" s="2"/>
      <c r="F1378" s="2"/>
      <c r="G1378" s="11"/>
      <c r="H1378" s="11"/>
      <c r="I1378" s="2"/>
      <c r="J1378" s="2"/>
      <c r="K1378" s="2"/>
      <c r="L1378" s="10"/>
      <c r="M1378" s="9"/>
      <c r="N1378" s="2"/>
      <c r="O1378" s="2"/>
      <c r="P1378" s="2"/>
      <c r="Q1378" s="50"/>
      <c r="R1378" s="50"/>
      <c r="S1378" s="2">
        <f>IFERROR(VLOOKUP(A1378,IMPORT_DESISTENCIA!$A$2:$Q2273,14,0),"NÃO")</f>
        <v>0</v>
      </c>
      <c r="T1378" s="35"/>
    </row>
    <row r="1379" spans="1:20" ht="45" customHeight="1" x14ac:dyDescent="0.25">
      <c r="A1379" s="2" t="str">
        <f t="shared" si="1"/>
        <v/>
      </c>
      <c r="B1379" s="2"/>
      <c r="C1379" s="43"/>
      <c r="D1379" s="2"/>
      <c r="E1379" s="2"/>
      <c r="F1379" s="2"/>
      <c r="G1379" s="11"/>
      <c r="H1379" s="11"/>
      <c r="I1379" s="2"/>
      <c r="J1379" s="2"/>
      <c r="K1379" s="2"/>
      <c r="L1379" s="10"/>
      <c r="M1379" s="9"/>
      <c r="N1379" s="2"/>
      <c r="O1379" s="2"/>
      <c r="P1379" s="2"/>
      <c r="Q1379" s="50"/>
      <c r="R1379" s="50"/>
      <c r="S1379" s="2">
        <f>IFERROR(VLOOKUP(A1379,IMPORT_DESISTENCIA!$A$2:$Q2273,14,0),"NÃO")</f>
        <v>0</v>
      </c>
      <c r="T1379" s="35"/>
    </row>
    <row r="1380" spans="1:20" ht="45" customHeight="1" x14ac:dyDescent="0.25">
      <c r="A1380" s="2" t="str">
        <f t="shared" si="1"/>
        <v/>
      </c>
      <c r="B1380" s="2"/>
      <c r="C1380" s="43"/>
      <c r="D1380" s="2"/>
      <c r="E1380" s="2"/>
      <c r="F1380" s="2"/>
      <c r="G1380" s="11"/>
      <c r="H1380" s="11"/>
      <c r="I1380" s="2"/>
      <c r="J1380" s="2"/>
      <c r="K1380" s="2"/>
      <c r="L1380" s="10"/>
      <c r="M1380" s="9"/>
      <c r="N1380" s="2"/>
      <c r="O1380" s="2"/>
      <c r="P1380" s="2"/>
      <c r="Q1380" s="50"/>
      <c r="R1380" s="50"/>
      <c r="S1380" s="2">
        <f>IFERROR(VLOOKUP(A1380,IMPORT_DESISTENCIA!$A$2:$Q2273,14,0),"NÃO")</f>
        <v>0</v>
      </c>
      <c r="T1380" s="35"/>
    </row>
    <row r="1381" spans="1:20" ht="45" customHeight="1" x14ac:dyDescent="0.25">
      <c r="A1381" s="2" t="str">
        <f t="shared" si="1"/>
        <v/>
      </c>
      <c r="B1381" s="2"/>
      <c r="C1381" s="43"/>
      <c r="D1381" s="2"/>
      <c r="E1381" s="2"/>
      <c r="F1381" s="2"/>
      <c r="G1381" s="11"/>
      <c r="H1381" s="11"/>
      <c r="I1381" s="2"/>
      <c r="J1381" s="2"/>
      <c r="K1381" s="2"/>
      <c r="L1381" s="10"/>
      <c r="M1381" s="9"/>
      <c r="N1381" s="2"/>
      <c r="O1381" s="2"/>
      <c r="P1381" s="2"/>
      <c r="Q1381" s="50"/>
      <c r="R1381" s="50"/>
      <c r="S1381" s="2">
        <f>IFERROR(VLOOKUP(A1381,IMPORT_DESISTENCIA!$A$2:$Q2273,14,0),"NÃO")</f>
        <v>0</v>
      </c>
      <c r="T1381" s="35"/>
    </row>
    <row r="1382" spans="1:20" ht="45" customHeight="1" x14ac:dyDescent="0.25">
      <c r="A1382" s="2" t="str">
        <f t="shared" si="1"/>
        <v/>
      </c>
      <c r="B1382" s="2"/>
      <c r="C1382" s="43"/>
      <c r="D1382" s="2"/>
      <c r="E1382" s="2"/>
      <c r="F1382" s="2"/>
      <c r="G1382" s="11"/>
      <c r="H1382" s="11"/>
      <c r="I1382" s="2"/>
      <c r="J1382" s="2"/>
      <c r="K1382" s="2"/>
      <c r="L1382" s="10"/>
      <c r="M1382" s="9"/>
      <c r="N1382" s="2"/>
      <c r="O1382" s="2"/>
      <c r="P1382" s="2"/>
      <c r="Q1382" s="50"/>
      <c r="R1382" s="50"/>
      <c r="S1382" s="2">
        <f>IFERROR(VLOOKUP(A1382,IMPORT_DESISTENCIA!$A$2:$Q2273,14,0),"NÃO")</f>
        <v>0</v>
      </c>
      <c r="T1382" s="35"/>
    </row>
    <row r="1383" spans="1:20" ht="45" customHeight="1" x14ac:dyDescent="0.25">
      <c r="A1383" s="2" t="str">
        <f t="shared" si="1"/>
        <v/>
      </c>
      <c r="B1383" s="2"/>
      <c r="C1383" s="43"/>
      <c r="D1383" s="2"/>
      <c r="E1383" s="2"/>
      <c r="F1383" s="2"/>
      <c r="G1383" s="11"/>
      <c r="H1383" s="11"/>
      <c r="I1383" s="2"/>
      <c r="J1383" s="2"/>
      <c r="K1383" s="2"/>
      <c r="L1383" s="10"/>
      <c r="M1383" s="9"/>
      <c r="N1383" s="2"/>
      <c r="O1383" s="2"/>
      <c r="P1383" s="2"/>
      <c r="Q1383" s="50"/>
      <c r="R1383" s="50"/>
      <c r="S1383" s="2">
        <f>IFERROR(VLOOKUP(A1383,IMPORT_DESISTENCIA!$A$2:$Q2273,14,0),"NÃO")</f>
        <v>0</v>
      </c>
      <c r="T1383" s="35"/>
    </row>
    <row r="1384" spans="1:20" ht="45" customHeight="1" x14ac:dyDescent="0.25">
      <c r="A1384" s="2" t="str">
        <f t="shared" si="1"/>
        <v/>
      </c>
      <c r="B1384" s="2"/>
      <c r="C1384" s="43"/>
      <c r="D1384" s="2"/>
      <c r="E1384" s="2"/>
      <c r="F1384" s="2"/>
      <c r="G1384" s="11"/>
      <c r="H1384" s="11"/>
      <c r="I1384" s="2"/>
      <c r="J1384" s="2"/>
      <c r="K1384" s="2"/>
      <c r="L1384" s="10"/>
      <c r="M1384" s="9"/>
      <c r="N1384" s="2"/>
      <c r="O1384" s="2"/>
      <c r="P1384" s="2"/>
      <c r="Q1384" s="50"/>
      <c r="R1384" s="50"/>
      <c r="S1384" s="2">
        <f>IFERROR(VLOOKUP(A1384,IMPORT_DESISTENCIA!$A$2:$Q2273,14,0),"NÃO")</f>
        <v>0</v>
      </c>
      <c r="T1384" s="35"/>
    </row>
    <row r="1385" spans="1:20" ht="45" customHeight="1" x14ac:dyDescent="0.25">
      <c r="A1385" s="2" t="str">
        <f t="shared" si="1"/>
        <v/>
      </c>
      <c r="B1385" s="2"/>
      <c r="C1385" s="43"/>
      <c r="D1385" s="2"/>
      <c r="E1385" s="2"/>
      <c r="F1385" s="2"/>
      <c r="G1385" s="11"/>
      <c r="H1385" s="11"/>
      <c r="I1385" s="2"/>
      <c r="J1385" s="2"/>
      <c r="K1385" s="2"/>
      <c r="L1385" s="10"/>
      <c r="M1385" s="9"/>
      <c r="N1385" s="2"/>
      <c r="O1385" s="2"/>
      <c r="P1385" s="2"/>
      <c r="Q1385" s="50"/>
      <c r="R1385" s="50"/>
      <c r="S1385" s="2">
        <f>IFERROR(VLOOKUP(A1385,IMPORT_DESISTENCIA!$A$2:$Q2273,14,0),"NÃO")</f>
        <v>0</v>
      </c>
      <c r="T1385" s="35"/>
    </row>
    <row r="1386" spans="1:20" ht="45" customHeight="1" x14ac:dyDescent="0.25">
      <c r="A1386" s="2" t="str">
        <f t="shared" si="1"/>
        <v/>
      </c>
      <c r="B1386" s="2"/>
      <c r="C1386" s="43"/>
      <c r="D1386" s="2"/>
      <c r="E1386" s="2"/>
      <c r="F1386" s="2"/>
      <c r="G1386" s="11"/>
      <c r="H1386" s="11"/>
      <c r="I1386" s="2"/>
      <c r="J1386" s="2"/>
      <c r="K1386" s="2"/>
      <c r="L1386" s="10"/>
      <c r="M1386" s="9"/>
      <c r="N1386" s="2"/>
      <c r="O1386" s="2"/>
      <c r="P1386" s="2"/>
      <c r="Q1386" s="50"/>
      <c r="R1386" s="50"/>
      <c r="S1386" s="2">
        <f>IFERROR(VLOOKUP(A1386,IMPORT_DESISTENCIA!$A$2:$Q2273,14,0),"NÃO")</f>
        <v>0</v>
      </c>
      <c r="T1386" s="35"/>
    </row>
    <row r="1387" spans="1:20" ht="45" customHeight="1" x14ac:dyDescent="0.25">
      <c r="A1387" s="2" t="str">
        <f t="shared" si="1"/>
        <v/>
      </c>
      <c r="B1387" s="2"/>
      <c r="C1387" s="43"/>
      <c r="D1387" s="2"/>
      <c r="E1387" s="2"/>
      <c r="F1387" s="2"/>
      <c r="G1387" s="11"/>
      <c r="H1387" s="11"/>
      <c r="I1387" s="2"/>
      <c r="J1387" s="2"/>
      <c r="K1387" s="2"/>
      <c r="L1387" s="10"/>
      <c r="M1387" s="9"/>
      <c r="N1387" s="2"/>
      <c r="O1387" s="2"/>
      <c r="P1387" s="2"/>
      <c r="Q1387" s="50"/>
      <c r="R1387" s="50"/>
      <c r="S1387" s="2">
        <f>IFERROR(VLOOKUP(A1387,IMPORT_DESISTENCIA!$A$2:$Q2273,14,0),"NÃO")</f>
        <v>0</v>
      </c>
      <c r="T1387" s="35"/>
    </row>
    <row r="1388" spans="1:20" ht="45" customHeight="1" x14ac:dyDescent="0.25">
      <c r="A1388" s="2" t="str">
        <f t="shared" si="1"/>
        <v/>
      </c>
      <c r="B1388" s="2"/>
      <c r="C1388" s="43"/>
      <c r="D1388" s="2"/>
      <c r="E1388" s="2"/>
      <c r="F1388" s="2"/>
      <c r="G1388" s="11"/>
      <c r="H1388" s="11"/>
      <c r="I1388" s="2"/>
      <c r="J1388" s="2"/>
      <c r="K1388" s="2"/>
      <c r="L1388" s="10"/>
      <c r="M1388" s="9"/>
      <c r="N1388" s="2"/>
      <c r="O1388" s="2"/>
      <c r="P1388" s="2"/>
      <c r="Q1388" s="50"/>
      <c r="R1388" s="50"/>
      <c r="S1388" s="2">
        <f>IFERROR(VLOOKUP(A1388,IMPORT_DESISTENCIA!$A$2:$Q2273,14,0),"NÃO")</f>
        <v>0</v>
      </c>
      <c r="T1388" s="35"/>
    </row>
    <row r="1389" spans="1:20" ht="45" customHeight="1" x14ac:dyDescent="0.25">
      <c r="A1389" s="2" t="str">
        <f t="shared" si="1"/>
        <v/>
      </c>
      <c r="B1389" s="2"/>
      <c r="C1389" s="43"/>
      <c r="D1389" s="2"/>
      <c r="E1389" s="2"/>
      <c r="F1389" s="2"/>
      <c r="G1389" s="11"/>
      <c r="H1389" s="11"/>
      <c r="I1389" s="2"/>
      <c r="J1389" s="2"/>
      <c r="K1389" s="2"/>
      <c r="L1389" s="10"/>
      <c r="M1389" s="9"/>
      <c r="N1389" s="2"/>
      <c r="O1389" s="2"/>
      <c r="P1389" s="2"/>
      <c r="Q1389" s="50"/>
      <c r="R1389" s="50"/>
      <c r="S1389" s="2">
        <f>IFERROR(VLOOKUP(A1389,IMPORT_DESISTENCIA!$A$2:$Q2273,14,0),"NÃO")</f>
        <v>0</v>
      </c>
      <c r="T1389" s="35"/>
    </row>
    <row r="1390" spans="1:20" ht="45" customHeight="1" x14ac:dyDescent="0.25">
      <c r="A1390" s="2" t="str">
        <f t="shared" si="1"/>
        <v/>
      </c>
      <c r="B1390" s="2"/>
      <c r="C1390" s="43"/>
      <c r="D1390" s="2"/>
      <c r="E1390" s="2"/>
      <c r="F1390" s="2"/>
      <c r="G1390" s="11"/>
      <c r="H1390" s="11"/>
      <c r="I1390" s="2"/>
      <c r="J1390" s="2"/>
      <c r="K1390" s="2"/>
      <c r="L1390" s="10"/>
      <c r="M1390" s="9"/>
      <c r="N1390" s="2"/>
      <c r="O1390" s="2"/>
      <c r="P1390" s="2"/>
      <c r="Q1390" s="50"/>
      <c r="R1390" s="50"/>
      <c r="S1390" s="2">
        <f>IFERROR(VLOOKUP(A1390,IMPORT_DESISTENCIA!$A$2:$Q2273,14,0),"NÃO")</f>
        <v>0</v>
      </c>
      <c r="T1390" s="35"/>
    </row>
    <row r="1391" spans="1:20" ht="45" customHeight="1" x14ac:dyDescent="0.25">
      <c r="A1391" s="2" t="str">
        <f t="shared" si="1"/>
        <v/>
      </c>
      <c r="B1391" s="2"/>
      <c r="C1391" s="43"/>
      <c r="D1391" s="2"/>
      <c r="E1391" s="2"/>
      <c r="F1391" s="2"/>
      <c r="G1391" s="11"/>
      <c r="H1391" s="11"/>
      <c r="I1391" s="2"/>
      <c r="J1391" s="2"/>
      <c r="K1391" s="2"/>
      <c r="L1391" s="10"/>
      <c r="M1391" s="9"/>
      <c r="N1391" s="2"/>
      <c r="O1391" s="2"/>
      <c r="P1391" s="2"/>
      <c r="Q1391" s="50"/>
      <c r="R1391" s="50"/>
      <c r="S1391" s="2">
        <f>IFERROR(VLOOKUP(A1391,IMPORT_DESISTENCIA!$A$2:$Q2273,14,0),"NÃO")</f>
        <v>0</v>
      </c>
      <c r="T1391" s="35"/>
    </row>
    <row r="1392" spans="1:20" ht="45" customHeight="1" x14ac:dyDescent="0.25">
      <c r="A1392" s="2" t="str">
        <f t="shared" si="1"/>
        <v/>
      </c>
      <c r="B1392" s="2"/>
      <c r="C1392" s="43"/>
      <c r="D1392" s="2"/>
      <c r="E1392" s="2"/>
      <c r="F1392" s="2"/>
      <c r="G1392" s="11"/>
      <c r="H1392" s="11"/>
      <c r="I1392" s="2"/>
      <c r="J1392" s="2"/>
      <c r="K1392" s="2"/>
      <c r="L1392" s="10"/>
      <c r="M1392" s="9"/>
      <c r="N1392" s="2"/>
      <c r="O1392" s="2"/>
      <c r="P1392" s="2"/>
      <c r="Q1392" s="50"/>
      <c r="R1392" s="50"/>
      <c r="S1392" s="2">
        <f>IFERROR(VLOOKUP(A1392,IMPORT_DESISTENCIA!$A$2:$Q2273,14,0),"NÃO")</f>
        <v>0</v>
      </c>
      <c r="T1392" s="35"/>
    </row>
    <row r="1393" spans="1:20" ht="45" customHeight="1" x14ac:dyDescent="0.25">
      <c r="A1393" s="2" t="str">
        <f t="shared" si="1"/>
        <v/>
      </c>
      <c r="B1393" s="2"/>
      <c r="C1393" s="43"/>
      <c r="D1393" s="2"/>
      <c r="E1393" s="2"/>
      <c r="F1393" s="2"/>
      <c r="G1393" s="11"/>
      <c r="H1393" s="11"/>
      <c r="I1393" s="2"/>
      <c r="J1393" s="2"/>
      <c r="K1393" s="2"/>
      <c r="L1393" s="10"/>
      <c r="M1393" s="9"/>
      <c r="N1393" s="2"/>
      <c r="O1393" s="2"/>
      <c r="P1393" s="2"/>
      <c r="Q1393" s="50"/>
      <c r="R1393" s="50"/>
      <c r="S1393" s="2">
        <f>IFERROR(VLOOKUP(A1393,IMPORT_DESISTENCIA!$A$2:$Q2273,14,0),"NÃO")</f>
        <v>0</v>
      </c>
      <c r="T1393" s="35"/>
    </row>
    <row r="1394" spans="1:20" ht="45" customHeight="1" x14ac:dyDescent="0.25">
      <c r="A1394" s="2" t="str">
        <f t="shared" si="1"/>
        <v/>
      </c>
      <c r="B1394" s="2"/>
      <c r="C1394" s="43"/>
      <c r="D1394" s="2"/>
      <c r="E1394" s="2"/>
      <c r="F1394" s="2"/>
      <c r="G1394" s="11"/>
      <c r="H1394" s="11"/>
      <c r="I1394" s="2"/>
      <c r="J1394" s="2"/>
      <c r="K1394" s="2"/>
      <c r="L1394" s="10"/>
      <c r="M1394" s="9"/>
      <c r="N1394" s="2"/>
      <c r="O1394" s="2"/>
      <c r="P1394" s="2"/>
      <c r="Q1394" s="50"/>
      <c r="R1394" s="50"/>
      <c r="S1394" s="2">
        <f>IFERROR(VLOOKUP(A1394,IMPORT_DESISTENCIA!$A$2:$Q2273,14,0),"NÃO")</f>
        <v>0</v>
      </c>
      <c r="T1394" s="35"/>
    </row>
    <row r="1395" spans="1:20" ht="45" customHeight="1" x14ac:dyDescent="0.25">
      <c r="A1395" s="2" t="str">
        <f t="shared" si="1"/>
        <v/>
      </c>
      <c r="B1395" s="2"/>
      <c r="C1395" s="43"/>
      <c r="D1395" s="2"/>
      <c r="E1395" s="2"/>
      <c r="F1395" s="2"/>
      <c r="G1395" s="11"/>
      <c r="H1395" s="11"/>
      <c r="I1395" s="2"/>
      <c r="J1395" s="2"/>
      <c r="K1395" s="2"/>
      <c r="L1395" s="10"/>
      <c r="M1395" s="9"/>
      <c r="N1395" s="2"/>
      <c r="O1395" s="2"/>
      <c r="P1395" s="2"/>
      <c r="Q1395" s="50"/>
      <c r="R1395" s="50"/>
      <c r="S1395" s="2">
        <f>IFERROR(VLOOKUP(A1395,IMPORT_DESISTENCIA!$A$2:$Q2273,14,0),"NÃO")</f>
        <v>0</v>
      </c>
      <c r="T1395" s="35"/>
    </row>
    <row r="1396" spans="1:20" ht="45" customHeight="1" x14ac:dyDescent="0.25">
      <c r="A1396" s="2" t="str">
        <f t="shared" si="1"/>
        <v/>
      </c>
      <c r="B1396" s="2"/>
      <c r="C1396" s="43"/>
      <c r="D1396" s="2"/>
      <c r="E1396" s="2"/>
      <c r="F1396" s="2"/>
      <c r="G1396" s="11"/>
      <c r="H1396" s="11"/>
      <c r="I1396" s="2"/>
      <c r="J1396" s="2"/>
      <c r="K1396" s="2"/>
      <c r="L1396" s="10"/>
      <c r="M1396" s="9"/>
      <c r="N1396" s="2"/>
      <c r="O1396" s="2"/>
      <c r="P1396" s="2"/>
      <c r="Q1396" s="50"/>
      <c r="R1396" s="50"/>
      <c r="S1396" s="2">
        <f>IFERROR(VLOOKUP(A1396,IMPORT_DESISTENCIA!$A$2:$Q2273,14,0),"NÃO")</f>
        <v>0</v>
      </c>
      <c r="T1396" s="35"/>
    </row>
    <row r="1397" spans="1:20" ht="45" customHeight="1" x14ac:dyDescent="0.25">
      <c r="A1397" s="2" t="str">
        <f t="shared" si="1"/>
        <v/>
      </c>
      <c r="B1397" s="2"/>
      <c r="C1397" s="43"/>
      <c r="D1397" s="2"/>
      <c r="E1397" s="2"/>
      <c r="F1397" s="2"/>
      <c r="G1397" s="11"/>
      <c r="H1397" s="11"/>
      <c r="I1397" s="2"/>
      <c r="J1397" s="2"/>
      <c r="K1397" s="2"/>
      <c r="L1397" s="10"/>
      <c r="M1397" s="9"/>
      <c r="N1397" s="2"/>
      <c r="O1397" s="2"/>
      <c r="P1397" s="2"/>
      <c r="Q1397" s="50"/>
      <c r="R1397" s="50"/>
      <c r="S1397" s="2">
        <f>IFERROR(VLOOKUP(A1397,IMPORT_DESISTENCIA!$A$2:$Q2273,14,0),"NÃO")</f>
        <v>0</v>
      </c>
      <c r="T1397" s="35"/>
    </row>
    <row r="1398" spans="1:20" ht="45" customHeight="1" x14ac:dyDescent="0.25">
      <c r="A1398" s="2" t="str">
        <f t="shared" si="1"/>
        <v/>
      </c>
      <c r="B1398" s="2"/>
      <c r="C1398" s="43"/>
      <c r="D1398" s="2"/>
      <c r="E1398" s="2"/>
      <c r="F1398" s="2"/>
      <c r="G1398" s="11"/>
      <c r="H1398" s="11"/>
      <c r="I1398" s="2"/>
      <c r="J1398" s="2"/>
      <c r="K1398" s="2"/>
      <c r="L1398" s="10"/>
      <c r="M1398" s="9"/>
      <c r="N1398" s="2"/>
      <c r="O1398" s="2"/>
      <c r="P1398" s="2"/>
      <c r="Q1398" s="50"/>
      <c r="R1398" s="50"/>
      <c r="S1398" s="2">
        <f>IFERROR(VLOOKUP(A1398,IMPORT_DESISTENCIA!$A$2:$Q2273,14,0),"NÃO")</f>
        <v>0</v>
      </c>
      <c r="T1398" s="35"/>
    </row>
    <row r="1399" spans="1:20" ht="45" customHeight="1" x14ac:dyDescent="0.25">
      <c r="A1399" s="2" t="str">
        <f t="shared" si="1"/>
        <v/>
      </c>
      <c r="B1399" s="2"/>
      <c r="C1399" s="43"/>
      <c r="D1399" s="2"/>
      <c r="E1399" s="2"/>
      <c r="F1399" s="2"/>
      <c r="G1399" s="11"/>
      <c r="H1399" s="11"/>
      <c r="I1399" s="2"/>
      <c r="J1399" s="2"/>
      <c r="K1399" s="2"/>
      <c r="L1399" s="10"/>
      <c r="M1399" s="9"/>
      <c r="N1399" s="2"/>
      <c r="O1399" s="2"/>
      <c r="P1399" s="2"/>
      <c r="Q1399" s="50"/>
      <c r="R1399" s="50"/>
      <c r="S1399" s="2">
        <f>IFERROR(VLOOKUP(A1399,IMPORT_DESISTENCIA!$A$2:$Q2273,14,0),"NÃO")</f>
        <v>0</v>
      </c>
      <c r="T1399" s="35"/>
    </row>
    <row r="1400" spans="1:20" ht="45" customHeight="1" x14ac:dyDescent="0.25">
      <c r="A1400" s="2" t="str">
        <f t="shared" si="1"/>
        <v/>
      </c>
      <c r="B1400" s="2"/>
      <c r="C1400" s="43"/>
      <c r="D1400" s="2"/>
      <c r="E1400" s="2"/>
      <c r="F1400" s="2"/>
      <c r="G1400" s="11"/>
      <c r="H1400" s="11"/>
      <c r="I1400" s="2"/>
      <c r="J1400" s="2"/>
      <c r="K1400" s="2"/>
      <c r="L1400" s="10"/>
      <c r="M1400" s="9"/>
      <c r="N1400" s="2"/>
      <c r="O1400" s="2"/>
      <c r="P1400" s="2"/>
      <c r="Q1400" s="50"/>
      <c r="R1400" s="50"/>
      <c r="S1400" s="2">
        <f>IFERROR(VLOOKUP(A1400,IMPORT_DESISTENCIA!$A$2:$Q2273,14,0),"NÃO")</f>
        <v>0</v>
      </c>
      <c r="T1400" s="35"/>
    </row>
    <row r="1401" spans="1:20" ht="45" customHeight="1" x14ac:dyDescent="0.25">
      <c r="A1401" s="2" t="str">
        <f t="shared" si="1"/>
        <v/>
      </c>
      <c r="B1401" s="2"/>
      <c r="C1401" s="43"/>
      <c r="D1401" s="2"/>
      <c r="E1401" s="2"/>
      <c r="F1401" s="2"/>
      <c r="G1401" s="11"/>
      <c r="H1401" s="11"/>
      <c r="I1401" s="2"/>
      <c r="J1401" s="2"/>
      <c r="K1401" s="2"/>
      <c r="L1401" s="10"/>
      <c r="M1401" s="9"/>
      <c r="N1401" s="2"/>
      <c r="O1401" s="2"/>
      <c r="P1401" s="2"/>
      <c r="Q1401" s="50"/>
      <c r="R1401" s="50"/>
      <c r="S1401" s="2">
        <f>IFERROR(VLOOKUP(A1401,IMPORT_DESISTENCIA!$A$2:$Q2273,14,0),"NÃO")</f>
        <v>0</v>
      </c>
      <c r="T1401" s="35"/>
    </row>
    <row r="1402" spans="1:20" ht="45" customHeight="1" x14ac:dyDescent="0.25">
      <c r="A1402" s="2" t="str">
        <f t="shared" si="1"/>
        <v/>
      </c>
      <c r="B1402" s="2"/>
      <c r="C1402" s="43"/>
      <c r="D1402" s="2"/>
      <c r="E1402" s="2"/>
      <c r="F1402" s="2"/>
      <c r="G1402" s="11"/>
      <c r="H1402" s="11"/>
      <c r="I1402" s="2"/>
      <c r="J1402" s="2"/>
      <c r="K1402" s="2"/>
      <c r="L1402" s="10"/>
      <c r="M1402" s="9"/>
      <c r="N1402" s="2"/>
      <c r="O1402" s="2"/>
      <c r="P1402" s="2"/>
      <c r="Q1402" s="50"/>
      <c r="R1402" s="50"/>
      <c r="S1402" s="2">
        <f>IFERROR(VLOOKUP(A1402,IMPORT_DESISTENCIA!$A$2:$Q2273,14,0),"NÃO")</f>
        <v>0</v>
      </c>
      <c r="T1402" s="35"/>
    </row>
    <row r="1403" spans="1:20" ht="45" customHeight="1" x14ac:dyDescent="0.25">
      <c r="A1403" s="2" t="str">
        <f t="shared" si="1"/>
        <v/>
      </c>
      <c r="B1403" s="2"/>
      <c r="C1403" s="43"/>
      <c r="D1403" s="2"/>
      <c r="E1403" s="2"/>
      <c r="F1403" s="2"/>
      <c r="G1403" s="11"/>
      <c r="H1403" s="11"/>
      <c r="I1403" s="2"/>
      <c r="J1403" s="2"/>
      <c r="K1403" s="2"/>
      <c r="L1403" s="10"/>
      <c r="M1403" s="9"/>
      <c r="N1403" s="2"/>
      <c r="O1403" s="2"/>
      <c r="P1403" s="2"/>
      <c r="Q1403" s="50"/>
      <c r="R1403" s="50"/>
      <c r="S1403" s="2">
        <f>IFERROR(VLOOKUP(A1403,IMPORT_DESISTENCIA!$A$2:$Q2273,14,0),"NÃO")</f>
        <v>0</v>
      </c>
      <c r="T1403" s="35"/>
    </row>
    <row r="1404" spans="1:20" ht="45" customHeight="1" x14ac:dyDescent="0.25">
      <c r="A1404" s="2" t="str">
        <f t="shared" si="1"/>
        <v/>
      </c>
      <c r="B1404" s="2"/>
      <c r="C1404" s="43"/>
      <c r="D1404" s="2"/>
      <c r="E1404" s="2"/>
      <c r="F1404" s="2"/>
      <c r="G1404" s="11"/>
      <c r="H1404" s="11"/>
      <c r="I1404" s="2"/>
      <c r="J1404" s="2"/>
      <c r="K1404" s="2"/>
      <c r="L1404" s="10"/>
      <c r="M1404" s="9"/>
      <c r="N1404" s="2"/>
      <c r="O1404" s="2"/>
      <c r="P1404" s="2"/>
      <c r="Q1404" s="50"/>
      <c r="R1404" s="50"/>
      <c r="S1404" s="2">
        <f>IFERROR(VLOOKUP(A1404,IMPORT_DESISTENCIA!$A$2:$Q2273,14,0),"NÃO")</f>
        <v>0</v>
      </c>
      <c r="T1404" s="35"/>
    </row>
    <row r="1405" spans="1:20" ht="45" customHeight="1" x14ac:dyDescent="0.25">
      <c r="A1405" s="2" t="str">
        <f t="shared" si="1"/>
        <v/>
      </c>
      <c r="B1405" s="2"/>
      <c r="C1405" s="43"/>
      <c r="D1405" s="2"/>
      <c r="E1405" s="2"/>
      <c r="F1405" s="2"/>
      <c r="G1405" s="11"/>
      <c r="H1405" s="11"/>
      <c r="I1405" s="2"/>
      <c r="J1405" s="2"/>
      <c r="K1405" s="2"/>
      <c r="L1405" s="10"/>
      <c r="M1405" s="9"/>
      <c r="N1405" s="2"/>
      <c r="O1405" s="2"/>
      <c r="P1405" s="2"/>
      <c r="Q1405" s="50"/>
      <c r="R1405" s="50"/>
      <c r="S1405" s="2">
        <f>IFERROR(VLOOKUP(A1405,IMPORT_DESISTENCIA!$A$2:$Q2273,14,0),"NÃO")</f>
        <v>0</v>
      </c>
      <c r="T1405" s="35"/>
    </row>
    <row r="1406" spans="1:20" ht="45" customHeight="1" x14ac:dyDescent="0.25">
      <c r="A1406" s="2" t="str">
        <f t="shared" si="1"/>
        <v/>
      </c>
      <c r="B1406" s="2"/>
      <c r="C1406" s="43"/>
      <c r="D1406" s="2"/>
      <c r="E1406" s="2"/>
      <c r="F1406" s="2"/>
      <c r="G1406" s="11"/>
      <c r="H1406" s="11"/>
      <c r="I1406" s="2"/>
      <c r="J1406" s="2"/>
      <c r="K1406" s="2"/>
      <c r="L1406" s="10"/>
      <c r="M1406" s="9"/>
      <c r="N1406" s="2"/>
      <c r="O1406" s="2"/>
      <c r="P1406" s="2"/>
      <c r="Q1406" s="50"/>
      <c r="R1406" s="50"/>
      <c r="S1406" s="2">
        <f>IFERROR(VLOOKUP(A1406,IMPORT_DESISTENCIA!$A$2:$Q2273,14,0),"NÃO")</f>
        <v>0</v>
      </c>
      <c r="T1406" s="35"/>
    </row>
    <row r="1407" spans="1:20" ht="45" customHeight="1" x14ac:dyDescent="0.25">
      <c r="A1407" s="2" t="str">
        <f t="shared" si="1"/>
        <v/>
      </c>
      <c r="B1407" s="2"/>
      <c r="C1407" s="43"/>
      <c r="D1407" s="2"/>
      <c r="E1407" s="2"/>
      <c r="F1407" s="2"/>
      <c r="G1407" s="11"/>
      <c r="H1407" s="11"/>
      <c r="I1407" s="2"/>
      <c r="J1407" s="2"/>
      <c r="K1407" s="2"/>
      <c r="L1407" s="10"/>
      <c r="M1407" s="9"/>
      <c r="N1407" s="2"/>
      <c r="O1407" s="2"/>
      <c r="P1407" s="2"/>
      <c r="Q1407" s="50"/>
      <c r="R1407" s="50"/>
      <c r="S1407" s="2">
        <f>IFERROR(VLOOKUP(A1407,IMPORT_DESISTENCIA!$A$2:$Q2273,14,0),"NÃO")</f>
        <v>0</v>
      </c>
      <c r="T1407" s="35"/>
    </row>
    <row r="1408" spans="1:20" ht="45" customHeight="1" x14ac:dyDescent="0.25">
      <c r="A1408" s="2" t="str">
        <f t="shared" si="1"/>
        <v/>
      </c>
      <c r="B1408" s="2"/>
      <c r="C1408" s="43"/>
      <c r="D1408" s="2"/>
      <c r="E1408" s="2"/>
      <c r="F1408" s="2"/>
      <c r="G1408" s="11"/>
      <c r="H1408" s="11"/>
      <c r="I1408" s="2"/>
      <c r="J1408" s="2"/>
      <c r="K1408" s="2"/>
      <c r="L1408" s="10"/>
      <c r="M1408" s="9"/>
      <c r="N1408" s="2"/>
      <c r="O1408" s="2"/>
      <c r="P1408" s="2"/>
      <c r="Q1408" s="50"/>
      <c r="R1408" s="50"/>
      <c r="S1408" s="2">
        <f>IFERROR(VLOOKUP(A1408,IMPORT_DESISTENCIA!$A$2:$Q2273,14,0),"NÃO")</f>
        <v>0</v>
      </c>
      <c r="T1408" s="35"/>
    </row>
    <row r="1409" spans="1:20" ht="45" customHeight="1" x14ac:dyDescent="0.25">
      <c r="A1409" s="2" t="str">
        <f t="shared" si="1"/>
        <v/>
      </c>
      <c r="B1409" s="2"/>
      <c r="C1409" s="43"/>
      <c r="D1409" s="2"/>
      <c r="E1409" s="2"/>
      <c r="F1409" s="2"/>
      <c r="G1409" s="11"/>
      <c r="H1409" s="11"/>
      <c r="I1409" s="2"/>
      <c r="J1409" s="2"/>
      <c r="K1409" s="2"/>
      <c r="L1409" s="10"/>
      <c r="M1409" s="9"/>
      <c r="N1409" s="2"/>
      <c r="O1409" s="2"/>
      <c r="P1409" s="2"/>
      <c r="Q1409" s="50"/>
      <c r="R1409" s="50"/>
      <c r="S1409" s="2">
        <f>IFERROR(VLOOKUP(A1409,IMPORT_DESISTENCIA!$A$2:$Q2273,14,0),"NÃO")</f>
        <v>0</v>
      </c>
      <c r="T1409" s="35"/>
    </row>
    <row r="1410" spans="1:20" ht="45" customHeight="1" x14ac:dyDescent="0.25">
      <c r="A1410" s="2" t="str">
        <f t="shared" si="1"/>
        <v/>
      </c>
      <c r="B1410" s="2"/>
      <c r="C1410" s="43"/>
      <c r="D1410" s="2"/>
      <c r="E1410" s="2"/>
      <c r="F1410" s="2"/>
      <c r="G1410" s="11"/>
      <c r="H1410" s="11"/>
      <c r="I1410" s="2"/>
      <c r="J1410" s="2"/>
      <c r="K1410" s="2"/>
      <c r="L1410" s="10"/>
      <c r="M1410" s="9"/>
      <c r="N1410" s="2"/>
      <c r="O1410" s="2"/>
      <c r="P1410" s="2"/>
      <c r="Q1410" s="50"/>
      <c r="R1410" s="50"/>
      <c r="S1410" s="2">
        <f>IFERROR(VLOOKUP(A1410,IMPORT_DESISTENCIA!$A$2:$Q2273,14,0),"NÃO")</f>
        <v>0</v>
      </c>
      <c r="T1410" s="35"/>
    </row>
    <row r="1411" spans="1:20" ht="45" customHeight="1" x14ac:dyDescent="0.25">
      <c r="A1411" s="2" t="str">
        <f t="shared" si="1"/>
        <v/>
      </c>
      <c r="B1411" s="2"/>
      <c r="C1411" s="43"/>
      <c r="D1411" s="2"/>
      <c r="E1411" s="2"/>
      <c r="F1411" s="2"/>
      <c r="G1411" s="11"/>
      <c r="H1411" s="11"/>
      <c r="I1411" s="2"/>
      <c r="J1411" s="2"/>
      <c r="K1411" s="2"/>
      <c r="L1411" s="10"/>
      <c r="M1411" s="9"/>
      <c r="N1411" s="2"/>
      <c r="O1411" s="2"/>
      <c r="P1411" s="2"/>
      <c r="Q1411" s="50"/>
      <c r="R1411" s="50"/>
      <c r="S1411" s="2">
        <f>IFERROR(VLOOKUP(A1411,IMPORT_DESISTENCIA!$A$2:$Q2273,14,0),"NÃO")</f>
        <v>0</v>
      </c>
      <c r="T1411" s="35"/>
    </row>
    <row r="1412" spans="1:20" ht="45" customHeight="1" x14ac:dyDescent="0.25">
      <c r="A1412" s="2" t="str">
        <f t="shared" si="1"/>
        <v/>
      </c>
      <c r="B1412" s="2"/>
      <c r="C1412" s="43"/>
      <c r="D1412" s="2"/>
      <c r="E1412" s="2"/>
      <c r="F1412" s="2"/>
      <c r="G1412" s="11"/>
      <c r="H1412" s="11"/>
      <c r="I1412" s="2"/>
      <c r="J1412" s="2"/>
      <c r="K1412" s="2"/>
      <c r="L1412" s="10"/>
      <c r="M1412" s="9"/>
      <c r="N1412" s="2"/>
      <c r="O1412" s="2"/>
      <c r="P1412" s="2"/>
      <c r="Q1412" s="50"/>
      <c r="R1412" s="50"/>
      <c r="S1412" s="2">
        <f>IFERROR(VLOOKUP(A1412,IMPORT_DESISTENCIA!$A$2:$Q2273,14,0),"NÃO")</f>
        <v>0</v>
      </c>
      <c r="T1412" s="35"/>
    </row>
    <row r="1413" spans="1:20" ht="45" customHeight="1" x14ac:dyDescent="0.25">
      <c r="A1413" s="2" t="str">
        <f t="shared" si="1"/>
        <v/>
      </c>
      <c r="B1413" s="2"/>
      <c r="C1413" s="43"/>
      <c r="D1413" s="2"/>
      <c r="E1413" s="2"/>
      <c r="F1413" s="2"/>
      <c r="G1413" s="11"/>
      <c r="H1413" s="11"/>
      <c r="I1413" s="2"/>
      <c r="J1413" s="2"/>
      <c r="K1413" s="2"/>
      <c r="L1413" s="10"/>
      <c r="M1413" s="9"/>
      <c r="N1413" s="2"/>
      <c r="O1413" s="2"/>
      <c r="P1413" s="2"/>
      <c r="Q1413" s="50"/>
      <c r="R1413" s="50"/>
      <c r="S1413" s="2">
        <f>IFERROR(VLOOKUP(A1413,IMPORT_DESISTENCIA!$A$2:$Q2273,14,0),"NÃO")</f>
        <v>0</v>
      </c>
      <c r="T1413" s="35"/>
    </row>
    <row r="1414" spans="1:20" ht="45" customHeight="1" x14ac:dyDescent="0.25">
      <c r="A1414" s="2" t="str">
        <f t="shared" si="1"/>
        <v/>
      </c>
      <c r="B1414" s="2"/>
      <c r="C1414" s="43"/>
      <c r="D1414" s="2"/>
      <c r="E1414" s="2"/>
      <c r="F1414" s="2"/>
      <c r="G1414" s="11"/>
      <c r="H1414" s="11"/>
      <c r="I1414" s="2"/>
      <c r="J1414" s="2"/>
      <c r="K1414" s="2"/>
      <c r="L1414" s="10"/>
      <c r="M1414" s="9"/>
      <c r="N1414" s="2"/>
      <c r="O1414" s="2"/>
      <c r="P1414" s="2"/>
      <c r="Q1414" s="50"/>
      <c r="R1414" s="50"/>
      <c r="S1414" s="2">
        <f>IFERROR(VLOOKUP(A1414,IMPORT_DESISTENCIA!$A$2:$Q2273,14,0),"NÃO")</f>
        <v>0</v>
      </c>
      <c r="T1414" s="35"/>
    </row>
    <row r="1415" spans="1:20" ht="45" customHeight="1" x14ac:dyDescent="0.25">
      <c r="A1415" s="2" t="str">
        <f t="shared" si="1"/>
        <v/>
      </c>
      <c r="B1415" s="2"/>
      <c r="C1415" s="43"/>
      <c r="D1415" s="2"/>
      <c r="E1415" s="2"/>
      <c r="F1415" s="2"/>
      <c r="G1415" s="11"/>
      <c r="H1415" s="11"/>
      <c r="I1415" s="2"/>
      <c r="J1415" s="2"/>
      <c r="K1415" s="2"/>
      <c r="L1415" s="10"/>
      <c r="M1415" s="9"/>
      <c r="N1415" s="2"/>
      <c r="O1415" s="2"/>
      <c r="P1415" s="2"/>
      <c r="Q1415" s="50"/>
      <c r="R1415" s="50"/>
      <c r="S1415" s="2">
        <f>IFERROR(VLOOKUP(A1415,IMPORT_DESISTENCIA!$A$2:$Q2273,14,0),"NÃO")</f>
        <v>0</v>
      </c>
      <c r="T1415" s="35"/>
    </row>
    <row r="1416" spans="1:20" ht="45" customHeight="1" x14ac:dyDescent="0.25">
      <c r="A1416" s="2" t="str">
        <f t="shared" si="1"/>
        <v/>
      </c>
      <c r="B1416" s="2"/>
      <c r="C1416" s="43"/>
      <c r="D1416" s="2"/>
      <c r="E1416" s="2"/>
      <c r="F1416" s="2"/>
      <c r="G1416" s="11"/>
      <c r="H1416" s="11"/>
      <c r="I1416" s="2"/>
      <c r="J1416" s="2"/>
      <c r="K1416" s="2"/>
      <c r="L1416" s="10"/>
      <c r="M1416" s="9"/>
      <c r="N1416" s="2"/>
      <c r="O1416" s="2"/>
      <c r="P1416" s="2"/>
      <c r="Q1416" s="50"/>
      <c r="R1416" s="50"/>
      <c r="S1416" s="2">
        <f>IFERROR(VLOOKUP(A1416,IMPORT_DESISTENCIA!$A$2:$Q2273,14,0),"NÃO")</f>
        <v>0</v>
      </c>
      <c r="T1416" s="35"/>
    </row>
    <row r="1417" spans="1:20" ht="45" customHeight="1" x14ac:dyDescent="0.25">
      <c r="A1417" s="2" t="str">
        <f t="shared" si="1"/>
        <v/>
      </c>
      <c r="B1417" s="2"/>
      <c r="C1417" s="43"/>
      <c r="D1417" s="2"/>
      <c r="E1417" s="2"/>
      <c r="F1417" s="2"/>
      <c r="G1417" s="11"/>
      <c r="H1417" s="11"/>
      <c r="I1417" s="2"/>
      <c r="J1417" s="2"/>
      <c r="K1417" s="2"/>
      <c r="L1417" s="10"/>
      <c r="M1417" s="9"/>
      <c r="N1417" s="2"/>
      <c r="O1417" s="2"/>
      <c r="P1417" s="2"/>
      <c r="Q1417" s="50"/>
      <c r="R1417" s="50"/>
      <c r="S1417" s="2">
        <f>IFERROR(VLOOKUP(A1417,IMPORT_DESISTENCIA!$A$2:$Q2273,14,0),"NÃO")</f>
        <v>0</v>
      </c>
      <c r="T1417" s="35"/>
    </row>
    <row r="1418" spans="1:20" ht="45" customHeight="1" x14ac:dyDescent="0.25">
      <c r="A1418" s="2" t="str">
        <f t="shared" si="1"/>
        <v/>
      </c>
      <c r="B1418" s="2"/>
      <c r="C1418" s="43"/>
      <c r="D1418" s="2"/>
      <c r="E1418" s="2"/>
      <c r="F1418" s="2"/>
      <c r="G1418" s="11"/>
      <c r="H1418" s="11"/>
      <c r="I1418" s="2"/>
      <c r="J1418" s="2"/>
      <c r="K1418" s="2"/>
      <c r="L1418" s="10"/>
      <c r="M1418" s="9"/>
      <c r="N1418" s="2"/>
      <c r="O1418" s="2"/>
      <c r="P1418" s="2"/>
      <c r="Q1418" s="50"/>
      <c r="R1418" s="50"/>
      <c r="S1418" s="2">
        <f>IFERROR(VLOOKUP(A1418,IMPORT_DESISTENCIA!$A$2:$Q2273,14,0),"NÃO")</f>
        <v>0</v>
      </c>
      <c r="T1418" s="35"/>
    </row>
    <row r="1419" spans="1:20" ht="45" customHeight="1" x14ac:dyDescent="0.25">
      <c r="A1419" s="2" t="str">
        <f t="shared" si="1"/>
        <v/>
      </c>
      <c r="B1419" s="2"/>
      <c r="C1419" s="43"/>
      <c r="D1419" s="2"/>
      <c r="E1419" s="2"/>
      <c r="F1419" s="2"/>
      <c r="G1419" s="11"/>
      <c r="H1419" s="11"/>
      <c r="I1419" s="2"/>
      <c r="J1419" s="2"/>
      <c r="K1419" s="2"/>
      <c r="L1419" s="10"/>
      <c r="M1419" s="9"/>
      <c r="N1419" s="2"/>
      <c r="O1419" s="2"/>
      <c r="P1419" s="2"/>
      <c r="Q1419" s="50"/>
      <c r="R1419" s="50"/>
      <c r="S1419" s="2">
        <f>IFERROR(VLOOKUP(A1419,IMPORT_DESISTENCIA!$A$2:$Q2273,14,0),"NÃO")</f>
        <v>0</v>
      </c>
      <c r="T1419" s="35"/>
    </row>
    <row r="1420" spans="1:20" ht="45" customHeight="1" x14ac:dyDescent="0.25">
      <c r="A1420" s="2" t="str">
        <f t="shared" si="1"/>
        <v/>
      </c>
      <c r="B1420" s="2"/>
      <c r="C1420" s="43"/>
      <c r="D1420" s="2"/>
      <c r="E1420" s="2"/>
      <c r="F1420" s="2"/>
      <c r="G1420" s="11"/>
      <c r="H1420" s="11"/>
      <c r="I1420" s="2"/>
      <c r="J1420" s="2"/>
      <c r="K1420" s="2"/>
      <c r="L1420" s="10"/>
      <c r="M1420" s="9"/>
      <c r="N1420" s="2"/>
      <c r="O1420" s="2"/>
      <c r="P1420" s="2"/>
      <c r="Q1420" s="50"/>
      <c r="R1420" s="50"/>
      <c r="S1420" s="2">
        <f>IFERROR(VLOOKUP(A1420,IMPORT_DESISTENCIA!$A$2:$Q2273,14,0),"NÃO")</f>
        <v>0</v>
      </c>
      <c r="T1420" s="35"/>
    </row>
    <row r="1421" spans="1:20" ht="45" customHeight="1" x14ac:dyDescent="0.25">
      <c r="A1421" s="2" t="str">
        <f t="shared" si="1"/>
        <v/>
      </c>
      <c r="B1421" s="2"/>
      <c r="C1421" s="43"/>
      <c r="D1421" s="2"/>
      <c r="E1421" s="2"/>
      <c r="F1421" s="2"/>
      <c r="G1421" s="11"/>
      <c r="H1421" s="11"/>
      <c r="I1421" s="2"/>
      <c r="J1421" s="2"/>
      <c r="K1421" s="2"/>
      <c r="L1421" s="10"/>
      <c r="M1421" s="9"/>
      <c r="N1421" s="2"/>
      <c r="O1421" s="2"/>
      <c r="P1421" s="2"/>
      <c r="Q1421" s="50"/>
      <c r="R1421" s="50"/>
      <c r="S1421" s="2">
        <f>IFERROR(VLOOKUP(A1421,IMPORT_DESISTENCIA!$A$2:$Q2273,14,0),"NÃO")</f>
        <v>0</v>
      </c>
      <c r="T1421" s="35"/>
    </row>
    <row r="1422" spans="1:20" ht="45" customHeight="1" x14ac:dyDescent="0.25">
      <c r="A1422" s="2" t="str">
        <f t="shared" si="1"/>
        <v/>
      </c>
      <c r="B1422" s="2"/>
      <c r="C1422" s="43"/>
      <c r="D1422" s="2"/>
      <c r="E1422" s="2"/>
      <c r="F1422" s="2"/>
      <c r="G1422" s="11"/>
      <c r="H1422" s="11"/>
      <c r="I1422" s="2"/>
      <c r="J1422" s="2"/>
      <c r="K1422" s="2"/>
      <c r="L1422" s="10"/>
      <c r="M1422" s="9"/>
      <c r="N1422" s="2"/>
      <c r="O1422" s="2"/>
      <c r="P1422" s="2"/>
      <c r="Q1422" s="50"/>
      <c r="R1422" s="50"/>
      <c r="S1422" s="2">
        <f>IFERROR(VLOOKUP(A1422,IMPORT_DESISTENCIA!$A$2:$Q2273,14,0),"NÃO")</f>
        <v>0</v>
      </c>
      <c r="T1422" s="35"/>
    </row>
    <row r="1423" spans="1:20" ht="45" customHeight="1" x14ac:dyDescent="0.25">
      <c r="A1423" s="2" t="str">
        <f t="shared" si="1"/>
        <v/>
      </c>
      <c r="B1423" s="2"/>
      <c r="C1423" s="43"/>
      <c r="D1423" s="2"/>
      <c r="E1423" s="2"/>
      <c r="F1423" s="2"/>
      <c r="G1423" s="11"/>
      <c r="H1423" s="11"/>
      <c r="I1423" s="2"/>
      <c r="J1423" s="2"/>
      <c r="K1423" s="2"/>
      <c r="L1423" s="10"/>
      <c r="M1423" s="9"/>
      <c r="N1423" s="2"/>
      <c r="O1423" s="2"/>
      <c r="P1423" s="2"/>
      <c r="Q1423" s="50"/>
      <c r="R1423" s="50"/>
      <c r="S1423" s="2">
        <f>IFERROR(VLOOKUP(A1423,IMPORT_DESISTENCIA!$A$2:$Q2273,14,0),"NÃO")</f>
        <v>0</v>
      </c>
      <c r="T1423" s="35"/>
    </row>
    <row r="1424" spans="1:20" ht="45" customHeight="1" x14ac:dyDescent="0.25">
      <c r="A1424" s="2" t="str">
        <f t="shared" si="1"/>
        <v/>
      </c>
      <c r="B1424" s="2"/>
      <c r="C1424" s="43"/>
      <c r="D1424" s="2"/>
      <c r="E1424" s="2"/>
      <c r="F1424" s="2"/>
      <c r="G1424" s="11"/>
      <c r="H1424" s="11"/>
      <c r="I1424" s="2"/>
      <c r="J1424" s="2"/>
      <c r="K1424" s="2"/>
      <c r="L1424" s="10"/>
      <c r="M1424" s="9"/>
      <c r="N1424" s="2"/>
      <c r="O1424" s="2"/>
      <c r="P1424" s="2"/>
      <c r="Q1424" s="50"/>
      <c r="R1424" s="50"/>
      <c r="S1424" s="2">
        <f>IFERROR(VLOOKUP(A1424,IMPORT_DESISTENCIA!$A$2:$Q2273,14,0),"NÃO")</f>
        <v>0</v>
      </c>
      <c r="T1424" s="35"/>
    </row>
    <row r="1425" spans="1:20" ht="45" customHeight="1" x14ac:dyDescent="0.25">
      <c r="A1425" s="2" t="str">
        <f t="shared" si="1"/>
        <v/>
      </c>
      <c r="B1425" s="2"/>
      <c r="C1425" s="43"/>
      <c r="D1425" s="2"/>
      <c r="E1425" s="2"/>
      <c r="F1425" s="2"/>
      <c r="G1425" s="11"/>
      <c r="H1425" s="11"/>
      <c r="I1425" s="2"/>
      <c r="J1425" s="2"/>
      <c r="K1425" s="2"/>
      <c r="L1425" s="10"/>
      <c r="M1425" s="9"/>
      <c r="N1425" s="2"/>
      <c r="O1425" s="2"/>
      <c r="P1425" s="2"/>
      <c r="Q1425" s="50"/>
      <c r="R1425" s="50"/>
      <c r="S1425" s="2">
        <f>IFERROR(VLOOKUP(A1425,IMPORT_DESISTENCIA!$A$2:$Q2273,14,0),"NÃO")</f>
        <v>0</v>
      </c>
      <c r="T1425" s="35"/>
    </row>
    <row r="1426" spans="1:20" ht="45" customHeight="1" x14ac:dyDescent="0.25">
      <c r="A1426" s="2" t="str">
        <f t="shared" si="1"/>
        <v/>
      </c>
      <c r="B1426" s="2"/>
      <c r="C1426" s="43"/>
      <c r="D1426" s="2"/>
      <c r="E1426" s="2"/>
      <c r="F1426" s="2"/>
      <c r="G1426" s="11"/>
      <c r="H1426" s="11"/>
      <c r="I1426" s="2"/>
      <c r="J1426" s="2"/>
      <c r="K1426" s="2"/>
      <c r="L1426" s="10"/>
      <c r="M1426" s="9"/>
      <c r="N1426" s="2"/>
      <c r="O1426" s="2"/>
      <c r="P1426" s="2"/>
      <c r="Q1426" s="50"/>
      <c r="R1426" s="50"/>
      <c r="S1426" s="2">
        <f>IFERROR(VLOOKUP(A1426,IMPORT_DESISTENCIA!$A$2:$Q2273,14,0),"NÃO")</f>
        <v>0</v>
      </c>
      <c r="T1426" s="35"/>
    </row>
    <row r="1427" spans="1:20" ht="45" customHeight="1" x14ac:dyDescent="0.25">
      <c r="A1427" s="2" t="str">
        <f t="shared" si="1"/>
        <v/>
      </c>
      <c r="B1427" s="2"/>
      <c r="C1427" s="43"/>
      <c r="D1427" s="2"/>
      <c r="E1427" s="2"/>
      <c r="F1427" s="2"/>
      <c r="G1427" s="11"/>
      <c r="H1427" s="11"/>
      <c r="I1427" s="2"/>
      <c r="J1427" s="2"/>
      <c r="K1427" s="2"/>
      <c r="L1427" s="10"/>
      <c r="M1427" s="9"/>
      <c r="N1427" s="2"/>
      <c r="O1427" s="2"/>
      <c r="P1427" s="2"/>
      <c r="Q1427" s="50"/>
      <c r="R1427" s="50"/>
      <c r="S1427" s="2">
        <f>IFERROR(VLOOKUP(A1427,IMPORT_DESISTENCIA!$A$2:$Q2273,14,0),"NÃO")</f>
        <v>0</v>
      </c>
      <c r="T1427" s="35"/>
    </row>
    <row r="1428" spans="1:20" ht="45" customHeight="1" x14ac:dyDescent="0.25">
      <c r="A1428" s="2" t="str">
        <f t="shared" si="1"/>
        <v/>
      </c>
      <c r="B1428" s="2"/>
      <c r="C1428" s="43"/>
      <c r="D1428" s="2"/>
      <c r="E1428" s="2"/>
      <c r="F1428" s="2"/>
      <c r="G1428" s="11"/>
      <c r="H1428" s="11"/>
      <c r="I1428" s="2"/>
      <c r="J1428" s="2"/>
      <c r="K1428" s="2"/>
      <c r="L1428" s="10"/>
      <c r="M1428" s="9"/>
      <c r="N1428" s="2"/>
      <c r="O1428" s="2"/>
      <c r="P1428" s="2"/>
      <c r="Q1428" s="50"/>
      <c r="R1428" s="50"/>
      <c r="S1428" s="2">
        <f>IFERROR(VLOOKUP(A1428,IMPORT_DESISTENCIA!$A$2:$Q2273,14,0),"NÃO")</f>
        <v>0</v>
      </c>
      <c r="T1428" s="35"/>
    </row>
    <row r="1429" spans="1:20" ht="45" customHeight="1" x14ac:dyDescent="0.25">
      <c r="A1429" s="2" t="str">
        <f t="shared" si="1"/>
        <v/>
      </c>
      <c r="B1429" s="2"/>
      <c r="C1429" s="43"/>
      <c r="D1429" s="2"/>
      <c r="E1429" s="2"/>
      <c r="F1429" s="2"/>
      <c r="G1429" s="11"/>
      <c r="H1429" s="11"/>
      <c r="I1429" s="2"/>
      <c r="J1429" s="2"/>
      <c r="K1429" s="2"/>
      <c r="L1429" s="10"/>
      <c r="M1429" s="9"/>
      <c r="N1429" s="2"/>
      <c r="O1429" s="2"/>
      <c r="P1429" s="2"/>
      <c r="Q1429" s="50"/>
      <c r="R1429" s="50"/>
      <c r="S1429" s="2">
        <f>IFERROR(VLOOKUP(A1429,IMPORT_DESISTENCIA!$A$2:$Q2273,14,0),"NÃO")</f>
        <v>0</v>
      </c>
      <c r="T1429" s="35"/>
    </row>
    <row r="1430" spans="1:20" ht="45" customHeight="1" x14ac:dyDescent="0.25">
      <c r="A1430" s="2" t="str">
        <f t="shared" si="1"/>
        <v/>
      </c>
      <c r="B1430" s="2"/>
      <c r="C1430" s="43"/>
      <c r="D1430" s="2"/>
      <c r="E1430" s="2"/>
      <c r="F1430" s="2"/>
      <c r="G1430" s="11"/>
      <c r="H1430" s="11"/>
      <c r="I1430" s="2"/>
      <c r="J1430" s="2"/>
      <c r="K1430" s="2"/>
      <c r="L1430" s="10"/>
      <c r="M1430" s="9"/>
      <c r="N1430" s="2"/>
      <c r="O1430" s="2"/>
      <c r="P1430" s="2"/>
      <c r="Q1430" s="50"/>
      <c r="R1430" s="50"/>
      <c r="S1430" s="2">
        <f>IFERROR(VLOOKUP(A1430,IMPORT_DESISTENCIA!$A$2:$Q2273,14,0),"NÃO")</f>
        <v>0</v>
      </c>
      <c r="T1430" s="35"/>
    </row>
    <row r="1431" spans="1:20" ht="45" customHeight="1" x14ac:dyDescent="0.25">
      <c r="A1431" s="2" t="str">
        <f t="shared" si="1"/>
        <v/>
      </c>
      <c r="B1431" s="2"/>
      <c r="C1431" s="43"/>
      <c r="D1431" s="2"/>
      <c r="E1431" s="2"/>
      <c r="F1431" s="2"/>
      <c r="G1431" s="11"/>
      <c r="H1431" s="11"/>
      <c r="I1431" s="2"/>
      <c r="J1431" s="2"/>
      <c r="K1431" s="2"/>
      <c r="L1431" s="10"/>
      <c r="M1431" s="9"/>
      <c r="N1431" s="2"/>
      <c r="O1431" s="2"/>
      <c r="P1431" s="2"/>
      <c r="Q1431" s="50"/>
      <c r="R1431" s="50"/>
      <c r="S1431" s="2">
        <f>IFERROR(VLOOKUP(A1431,IMPORT_DESISTENCIA!$A$2:$Q2273,14,0),"NÃO")</f>
        <v>0</v>
      </c>
      <c r="T1431" s="35"/>
    </row>
    <row r="1432" spans="1:20" ht="45" customHeight="1" x14ac:dyDescent="0.25">
      <c r="A1432" s="2" t="str">
        <f t="shared" si="1"/>
        <v/>
      </c>
      <c r="B1432" s="2"/>
      <c r="C1432" s="43"/>
      <c r="D1432" s="2"/>
      <c r="E1432" s="2"/>
      <c r="F1432" s="2"/>
      <c r="G1432" s="11"/>
      <c r="H1432" s="11"/>
      <c r="I1432" s="2"/>
      <c r="J1432" s="2"/>
      <c r="K1432" s="2"/>
      <c r="L1432" s="10"/>
      <c r="M1432" s="9"/>
      <c r="N1432" s="2"/>
      <c r="O1432" s="2"/>
      <c r="P1432" s="2"/>
      <c r="Q1432" s="50"/>
      <c r="R1432" s="50"/>
      <c r="S1432" s="2">
        <f>IFERROR(VLOOKUP(A1432,IMPORT_DESISTENCIA!$A$2:$Q2273,14,0),"NÃO")</f>
        <v>0</v>
      </c>
      <c r="T1432" s="35"/>
    </row>
    <row r="1433" spans="1:20" ht="45" customHeight="1" x14ac:dyDescent="0.25">
      <c r="A1433" s="2" t="str">
        <f t="shared" si="1"/>
        <v/>
      </c>
      <c r="B1433" s="2"/>
      <c r="C1433" s="43"/>
      <c r="D1433" s="2"/>
      <c r="E1433" s="2"/>
      <c r="F1433" s="2"/>
      <c r="G1433" s="11"/>
      <c r="H1433" s="11"/>
      <c r="I1433" s="2"/>
      <c r="J1433" s="2"/>
      <c r="K1433" s="2"/>
      <c r="L1433" s="10"/>
      <c r="M1433" s="9"/>
      <c r="N1433" s="2"/>
      <c r="O1433" s="2"/>
      <c r="P1433" s="2"/>
      <c r="Q1433" s="50"/>
      <c r="R1433" s="50"/>
      <c r="S1433" s="2">
        <f>IFERROR(VLOOKUP(A1433,IMPORT_DESISTENCIA!$A$2:$Q2273,14,0),"NÃO")</f>
        <v>0</v>
      </c>
      <c r="T1433" s="35"/>
    </row>
    <row r="1434" spans="1:20" ht="45" customHeight="1" x14ac:dyDescent="0.25">
      <c r="A1434" s="2" t="str">
        <f t="shared" si="1"/>
        <v/>
      </c>
      <c r="B1434" s="2"/>
      <c r="C1434" s="43"/>
      <c r="D1434" s="2"/>
      <c r="E1434" s="2"/>
      <c r="F1434" s="2"/>
      <c r="G1434" s="11"/>
      <c r="H1434" s="11"/>
      <c r="I1434" s="2"/>
      <c r="J1434" s="2"/>
      <c r="K1434" s="2"/>
      <c r="L1434" s="10"/>
      <c r="M1434" s="9"/>
      <c r="N1434" s="2"/>
      <c r="O1434" s="2"/>
      <c r="P1434" s="2"/>
      <c r="Q1434" s="50"/>
      <c r="R1434" s="50"/>
      <c r="S1434" s="2">
        <f>IFERROR(VLOOKUP(A1434,IMPORT_DESISTENCIA!$A$2:$Q2273,14,0),"NÃO")</f>
        <v>0</v>
      </c>
      <c r="T1434" s="35"/>
    </row>
    <row r="1435" spans="1:20" ht="45" customHeight="1" x14ac:dyDescent="0.25">
      <c r="A1435" s="2" t="str">
        <f t="shared" si="1"/>
        <v/>
      </c>
      <c r="B1435" s="2"/>
      <c r="C1435" s="43"/>
      <c r="D1435" s="2"/>
      <c r="E1435" s="2"/>
      <c r="F1435" s="2"/>
      <c r="G1435" s="11"/>
      <c r="H1435" s="11"/>
      <c r="I1435" s="2"/>
      <c r="J1435" s="2"/>
      <c r="K1435" s="2"/>
      <c r="L1435" s="10"/>
      <c r="M1435" s="9"/>
      <c r="N1435" s="2"/>
      <c r="O1435" s="2"/>
      <c r="P1435" s="2"/>
      <c r="Q1435" s="50"/>
      <c r="R1435" s="50"/>
      <c r="S1435" s="2">
        <f>IFERROR(VLOOKUP(A1435,IMPORT_DESISTENCIA!$A$2:$Q2273,14,0),"NÃO")</f>
        <v>0</v>
      </c>
      <c r="T1435" s="35"/>
    </row>
    <row r="1436" spans="1:20" ht="45" customHeight="1" x14ac:dyDescent="0.25">
      <c r="A1436" s="2" t="str">
        <f t="shared" si="1"/>
        <v/>
      </c>
      <c r="B1436" s="2"/>
      <c r="C1436" s="43"/>
      <c r="D1436" s="2"/>
      <c r="E1436" s="2"/>
      <c r="F1436" s="2"/>
      <c r="G1436" s="11"/>
      <c r="H1436" s="11"/>
      <c r="I1436" s="2"/>
      <c r="J1436" s="2"/>
      <c r="K1436" s="2"/>
      <c r="L1436" s="10"/>
      <c r="M1436" s="9"/>
      <c r="N1436" s="2"/>
      <c r="O1436" s="2"/>
      <c r="P1436" s="2"/>
      <c r="Q1436" s="50"/>
      <c r="R1436" s="50"/>
      <c r="S1436" s="2">
        <f>IFERROR(VLOOKUP(A1436,IMPORT_DESISTENCIA!$A$2:$Q2273,14,0),"NÃO")</f>
        <v>0</v>
      </c>
      <c r="T1436" s="35"/>
    </row>
    <row r="1437" spans="1:20" ht="45" customHeight="1" x14ac:dyDescent="0.25">
      <c r="A1437" s="2" t="str">
        <f t="shared" si="1"/>
        <v/>
      </c>
      <c r="B1437" s="2"/>
      <c r="C1437" s="43"/>
      <c r="D1437" s="2"/>
      <c r="E1437" s="2"/>
      <c r="F1437" s="2"/>
      <c r="G1437" s="11"/>
      <c r="H1437" s="11"/>
      <c r="I1437" s="2"/>
      <c r="J1437" s="2"/>
      <c r="K1437" s="2"/>
      <c r="L1437" s="10"/>
      <c r="M1437" s="9"/>
      <c r="N1437" s="2"/>
      <c r="O1437" s="2"/>
      <c r="P1437" s="2"/>
      <c r="Q1437" s="50"/>
      <c r="R1437" s="50"/>
      <c r="S1437" s="2">
        <f>IFERROR(VLOOKUP(A1437,IMPORT_DESISTENCIA!$A$2:$Q2273,14,0),"NÃO")</f>
        <v>0</v>
      </c>
      <c r="T1437" s="35"/>
    </row>
    <row r="1438" spans="1:20" ht="45" customHeight="1" x14ac:dyDescent="0.25">
      <c r="A1438" s="2" t="str">
        <f t="shared" si="1"/>
        <v/>
      </c>
      <c r="B1438" s="2"/>
      <c r="C1438" s="43"/>
      <c r="D1438" s="2"/>
      <c r="E1438" s="2"/>
      <c r="F1438" s="2"/>
      <c r="G1438" s="11"/>
      <c r="H1438" s="11"/>
      <c r="I1438" s="2"/>
      <c r="J1438" s="2"/>
      <c r="K1438" s="2"/>
      <c r="L1438" s="10"/>
      <c r="M1438" s="9"/>
      <c r="N1438" s="2"/>
      <c r="O1438" s="2"/>
      <c r="P1438" s="2"/>
      <c r="Q1438" s="50"/>
      <c r="R1438" s="50"/>
      <c r="S1438" s="2">
        <f>IFERROR(VLOOKUP(A1438,IMPORT_DESISTENCIA!$A$2:$Q2273,14,0),"NÃO")</f>
        <v>0</v>
      </c>
      <c r="T1438" s="35"/>
    </row>
    <row r="1439" spans="1:20" ht="45" customHeight="1" x14ac:dyDescent="0.25">
      <c r="A1439" s="2" t="str">
        <f t="shared" si="1"/>
        <v/>
      </c>
      <c r="B1439" s="2"/>
      <c r="C1439" s="43"/>
      <c r="D1439" s="2"/>
      <c r="E1439" s="2"/>
      <c r="F1439" s="2"/>
      <c r="G1439" s="11"/>
      <c r="H1439" s="11"/>
      <c r="I1439" s="2"/>
      <c r="J1439" s="2"/>
      <c r="K1439" s="2"/>
      <c r="L1439" s="10"/>
      <c r="M1439" s="9"/>
      <c r="N1439" s="2"/>
      <c r="O1439" s="2"/>
      <c r="P1439" s="2"/>
      <c r="Q1439" s="50"/>
      <c r="R1439" s="50"/>
      <c r="S1439" s="2">
        <f>IFERROR(VLOOKUP(A1439,IMPORT_DESISTENCIA!$A$2:$Q2273,14,0),"NÃO")</f>
        <v>0</v>
      </c>
      <c r="T1439" s="35"/>
    </row>
    <row r="1440" spans="1:20" ht="45" customHeight="1" x14ac:dyDescent="0.25">
      <c r="A1440" s="2" t="str">
        <f t="shared" si="1"/>
        <v/>
      </c>
      <c r="B1440" s="2"/>
      <c r="C1440" s="43"/>
      <c r="D1440" s="2"/>
      <c r="E1440" s="2"/>
      <c r="F1440" s="2"/>
      <c r="G1440" s="11"/>
      <c r="H1440" s="11"/>
      <c r="I1440" s="2"/>
      <c r="J1440" s="2"/>
      <c r="K1440" s="2"/>
      <c r="L1440" s="10"/>
      <c r="M1440" s="9"/>
      <c r="N1440" s="2"/>
      <c r="O1440" s="2"/>
      <c r="P1440" s="2"/>
      <c r="Q1440" s="50"/>
      <c r="R1440" s="50"/>
      <c r="S1440" s="2">
        <f>IFERROR(VLOOKUP(A1440,IMPORT_DESISTENCIA!$A$2:$Q2273,14,0),"NÃO")</f>
        <v>0</v>
      </c>
      <c r="T1440" s="35"/>
    </row>
    <row r="1441" spans="1:20" ht="45" customHeight="1" x14ac:dyDescent="0.25">
      <c r="A1441" s="2" t="str">
        <f t="shared" si="1"/>
        <v/>
      </c>
      <c r="B1441" s="2"/>
      <c r="C1441" s="43"/>
      <c r="D1441" s="2"/>
      <c r="E1441" s="2"/>
      <c r="F1441" s="2"/>
      <c r="G1441" s="11"/>
      <c r="H1441" s="11"/>
      <c r="I1441" s="2"/>
      <c r="J1441" s="2"/>
      <c r="K1441" s="2"/>
      <c r="L1441" s="10"/>
      <c r="M1441" s="9"/>
      <c r="N1441" s="2"/>
      <c r="O1441" s="2"/>
      <c r="P1441" s="2"/>
      <c r="Q1441" s="50"/>
      <c r="R1441" s="50"/>
      <c r="S1441" s="2">
        <f>IFERROR(VLOOKUP(A1441,IMPORT_DESISTENCIA!$A$2:$Q2273,14,0),"NÃO")</f>
        <v>0</v>
      </c>
      <c r="T1441" s="35"/>
    </row>
    <row r="1442" spans="1:20" ht="45" customHeight="1" x14ac:dyDescent="0.25">
      <c r="A1442" s="2" t="str">
        <f t="shared" si="1"/>
        <v/>
      </c>
      <c r="B1442" s="2"/>
      <c r="C1442" s="43"/>
      <c r="D1442" s="2"/>
      <c r="E1442" s="2"/>
      <c r="F1442" s="2"/>
      <c r="G1442" s="11"/>
      <c r="H1442" s="11"/>
      <c r="I1442" s="2"/>
      <c r="J1442" s="2"/>
      <c r="K1442" s="2"/>
      <c r="L1442" s="10"/>
      <c r="M1442" s="9"/>
      <c r="N1442" s="2"/>
      <c r="O1442" s="2"/>
      <c r="P1442" s="2"/>
      <c r="Q1442" s="50"/>
      <c r="R1442" s="50"/>
      <c r="S1442" s="2">
        <f>IFERROR(VLOOKUP(A1442,IMPORT_DESISTENCIA!$A$2:$Q2273,14,0),"NÃO")</f>
        <v>0</v>
      </c>
      <c r="T1442" s="35"/>
    </row>
    <row r="1443" spans="1:20" ht="45" customHeight="1" x14ac:dyDescent="0.25">
      <c r="A1443" s="2" t="str">
        <f t="shared" si="1"/>
        <v/>
      </c>
      <c r="B1443" s="2"/>
      <c r="C1443" s="43"/>
      <c r="D1443" s="2"/>
      <c r="E1443" s="2"/>
      <c r="F1443" s="2"/>
      <c r="G1443" s="11"/>
      <c r="H1443" s="11"/>
      <c r="I1443" s="2"/>
      <c r="J1443" s="2"/>
      <c r="K1443" s="2"/>
      <c r="L1443" s="10"/>
      <c r="M1443" s="9"/>
      <c r="N1443" s="2"/>
      <c r="O1443" s="2"/>
      <c r="P1443" s="2"/>
      <c r="Q1443" s="50"/>
      <c r="R1443" s="50"/>
      <c r="S1443" s="2">
        <f>IFERROR(VLOOKUP(A1443,IMPORT_DESISTENCIA!$A$2:$Q2273,14,0),"NÃO")</f>
        <v>0</v>
      </c>
      <c r="T1443" s="35"/>
    </row>
    <row r="1444" spans="1:20" ht="45" customHeight="1" x14ac:dyDescent="0.25">
      <c r="A1444" s="2" t="str">
        <f t="shared" si="1"/>
        <v/>
      </c>
      <c r="B1444" s="2"/>
      <c r="C1444" s="43"/>
      <c r="D1444" s="2"/>
      <c r="E1444" s="2"/>
      <c r="F1444" s="2"/>
      <c r="G1444" s="11"/>
      <c r="H1444" s="11"/>
      <c r="I1444" s="2"/>
      <c r="J1444" s="2"/>
      <c r="K1444" s="2"/>
      <c r="L1444" s="10"/>
      <c r="M1444" s="9"/>
      <c r="N1444" s="2"/>
      <c r="O1444" s="2"/>
      <c r="P1444" s="2"/>
      <c r="Q1444" s="50"/>
      <c r="R1444" s="50"/>
      <c r="S1444" s="2">
        <f>IFERROR(VLOOKUP(A1444,IMPORT_DESISTENCIA!$A$2:$Q2273,14,0),"NÃO")</f>
        <v>0</v>
      </c>
      <c r="T1444" s="35"/>
    </row>
    <row r="1445" spans="1:20" ht="45" customHeight="1" x14ac:dyDescent="0.25">
      <c r="A1445" s="2" t="str">
        <f t="shared" si="1"/>
        <v/>
      </c>
      <c r="B1445" s="2"/>
      <c r="C1445" s="43"/>
      <c r="D1445" s="2"/>
      <c r="E1445" s="2"/>
      <c r="F1445" s="2"/>
      <c r="G1445" s="11"/>
      <c r="H1445" s="11"/>
      <c r="I1445" s="2"/>
      <c r="J1445" s="2"/>
      <c r="K1445" s="2"/>
      <c r="L1445" s="10"/>
      <c r="M1445" s="9"/>
      <c r="N1445" s="2"/>
      <c r="O1445" s="2"/>
      <c r="P1445" s="2"/>
      <c r="Q1445" s="50"/>
      <c r="R1445" s="50"/>
      <c r="S1445" s="2">
        <f>IFERROR(VLOOKUP(A1445,IMPORT_DESISTENCIA!$A$2:$Q2273,14,0),"NÃO")</f>
        <v>0</v>
      </c>
      <c r="T1445" s="35"/>
    </row>
    <row r="1446" spans="1:20" ht="45" customHeight="1" x14ac:dyDescent="0.25">
      <c r="A1446" s="2" t="str">
        <f t="shared" si="1"/>
        <v/>
      </c>
      <c r="B1446" s="2"/>
      <c r="C1446" s="43"/>
      <c r="D1446" s="2"/>
      <c r="E1446" s="2"/>
      <c r="F1446" s="2"/>
      <c r="G1446" s="11"/>
      <c r="H1446" s="11"/>
      <c r="I1446" s="2"/>
      <c r="J1446" s="2"/>
      <c r="K1446" s="2"/>
      <c r="L1446" s="10"/>
      <c r="M1446" s="9"/>
      <c r="N1446" s="2"/>
      <c r="O1446" s="2"/>
      <c r="P1446" s="2"/>
      <c r="Q1446" s="50"/>
      <c r="R1446" s="50"/>
      <c r="S1446" s="2">
        <f>IFERROR(VLOOKUP(A1446,IMPORT_DESISTENCIA!$A$2:$Q2273,14,0),"NÃO")</f>
        <v>0</v>
      </c>
      <c r="T1446" s="35"/>
    </row>
    <row r="1447" spans="1:20" ht="45" customHeight="1" x14ac:dyDescent="0.25">
      <c r="A1447" s="2" t="str">
        <f t="shared" si="1"/>
        <v/>
      </c>
      <c r="B1447" s="2"/>
      <c r="C1447" s="43"/>
      <c r="D1447" s="2"/>
      <c r="E1447" s="2"/>
      <c r="F1447" s="2"/>
      <c r="G1447" s="11"/>
      <c r="H1447" s="11"/>
      <c r="I1447" s="2"/>
      <c r="J1447" s="2"/>
      <c r="K1447" s="2"/>
      <c r="L1447" s="10"/>
      <c r="M1447" s="9"/>
      <c r="N1447" s="2"/>
      <c r="O1447" s="2"/>
      <c r="P1447" s="2"/>
      <c r="Q1447" s="50"/>
      <c r="R1447" s="50"/>
      <c r="S1447" s="2">
        <f>IFERROR(VLOOKUP(A1447,IMPORT_DESISTENCIA!$A$2:$Q2273,14,0),"NÃO")</f>
        <v>0</v>
      </c>
      <c r="T1447" s="35"/>
    </row>
    <row r="1448" spans="1:20" ht="45" customHeight="1" x14ac:dyDescent="0.25">
      <c r="A1448" s="2" t="str">
        <f t="shared" si="1"/>
        <v/>
      </c>
      <c r="B1448" s="2"/>
      <c r="C1448" s="43"/>
      <c r="D1448" s="2"/>
      <c r="E1448" s="2"/>
      <c r="F1448" s="2"/>
      <c r="G1448" s="11"/>
      <c r="H1448" s="11"/>
      <c r="I1448" s="2"/>
      <c r="J1448" s="2"/>
      <c r="K1448" s="2"/>
      <c r="L1448" s="10"/>
      <c r="M1448" s="9"/>
      <c r="N1448" s="2"/>
      <c r="O1448" s="2"/>
      <c r="P1448" s="2"/>
      <c r="Q1448" s="50"/>
      <c r="R1448" s="50"/>
      <c r="S1448" s="2">
        <f>IFERROR(VLOOKUP(A1448,IMPORT_DESISTENCIA!$A$2:$Q2273,14,0),"NÃO")</f>
        <v>0</v>
      </c>
      <c r="T1448" s="35"/>
    </row>
    <row r="1449" spans="1:20" ht="45" customHeight="1" x14ac:dyDescent="0.25">
      <c r="A1449" s="2" t="str">
        <f t="shared" si="1"/>
        <v/>
      </c>
      <c r="B1449" s="2"/>
      <c r="C1449" s="43"/>
      <c r="D1449" s="2"/>
      <c r="E1449" s="2"/>
      <c r="F1449" s="2"/>
      <c r="G1449" s="11"/>
      <c r="H1449" s="11"/>
      <c r="I1449" s="2"/>
      <c r="J1449" s="2"/>
      <c r="K1449" s="2"/>
      <c r="L1449" s="10"/>
      <c r="M1449" s="9"/>
      <c r="N1449" s="2"/>
      <c r="O1449" s="2"/>
      <c r="P1449" s="2"/>
      <c r="Q1449" s="50"/>
      <c r="R1449" s="50"/>
      <c r="S1449" s="2">
        <f>IFERROR(VLOOKUP(A1449,IMPORT_DESISTENCIA!$A$2:$Q2273,14,0),"NÃO")</f>
        <v>0</v>
      </c>
      <c r="T1449" s="35"/>
    </row>
    <row r="1450" spans="1:20" ht="45" customHeight="1" x14ac:dyDescent="0.25">
      <c r="A1450" s="2" t="str">
        <f t="shared" si="1"/>
        <v/>
      </c>
      <c r="B1450" s="2"/>
      <c r="C1450" s="43"/>
      <c r="D1450" s="2"/>
      <c r="E1450" s="2"/>
      <c r="F1450" s="2"/>
      <c r="G1450" s="11"/>
      <c r="H1450" s="11"/>
      <c r="I1450" s="2"/>
      <c r="J1450" s="2"/>
      <c r="K1450" s="2"/>
      <c r="L1450" s="10"/>
      <c r="M1450" s="9"/>
      <c r="N1450" s="2"/>
      <c r="O1450" s="2"/>
      <c r="P1450" s="2"/>
      <c r="Q1450" s="50"/>
      <c r="R1450" s="50"/>
      <c r="S1450" s="2">
        <f>IFERROR(VLOOKUP(A1450,IMPORT_DESISTENCIA!$A$2:$Q2273,14,0),"NÃO")</f>
        <v>0</v>
      </c>
      <c r="T1450" s="35"/>
    </row>
    <row r="1451" spans="1:20" ht="45" customHeight="1" x14ac:dyDescent="0.25">
      <c r="A1451" s="2" t="str">
        <f t="shared" si="1"/>
        <v/>
      </c>
      <c r="B1451" s="2"/>
      <c r="C1451" s="43"/>
      <c r="D1451" s="2"/>
      <c r="E1451" s="2"/>
      <c r="F1451" s="2"/>
      <c r="G1451" s="11"/>
      <c r="H1451" s="11"/>
      <c r="I1451" s="2"/>
      <c r="J1451" s="2"/>
      <c r="K1451" s="2"/>
      <c r="L1451" s="10"/>
      <c r="M1451" s="9"/>
      <c r="N1451" s="2"/>
      <c r="O1451" s="2"/>
      <c r="P1451" s="2"/>
      <c r="Q1451" s="50"/>
      <c r="R1451" s="50"/>
      <c r="S1451" s="2">
        <f>IFERROR(VLOOKUP(A1451,IMPORT_DESISTENCIA!$A$2:$Q2273,14,0),"NÃO")</f>
        <v>0</v>
      </c>
      <c r="T1451" s="35"/>
    </row>
    <row r="1452" spans="1:20" ht="45" customHeight="1" x14ac:dyDescent="0.25">
      <c r="A1452" s="2" t="str">
        <f t="shared" si="1"/>
        <v/>
      </c>
      <c r="B1452" s="2"/>
      <c r="C1452" s="43"/>
      <c r="D1452" s="2"/>
      <c r="E1452" s="2"/>
      <c r="F1452" s="2"/>
      <c r="G1452" s="11"/>
      <c r="H1452" s="11"/>
      <c r="I1452" s="2"/>
      <c r="J1452" s="2"/>
      <c r="K1452" s="2"/>
      <c r="L1452" s="10"/>
      <c r="M1452" s="9"/>
      <c r="N1452" s="2"/>
      <c r="O1452" s="2"/>
      <c r="P1452" s="2"/>
      <c r="Q1452" s="50"/>
      <c r="R1452" s="50"/>
      <c r="S1452" s="2">
        <f>IFERROR(VLOOKUP(A1452,IMPORT_DESISTENCIA!$A$2:$Q2273,14,0),"NÃO")</f>
        <v>0</v>
      </c>
      <c r="T1452" s="35"/>
    </row>
    <row r="1453" spans="1:20" ht="45" customHeight="1" x14ac:dyDescent="0.25">
      <c r="A1453" s="2" t="str">
        <f t="shared" si="1"/>
        <v/>
      </c>
      <c r="B1453" s="2"/>
      <c r="C1453" s="43"/>
      <c r="D1453" s="2"/>
      <c r="E1453" s="2"/>
      <c r="F1453" s="2"/>
      <c r="G1453" s="11"/>
      <c r="H1453" s="11"/>
      <c r="I1453" s="2"/>
      <c r="J1453" s="2"/>
      <c r="K1453" s="2"/>
      <c r="L1453" s="10"/>
      <c r="M1453" s="9"/>
      <c r="N1453" s="2"/>
      <c r="O1453" s="2"/>
      <c r="P1453" s="2"/>
      <c r="Q1453" s="50"/>
      <c r="R1453" s="50"/>
      <c r="S1453" s="2">
        <f>IFERROR(VLOOKUP(A1453,IMPORT_DESISTENCIA!$A$2:$Q2273,14,0),"NÃO")</f>
        <v>0</v>
      </c>
      <c r="T1453" s="35"/>
    </row>
    <row r="1454" spans="1:20" ht="45" customHeight="1" x14ac:dyDescent="0.25">
      <c r="A1454" s="2" t="str">
        <f t="shared" si="1"/>
        <v/>
      </c>
      <c r="B1454" s="2"/>
      <c r="C1454" s="43"/>
      <c r="D1454" s="2"/>
      <c r="E1454" s="2"/>
      <c r="F1454" s="2"/>
      <c r="G1454" s="11"/>
      <c r="H1454" s="11"/>
      <c r="I1454" s="2"/>
      <c r="J1454" s="2"/>
      <c r="K1454" s="2"/>
      <c r="L1454" s="10"/>
      <c r="M1454" s="9"/>
      <c r="N1454" s="2"/>
      <c r="O1454" s="2"/>
      <c r="P1454" s="2"/>
      <c r="Q1454" s="50"/>
      <c r="R1454" s="50"/>
      <c r="S1454" s="2">
        <f>IFERROR(VLOOKUP(A1454,IMPORT_DESISTENCIA!$A$2:$Q2273,14,0),"NÃO")</f>
        <v>0</v>
      </c>
      <c r="T1454" s="35"/>
    </row>
    <row r="1455" spans="1:20" ht="45" customHeight="1" x14ac:dyDescent="0.25">
      <c r="A1455" s="2" t="str">
        <f t="shared" si="1"/>
        <v/>
      </c>
      <c r="B1455" s="2"/>
      <c r="C1455" s="43"/>
      <c r="D1455" s="2"/>
      <c r="E1455" s="2"/>
      <c r="F1455" s="2"/>
      <c r="G1455" s="11"/>
      <c r="H1455" s="11"/>
      <c r="I1455" s="2"/>
      <c r="J1455" s="2"/>
      <c r="K1455" s="2"/>
      <c r="L1455" s="10"/>
      <c r="M1455" s="9"/>
      <c r="N1455" s="2"/>
      <c r="O1455" s="2"/>
      <c r="P1455" s="2"/>
      <c r="Q1455" s="50"/>
      <c r="R1455" s="50"/>
      <c r="S1455" s="2">
        <f>IFERROR(VLOOKUP(A1455,IMPORT_DESISTENCIA!$A$2:$Q2273,14,0),"NÃO")</f>
        <v>0</v>
      </c>
      <c r="T1455" s="35"/>
    </row>
    <row r="1456" spans="1:20" ht="45" customHeight="1" x14ac:dyDescent="0.25">
      <c r="A1456" s="2" t="str">
        <f t="shared" si="1"/>
        <v/>
      </c>
      <c r="B1456" s="2"/>
      <c r="C1456" s="43"/>
      <c r="D1456" s="2"/>
      <c r="E1456" s="2"/>
      <c r="F1456" s="2"/>
      <c r="G1456" s="11"/>
      <c r="H1456" s="11"/>
      <c r="I1456" s="2"/>
      <c r="J1456" s="2"/>
      <c r="K1456" s="2"/>
      <c r="L1456" s="10"/>
      <c r="M1456" s="9"/>
      <c r="N1456" s="2"/>
      <c r="O1456" s="2"/>
      <c r="P1456" s="2"/>
      <c r="Q1456" s="50"/>
      <c r="R1456" s="50"/>
      <c r="S1456" s="2">
        <f>IFERROR(VLOOKUP(A1456,IMPORT_DESISTENCIA!$A$2:$Q2273,14,0),"NÃO")</f>
        <v>0</v>
      </c>
      <c r="T1456" s="35"/>
    </row>
    <row r="1457" spans="1:20" ht="45" customHeight="1" x14ac:dyDescent="0.25">
      <c r="A1457" s="2" t="str">
        <f t="shared" si="1"/>
        <v/>
      </c>
      <c r="B1457" s="2"/>
      <c r="C1457" s="43"/>
      <c r="D1457" s="2"/>
      <c r="E1457" s="2"/>
      <c r="F1457" s="2"/>
      <c r="G1457" s="11"/>
      <c r="H1457" s="11"/>
      <c r="I1457" s="2"/>
      <c r="J1457" s="2"/>
      <c r="K1457" s="2"/>
      <c r="L1457" s="10"/>
      <c r="M1457" s="9"/>
      <c r="N1457" s="2"/>
      <c r="O1457" s="2"/>
      <c r="P1457" s="2"/>
      <c r="Q1457" s="50"/>
      <c r="R1457" s="50"/>
      <c r="S1457" s="2">
        <f>IFERROR(VLOOKUP(A1457,IMPORT_DESISTENCIA!$A$2:$Q2273,14,0),"NÃO")</f>
        <v>0</v>
      </c>
      <c r="T1457" s="35"/>
    </row>
    <row r="1458" spans="1:20" ht="45" customHeight="1" x14ac:dyDescent="0.25">
      <c r="A1458" s="2" t="str">
        <f t="shared" si="1"/>
        <v/>
      </c>
      <c r="B1458" s="2"/>
      <c r="C1458" s="43"/>
      <c r="D1458" s="2"/>
      <c r="E1458" s="2"/>
      <c r="F1458" s="2"/>
      <c r="G1458" s="11"/>
      <c r="H1458" s="11"/>
      <c r="I1458" s="2"/>
      <c r="J1458" s="2"/>
      <c r="K1458" s="2"/>
      <c r="L1458" s="10"/>
      <c r="M1458" s="9"/>
      <c r="N1458" s="2"/>
      <c r="O1458" s="2"/>
      <c r="P1458" s="2"/>
      <c r="Q1458" s="50"/>
      <c r="R1458" s="50"/>
      <c r="S1458" s="2">
        <f>IFERROR(VLOOKUP(A1458,IMPORT_DESISTENCIA!$A$2:$Q2273,14,0),"NÃO")</f>
        <v>0</v>
      </c>
      <c r="T1458" s="35"/>
    </row>
    <row r="1459" spans="1:20" ht="45" customHeight="1" x14ac:dyDescent="0.25">
      <c r="A1459" s="2" t="str">
        <f t="shared" si="1"/>
        <v/>
      </c>
      <c r="B1459" s="2"/>
      <c r="C1459" s="43"/>
      <c r="D1459" s="2"/>
      <c r="E1459" s="2"/>
      <c r="F1459" s="2"/>
      <c r="G1459" s="11"/>
      <c r="H1459" s="11"/>
      <c r="I1459" s="2"/>
      <c r="J1459" s="2"/>
      <c r="K1459" s="2"/>
      <c r="L1459" s="10"/>
      <c r="M1459" s="9"/>
      <c r="N1459" s="2"/>
      <c r="O1459" s="2"/>
      <c r="P1459" s="2"/>
      <c r="Q1459" s="50"/>
      <c r="R1459" s="50"/>
      <c r="S1459" s="2">
        <f>IFERROR(VLOOKUP(A1459,IMPORT_DESISTENCIA!$A$2:$Q2273,14,0),"NÃO")</f>
        <v>0</v>
      </c>
      <c r="T1459" s="35"/>
    </row>
    <row r="1460" spans="1:20" ht="45" customHeight="1" x14ac:dyDescent="0.25">
      <c r="A1460" s="2" t="str">
        <f t="shared" si="1"/>
        <v/>
      </c>
      <c r="B1460" s="2"/>
      <c r="C1460" s="43"/>
      <c r="D1460" s="2"/>
      <c r="E1460" s="2"/>
      <c r="F1460" s="2"/>
      <c r="G1460" s="11"/>
      <c r="H1460" s="11"/>
      <c r="I1460" s="2"/>
      <c r="J1460" s="2"/>
      <c r="K1460" s="2"/>
      <c r="L1460" s="10"/>
      <c r="M1460" s="9"/>
      <c r="N1460" s="2"/>
      <c r="O1460" s="2"/>
      <c r="P1460" s="2"/>
      <c r="Q1460" s="50"/>
      <c r="R1460" s="50"/>
      <c r="S1460" s="2">
        <f>IFERROR(VLOOKUP(A1460,IMPORT_DESISTENCIA!$A$2:$Q2273,14,0),"NÃO")</f>
        <v>0</v>
      </c>
      <c r="T1460" s="35"/>
    </row>
    <row r="1461" spans="1:20" ht="45" customHeight="1" x14ac:dyDescent="0.25">
      <c r="A1461" s="2" t="str">
        <f t="shared" si="1"/>
        <v/>
      </c>
      <c r="B1461" s="2"/>
      <c r="C1461" s="43"/>
      <c r="D1461" s="2"/>
      <c r="E1461" s="2"/>
      <c r="F1461" s="2"/>
      <c r="G1461" s="11"/>
      <c r="H1461" s="11"/>
      <c r="I1461" s="2"/>
      <c r="J1461" s="2"/>
      <c r="K1461" s="2"/>
      <c r="L1461" s="10"/>
      <c r="M1461" s="9"/>
      <c r="N1461" s="2"/>
      <c r="O1461" s="2"/>
      <c r="P1461" s="2"/>
      <c r="Q1461" s="50"/>
      <c r="R1461" s="50"/>
      <c r="S1461" s="2">
        <f>IFERROR(VLOOKUP(A1461,IMPORT_DESISTENCIA!$A$2:$Q2273,14,0),"NÃO")</f>
        <v>0</v>
      </c>
      <c r="T1461" s="35"/>
    </row>
    <row r="1462" spans="1:20" ht="45" customHeight="1" x14ac:dyDescent="0.25">
      <c r="A1462" s="2" t="str">
        <f t="shared" si="1"/>
        <v/>
      </c>
      <c r="B1462" s="2"/>
      <c r="C1462" s="43"/>
      <c r="D1462" s="2"/>
      <c r="E1462" s="2"/>
      <c r="F1462" s="2"/>
      <c r="G1462" s="11"/>
      <c r="H1462" s="11"/>
      <c r="I1462" s="2"/>
      <c r="J1462" s="2"/>
      <c r="K1462" s="2"/>
      <c r="L1462" s="10"/>
      <c r="M1462" s="9"/>
      <c r="N1462" s="2"/>
      <c r="O1462" s="2"/>
      <c r="P1462" s="2"/>
      <c r="Q1462" s="50"/>
      <c r="R1462" s="50"/>
      <c r="S1462" s="2">
        <f>IFERROR(VLOOKUP(A1462,IMPORT_DESISTENCIA!$A$2:$Q2273,14,0),"NÃO")</f>
        <v>0</v>
      </c>
      <c r="T1462" s="35"/>
    </row>
    <row r="1463" spans="1:20" ht="45" customHeight="1" x14ac:dyDescent="0.25">
      <c r="A1463" s="2" t="str">
        <f t="shared" si="1"/>
        <v/>
      </c>
      <c r="B1463" s="2"/>
      <c r="C1463" s="43"/>
      <c r="D1463" s="2"/>
      <c r="E1463" s="2"/>
      <c r="F1463" s="2"/>
      <c r="G1463" s="11"/>
      <c r="H1463" s="11"/>
      <c r="I1463" s="2"/>
      <c r="J1463" s="2"/>
      <c r="K1463" s="2"/>
      <c r="L1463" s="10"/>
      <c r="M1463" s="9"/>
      <c r="N1463" s="2"/>
      <c r="O1463" s="2"/>
      <c r="P1463" s="2"/>
      <c r="Q1463" s="50"/>
      <c r="R1463" s="50"/>
      <c r="S1463" s="2">
        <f>IFERROR(VLOOKUP(A1463,IMPORT_DESISTENCIA!$A$2:$Q2273,14,0),"NÃO")</f>
        <v>0</v>
      </c>
      <c r="T1463" s="35"/>
    </row>
    <row r="1464" spans="1:20" ht="45" customHeight="1" x14ac:dyDescent="0.25">
      <c r="A1464" s="2" t="str">
        <f t="shared" si="1"/>
        <v/>
      </c>
      <c r="B1464" s="2"/>
      <c r="C1464" s="43"/>
      <c r="D1464" s="2"/>
      <c r="E1464" s="2"/>
      <c r="F1464" s="2"/>
      <c r="G1464" s="11"/>
      <c r="H1464" s="11"/>
      <c r="I1464" s="2"/>
      <c r="J1464" s="2"/>
      <c r="K1464" s="2"/>
      <c r="L1464" s="10"/>
      <c r="M1464" s="9"/>
      <c r="N1464" s="2"/>
      <c r="O1464" s="2"/>
      <c r="P1464" s="2"/>
      <c r="Q1464" s="50"/>
      <c r="R1464" s="50"/>
      <c r="S1464" s="2">
        <f>IFERROR(VLOOKUP(A1464,IMPORT_DESISTENCIA!$A$2:$Q2273,14,0),"NÃO")</f>
        <v>0</v>
      </c>
      <c r="T1464" s="35"/>
    </row>
    <row r="1465" spans="1:20" ht="45" customHeight="1" x14ac:dyDescent="0.25">
      <c r="A1465" s="2" t="str">
        <f t="shared" si="1"/>
        <v/>
      </c>
      <c r="B1465" s="2"/>
      <c r="C1465" s="43"/>
      <c r="D1465" s="2"/>
      <c r="E1465" s="2"/>
      <c r="F1465" s="2"/>
      <c r="G1465" s="11"/>
      <c r="H1465" s="11"/>
      <c r="I1465" s="2"/>
      <c r="J1465" s="2"/>
      <c r="K1465" s="2"/>
      <c r="L1465" s="10"/>
      <c r="M1465" s="9"/>
      <c r="N1465" s="2"/>
      <c r="O1465" s="2"/>
      <c r="P1465" s="2"/>
      <c r="Q1465" s="50"/>
      <c r="R1465" s="50"/>
      <c r="S1465" s="2">
        <f>IFERROR(VLOOKUP(A1465,IMPORT_DESISTENCIA!$A$2:$Q2273,14,0),"NÃO")</f>
        <v>0</v>
      </c>
      <c r="T1465" s="35"/>
    </row>
    <row r="1466" spans="1:20" ht="45" customHeight="1" x14ac:dyDescent="0.25">
      <c r="A1466" s="2" t="str">
        <f t="shared" si="1"/>
        <v/>
      </c>
      <c r="B1466" s="2"/>
      <c r="C1466" s="43"/>
      <c r="D1466" s="2"/>
      <c r="E1466" s="2"/>
      <c r="F1466" s="2"/>
      <c r="G1466" s="11"/>
      <c r="H1466" s="11"/>
      <c r="I1466" s="2"/>
      <c r="J1466" s="2"/>
      <c r="K1466" s="2"/>
      <c r="L1466" s="10"/>
      <c r="M1466" s="9"/>
      <c r="N1466" s="2"/>
      <c r="O1466" s="2"/>
      <c r="P1466" s="2"/>
      <c r="Q1466" s="50"/>
      <c r="R1466" s="50"/>
      <c r="S1466" s="2">
        <f>IFERROR(VLOOKUP(A1466,IMPORT_DESISTENCIA!$A$2:$Q2273,14,0),"NÃO")</f>
        <v>0</v>
      </c>
      <c r="T1466" s="35"/>
    </row>
    <row r="1467" spans="1:20" ht="45" customHeight="1" x14ac:dyDescent="0.25">
      <c r="A1467" s="2" t="str">
        <f t="shared" si="1"/>
        <v/>
      </c>
      <c r="B1467" s="2"/>
      <c r="C1467" s="43"/>
      <c r="D1467" s="2"/>
      <c r="E1467" s="2"/>
      <c r="F1467" s="2"/>
      <c r="G1467" s="11"/>
      <c r="H1467" s="11"/>
      <c r="I1467" s="2"/>
      <c r="J1467" s="2"/>
      <c r="K1467" s="2"/>
      <c r="L1467" s="10"/>
      <c r="M1467" s="9"/>
      <c r="N1467" s="2"/>
      <c r="O1467" s="2"/>
      <c r="P1467" s="2"/>
      <c r="Q1467" s="50"/>
      <c r="R1467" s="50"/>
      <c r="S1467" s="2">
        <f>IFERROR(VLOOKUP(A1467,IMPORT_DESISTENCIA!$A$2:$Q2273,14,0),"NÃO")</f>
        <v>0</v>
      </c>
      <c r="T1467" s="35"/>
    </row>
    <row r="1468" spans="1:20" ht="45" customHeight="1" x14ac:dyDescent="0.25">
      <c r="A1468" s="2" t="str">
        <f t="shared" si="1"/>
        <v/>
      </c>
      <c r="B1468" s="2"/>
      <c r="C1468" s="43"/>
      <c r="D1468" s="2"/>
      <c r="E1468" s="2"/>
      <c r="F1468" s="2"/>
      <c r="G1468" s="11"/>
      <c r="H1468" s="11"/>
      <c r="I1468" s="2"/>
      <c r="J1468" s="2"/>
      <c r="K1468" s="2"/>
      <c r="L1468" s="10"/>
      <c r="M1468" s="9"/>
      <c r="N1468" s="2"/>
      <c r="O1468" s="2"/>
      <c r="P1468" s="2"/>
      <c r="Q1468" s="50"/>
      <c r="R1468" s="50"/>
      <c r="S1468" s="2">
        <f>IFERROR(VLOOKUP(A1468,IMPORT_DESISTENCIA!$A$2:$Q2273,14,0),"NÃO")</f>
        <v>0</v>
      </c>
      <c r="T1468" s="35"/>
    </row>
    <row r="1469" spans="1:20" ht="45" customHeight="1" x14ac:dyDescent="0.25">
      <c r="A1469" s="2" t="str">
        <f t="shared" si="1"/>
        <v/>
      </c>
      <c r="B1469" s="2"/>
      <c r="C1469" s="43"/>
      <c r="D1469" s="2"/>
      <c r="E1469" s="2"/>
      <c r="F1469" s="2"/>
      <c r="G1469" s="11"/>
      <c r="H1469" s="11"/>
      <c r="I1469" s="2"/>
      <c r="J1469" s="2"/>
      <c r="K1469" s="2"/>
      <c r="L1469" s="10"/>
      <c r="M1469" s="9"/>
      <c r="N1469" s="2"/>
      <c r="O1469" s="2"/>
      <c r="P1469" s="2"/>
      <c r="Q1469" s="50"/>
      <c r="R1469" s="50"/>
      <c r="S1469" s="2">
        <f>IFERROR(VLOOKUP(A1469,IMPORT_DESISTENCIA!$A$2:$Q2273,14,0),"NÃO")</f>
        <v>0</v>
      </c>
      <c r="T1469" s="35"/>
    </row>
    <row r="1470" spans="1:20" ht="45" customHeight="1" x14ac:dyDescent="0.25">
      <c r="A1470" s="2" t="str">
        <f t="shared" si="1"/>
        <v/>
      </c>
      <c r="B1470" s="2"/>
      <c r="C1470" s="43"/>
      <c r="D1470" s="2"/>
      <c r="E1470" s="2"/>
      <c r="F1470" s="2"/>
      <c r="G1470" s="11"/>
      <c r="H1470" s="11"/>
      <c r="I1470" s="2"/>
      <c r="J1470" s="2"/>
      <c r="K1470" s="2"/>
      <c r="L1470" s="10"/>
      <c r="M1470" s="9"/>
      <c r="N1470" s="2"/>
      <c r="O1470" s="2"/>
      <c r="P1470" s="2"/>
      <c r="Q1470" s="50"/>
      <c r="R1470" s="50"/>
      <c r="S1470" s="2">
        <f>IFERROR(VLOOKUP(A1470,IMPORT_DESISTENCIA!$A$2:$Q2273,14,0),"NÃO")</f>
        <v>0</v>
      </c>
      <c r="T1470" s="35"/>
    </row>
    <row r="1471" spans="1:20" ht="45" customHeight="1" x14ac:dyDescent="0.25">
      <c r="A1471" s="2" t="str">
        <f t="shared" si="1"/>
        <v/>
      </c>
      <c r="B1471" s="2"/>
      <c r="C1471" s="43"/>
      <c r="D1471" s="2"/>
      <c r="E1471" s="2"/>
      <c r="F1471" s="2"/>
      <c r="G1471" s="11"/>
      <c r="H1471" s="11"/>
      <c r="I1471" s="2"/>
      <c r="J1471" s="2"/>
      <c r="K1471" s="2"/>
      <c r="L1471" s="10"/>
      <c r="M1471" s="9"/>
      <c r="N1471" s="2"/>
      <c r="O1471" s="2"/>
      <c r="P1471" s="2"/>
      <c r="Q1471" s="50"/>
      <c r="R1471" s="50"/>
      <c r="S1471" s="2">
        <f>IFERROR(VLOOKUP(A1471,IMPORT_DESISTENCIA!$A$2:$Q2273,14,0),"NÃO")</f>
        <v>0</v>
      </c>
      <c r="T1471" s="35"/>
    </row>
    <row r="1472" spans="1:20" ht="45" customHeight="1" x14ac:dyDescent="0.25">
      <c r="A1472" s="2" t="str">
        <f t="shared" si="1"/>
        <v/>
      </c>
      <c r="B1472" s="2"/>
      <c r="C1472" s="43"/>
      <c r="D1472" s="2"/>
      <c r="E1472" s="2"/>
      <c r="F1472" s="2"/>
      <c r="G1472" s="11"/>
      <c r="H1472" s="11"/>
      <c r="I1472" s="2"/>
      <c r="J1472" s="2"/>
      <c r="K1472" s="2"/>
      <c r="L1472" s="10"/>
      <c r="M1472" s="9"/>
      <c r="N1472" s="2"/>
      <c r="O1472" s="2"/>
      <c r="P1472" s="2"/>
      <c r="Q1472" s="50"/>
      <c r="R1472" s="50"/>
      <c r="S1472" s="2">
        <f>IFERROR(VLOOKUP(A1472,IMPORT_DESISTENCIA!$A$2:$Q2273,14,0),"NÃO")</f>
        <v>0</v>
      </c>
      <c r="T1472" s="35"/>
    </row>
    <row r="1473" spans="1:20" ht="45" customHeight="1" x14ac:dyDescent="0.25">
      <c r="A1473" s="2" t="str">
        <f t="shared" si="1"/>
        <v/>
      </c>
      <c r="B1473" s="2"/>
      <c r="C1473" s="43"/>
      <c r="D1473" s="2"/>
      <c r="E1473" s="2"/>
      <c r="F1473" s="2"/>
      <c r="G1473" s="11"/>
      <c r="H1473" s="11"/>
      <c r="I1473" s="2"/>
      <c r="J1473" s="2"/>
      <c r="K1473" s="2"/>
      <c r="L1473" s="10"/>
      <c r="M1473" s="9"/>
      <c r="N1473" s="2"/>
      <c r="O1473" s="2"/>
      <c r="P1473" s="2"/>
      <c r="Q1473" s="50"/>
      <c r="R1473" s="50"/>
      <c r="S1473" s="2">
        <f>IFERROR(VLOOKUP(A1473,IMPORT_DESISTENCIA!$A$2:$Q2273,14,0),"NÃO")</f>
        <v>0</v>
      </c>
      <c r="T1473" s="35"/>
    </row>
    <row r="1474" spans="1:20" ht="45" customHeight="1" x14ac:dyDescent="0.25">
      <c r="A1474" s="2" t="str">
        <f t="shared" si="1"/>
        <v/>
      </c>
      <c r="B1474" s="2"/>
      <c r="C1474" s="43"/>
      <c r="D1474" s="2"/>
      <c r="E1474" s="2"/>
      <c r="F1474" s="2"/>
      <c r="G1474" s="11"/>
      <c r="H1474" s="11"/>
      <c r="I1474" s="2"/>
      <c r="J1474" s="2"/>
      <c r="K1474" s="2"/>
      <c r="L1474" s="10"/>
      <c r="M1474" s="9"/>
      <c r="N1474" s="2"/>
      <c r="O1474" s="2"/>
      <c r="P1474" s="2"/>
      <c r="Q1474" s="50"/>
      <c r="R1474" s="50"/>
      <c r="S1474" s="2">
        <f>IFERROR(VLOOKUP(A1474,IMPORT_DESISTENCIA!$A$2:$Q2273,14,0),"NÃO")</f>
        <v>0</v>
      </c>
      <c r="T1474" s="35"/>
    </row>
    <row r="1475" spans="1:20" ht="45" customHeight="1" x14ac:dyDescent="0.25">
      <c r="A1475" s="2" t="str">
        <f t="shared" si="1"/>
        <v/>
      </c>
      <c r="B1475" s="2"/>
      <c r="C1475" s="43"/>
      <c r="D1475" s="2"/>
      <c r="E1475" s="2"/>
      <c r="F1475" s="2"/>
      <c r="G1475" s="11"/>
      <c r="H1475" s="11"/>
      <c r="I1475" s="2"/>
      <c r="J1475" s="2"/>
      <c r="K1475" s="2"/>
      <c r="L1475" s="10"/>
      <c r="M1475" s="9"/>
      <c r="N1475" s="2"/>
      <c r="O1475" s="2"/>
      <c r="P1475" s="2"/>
      <c r="Q1475" s="50"/>
      <c r="R1475" s="50"/>
      <c r="S1475" s="2">
        <f>IFERROR(VLOOKUP(A1475,IMPORT_DESISTENCIA!$A$2:$Q2273,14,0),"NÃO")</f>
        <v>0</v>
      </c>
      <c r="T1475" s="35"/>
    </row>
    <row r="1476" spans="1:20" ht="45" customHeight="1" x14ac:dyDescent="0.25">
      <c r="A1476" s="2" t="str">
        <f t="shared" si="1"/>
        <v/>
      </c>
      <c r="B1476" s="2"/>
      <c r="C1476" s="43"/>
      <c r="D1476" s="2"/>
      <c r="E1476" s="2"/>
      <c r="F1476" s="2"/>
      <c r="G1476" s="11"/>
      <c r="H1476" s="11"/>
      <c r="I1476" s="2"/>
      <c r="J1476" s="2"/>
      <c r="K1476" s="2"/>
      <c r="L1476" s="10"/>
      <c r="M1476" s="9"/>
      <c r="N1476" s="2"/>
      <c r="O1476" s="2"/>
      <c r="P1476" s="2"/>
      <c r="Q1476" s="50"/>
      <c r="R1476" s="50"/>
      <c r="S1476" s="2">
        <f>IFERROR(VLOOKUP(A1476,IMPORT_DESISTENCIA!$A$2:$Q2273,14,0),"NÃO")</f>
        <v>0</v>
      </c>
      <c r="T1476" s="35"/>
    </row>
    <row r="1477" spans="1:20" ht="45" customHeight="1" x14ac:dyDescent="0.25">
      <c r="A1477" s="2" t="str">
        <f t="shared" si="1"/>
        <v/>
      </c>
      <c r="B1477" s="2"/>
      <c r="C1477" s="43"/>
      <c r="D1477" s="2"/>
      <c r="E1477" s="2"/>
      <c r="F1477" s="2"/>
      <c r="G1477" s="11"/>
      <c r="H1477" s="11"/>
      <c r="I1477" s="2"/>
      <c r="J1477" s="2"/>
      <c r="K1477" s="2"/>
      <c r="L1477" s="10"/>
      <c r="M1477" s="9"/>
      <c r="N1477" s="2"/>
      <c r="O1477" s="2"/>
      <c r="P1477" s="2"/>
      <c r="Q1477" s="50"/>
      <c r="R1477" s="50"/>
      <c r="S1477" s="2">
        <f>IFERROR(VLOOKUP(A1477,IMPORT_DESISTENCIA!$A$2:$Q2273,14,0),"NÃO")</f>
        <v>0</v>
      </c>
      <c r="T1477" s="35"/>
    </row>
    <row r="1478" spans="1:20" ht="45" customHeight="1" x14ac:dyDescent="0.25">
      <c r="A1478" s="2" t="str">
        <f t="shared" si="1"/>
        <v/>
      </c>
      <c r="B1478" s="2"/>
      <c r="C1478" s="43"/>
      <c r="D1478" s="2"/>
      <c r="E1478" s="2"/>
      <c r="F1478" s="2"/>
      <c r="G1478" s="11"/>
      <c r="H1478" s="11"/>
      <c r="I1478" s="2"/>
      <c r="J1478" s="2"/>
      <c r="K1478" s="2"/>
      <c r="L1478" s="10"/>
      <c r="M1478" s="9"/>
      <c r="N1478" s="2"/>
      <c r="O1478" s="2"/>
      <c r="P1478" s="2"/>
      <c r="Q1478" s="50"/>
      <c r="R1478" s="50"/>
      <c r="S1478" s="2">
        <f>IFERROR(VLOOKUP(A1478,IMPORT_DESISTENCIA!$A$2:$Q2273,14,0),"NÃO")</f>
        <v>0</v>
      </c>
      <c r="T1478" s="35"/>
    </row>
    <row r="1479" spans="1:20" ht="45" customHeight="1" x14ac:dyDescent="0.25">
      <c r="A1479" s="2" t="str">
        <f t="shared" si="1"/>
        <v/>
      </c>
      <c r="B1479" s="2"/>
      <c r="C1479" s="43"/>
      <c r="D1479" s="2"/>
      <c r="E1479" s="2"/>
      <c r="F1479" s="2"/>
      <c r="G1479" s="11"/>
      <c r="H1479" s="11"/>
      <c r="I1479" s="2"/>
      <c r="J1479" s="2"/>
      <c r="K1479" s="2"/>
      <c r="L1479" s="10"/>
      <c r="M1479" s="9"/>
      <c r="N1479" s="2"/>
      <c r="O1479" s="2"/>
      <c r="P1479" s="2"/>
      <c r="Q1479" s="50"/>
      <c r="R1479" s="50"/>
      <c r="S1479" s="2">
        <f>IFERROR(VLOOKUP(A1479,IMPORT_DESISTENCIA!$A$2:$Q2273,14,0),"NÃO")</f>
        <v>0</v>
      </c>
      <c r="T1479" s="35"/>
    </row>
    <row r="1480" spans="1:20" ht="45" customHeight="1" x14ac:dyDescent="0.25">
      <c r="A1480" s="2" t="str">
        <f t="shared" si="1"/>
        <v/>
      </c>
      <c r="B1480" s="2"/>
      <c r="C1480" s="43"/>
      <c r="D1480" s="2"/>
      <c r="E1480" s="2"/>
      <c r="F1480" s="2"/>
      <c r="G1480" s="11"/>
      <c r="H1480" s="11"/>
      <c r="I1480" s="2"/>
      <c r="J1480" s="2"/>
      <c r="K1480" s="2"/>
      <c r="L1480" s="10"/>
      <c r="M1480" s="9"/>
      <c r="N1480" s="2"/>
      <c r="O1480" s="2"/>
      <c r="P1480" s="2"/>
      <c r="Q1480" s="50"/>
      <c r="R1480" s="50"/>
      <c r="S1480" s="2">
        <f>IFERROR(VLOOKUP(A1480,IMPORT_DESISTENCIA!$A$2:$Q2273,14,0),"NÃO")</f>
        <v>0</v>
      </c>
      <c r="T1480" s="35"/>
    </row>
    <row r="1481" spans="1:20" ht="45" customHeight="1" x14ac:dyDescent="0.25">
      <c r="A1481" s="2" t="str">
        <f t="shared" si="1"/>
        <v/>
      </c>
      <c r="B1481" s="2"/>
      <c r="C1481" s="43"/>
      <c r="D1481" s="2"/>
      <c r="E1481" s="2"/>
      <c r="F1481" s="2"/>
      <c r="G1481" s="11"/>
      <c r="H1481" s="11"/>
      <c r="I1481" s="2"/>
      <c r="J1481" s="2"/>
      <c r="K1481" s="2"/>
      <c r="L1481" s="10"/>
      <c r="M1481" s="9"/>
      <c r="N1481" s="2"/>
      <c r="O1481" s="2"/>
      <c r="P1481" s="2"/>
      <c r="Q1481" s="50"/>
      <c r="R1481" s="50"/>
      <c r="S1481" s="2">
        <f>IFERROR(VLOOKUP(A1481,IMPORT_DESISTENCIA!$A$2:$Q2273,14,0),"NÃO")</f>
        <v>0</v>
      </c>
      <c r="T1481" s="35"/>
    </row>
    <row r="1482" spans="1:20" ht="45" customHeight="1" x14ac:dyDescent="0.25">
      <c r="A1482" s="2" t="str">
        <f t="shared" si="1"/>
        <v/>
      </c>
      <c r="B1482" s="2"/>
      <c r="C1482" s="43"/>
      <c r="D1482" s="2"/>
      <c r="E1482" s="2"/>
      <c r="F1482" s="2"/>
      <c r="G1482" s="11"/>
      <c r="H1482" s="11"/>
      <c r="I1482" s="2"/>
      <c r="J1482" s="2"/>
      <c r="K1482" s="2"/>
      <c r="L1482" s="10"/>
      <c r="M1482" s="9"/>
      <c r="N1482" s="2"/>
      <c r="O1482" s="2"/>
      <c r="P1482" s="2"/>
      <c r="Q1482" s="50"/>
      <c r="R1482" s="50"/>
      <c r="S1482" s="2">
        <f>IFERROR(VLOOKUP(A1482,IMPORT_DESISTENCIA!$A$2:$Q2273,14,0),"NÃO")</f>
        <v>0</v>
      </c>
      <c r="T1482" s="35"/>
    </row>
    <row r="1483" spans="1:20" ht="45" customHeight="1" x14ac:dyDescent="0.25">
      <c r="A1483" s="2" t="str">
        <f t="shared" si="1"/>
        <v/>
      </c>
      <c r="B1483" s="2"/>
      <c r="C1483" s="43"/>
      <c r="D1483" s="2"/>
      <c r="E1483" s="2"/>
      <c r="F1483" s="2"/>
      <c r="G1483" s="11"/>
      <c r="H1483" s="11"/>
      <c r="I1483" s="2"/>
      <c r="J1483" s="2"/>
      <c r="K1483" s="2"/>
      <c r="L1483" s="10"/>
      <c r="M1483" s="9"/>
      <c r="N1483" s="2"/>
      <c r="O1483" s="2"/>
      <c r="P1483" s="2"/>
      <c r="Q1483" s="50"/>
      <c r="R1483" s="50"/>
      <c r="S1483" s="2">
        <f>IFERROR(VLOOKUP(A1483,IMPORT_DESISTENCIA!$A$2:$Q2273,14,0),"NÃO")</f>
        <v>0</v>
      </c>
      <c r="T1483" s="35"/>
    </row>
    <row r="1484" spans="1:20" ht="45" customHeight="1" x14ac:dyDescent="0.25">
      <c r="A1484" s="2" t="str">
        <f t="shared" si="1"/>
        <v/>
      </c>
      <c r="B1484" s="2"/>
      <c r="C1484" s="43"/>
      <c r="D1484" s="2"/>
      <c r="E1484" s="2"/>
      <c r="F1484" s="2"/>
      <c r="G1484" s="11"/>
      <c r="H1484" s="11"/>
      <c r="I1484" s="2"/>
      <c r="J1484" s="2"/>
      <c r="K1484" s="2"/>
      <c r="L1484" s="10"/>
      <c r="M1484" s="9"/>
      <c r="N1484" s="2"/>
      <c r="O1484" s="2"/>
      <c r="P1484" s="2"/>
      <c r="Q1484" s="50"/>
      <c r="R1484" s="50"/>
      <c r="S1484" s="2">
        <f>IFERROR(VLOOKUP(A1484,IMPORT_DESISTENCIA!$A$2:$Q2273,14,0),"NÃO")</f>
        <v>0</v>
      </c>
      <c r="T1484" s="35"/>
    </row>
    <row r="1485" spans="1:20" ht="45" customHeight="1" x14ac:dyDescent="0.25">
      <c r="A1485" s="2" t="str">
        <f t="shared" si="1"/>
        <v/>
      </c>
      <c r="B1485" s="2"/>
      <c r="C1485" s="43"/>
      <c r="D1485" s="2"/>
      <c r="E1485" s="2"/>
      <c r="F1485" s="2"/>
      <c r="G1485" s="11"/>
      <c r="H1485" s="11"/>
      <c r="I1485" s="2"/>
      <c r="J1485" s="2"/>
      <c r="K1485" s="2"/>
      <c r="L1485" s="10"/>
      <c r="M1485" s="9"/>
      <c r="N1485" s="2"/>
      <c r="O1485" s="2"/>
      <c r="P1485" s="2"/>
      <c r="Q1485" s="50"/>
      <c r="R1485" s="50"/>
      <c r="S1485" s="2">
        <f>IFERROR(VLOOKUP(A1485,IMPORT_DESISTENCIA!$A$2:$Q2273,14,0),"NÃO")</f>
        <v>0</v>
      </c>
      <c r="T1485" s="35"/>
    </row>
    <row r="1486" spans="1:20" ht="45" customHeight="1" x14ac:dyDescent="0.25">
      <c r="A1486" s="2" t="str">
        <f t="shared" si="1"/>
        <v/>
      </c>
      <c r="B1486" s="2"/>
      <c r="C1486" s="43"/>
      <c r="D1486" s="2"/>
      <c r="E1486" s="2"/>
      <c r="F1486" s="2"/>
      <c r="G1486" s="11"/>
      <c r="H1486" s="11"/>
      <c r="I1486" s="2"/>
      <c r="J1486" s="2"/>
      <c r="K1486" s="2"/>
      <c r="L1486" s="10"/>
      <c r="M1486" s="9"/>
      <c r="N1486" s="2"/>
      <c r="O1486" s="2"/>
      <c r="P1486" s="2"/>
      <c r="Q1486" s="50"/>
      <c r="R1486" s="50"/>
      <c r="S1486" s="2">
        <f>IFERROR(VLOOKUP(A1486,IMPORT_DESISTENCIA!$A$2:$Q2273,14,0),"NÃO")</f>
        <v>0</v>
      </c>
      <c r="T1486" s="35"/>
    </row>
    <row r="1487" spans="1:20" ht="45" customHeight="1" x14ac:dyDescent="0.25">
      <c r="A1487" s="2" t="str">
        <f t="shared" si="1"/>
        <v/>
      </c>
      <c r="B1487" s="2"/>
      <c r="C1487" s="43"/>
      <c r="D1487" s="2"/>
      <c r="E1487" s="2"/>
      <c r="F1487" s="2"/>
      <c r="G1487" s="11"/>
      <c r="H1487" s="11"/>
      <c r="I1487" s="2"/>
      <c r="J1487" s="2"/>
      <c r="K1487" s="2"/>
      <c r="L1487" s="10"/>
      <c r="M1487" s="9"/>
      <c r="N1487" s="2"/>
      <c r="O1487" s="2"/>
      <c r="P1487" s="2"/>
      <c r="Q1487" s="50"/>
      <c r="R1487" s="50"/>
      <c r="S1487" s="2">
        <f>IFERROR(VLOOKUP(A1487,IMPORT_DESISTENCIA!$A$2:$Q2273,14,0),"NÃO")</f>
        <v>0</v>
      </c>
      <c r="T1487" s="35"/>
    </row>
    <row r="1488" spans="1:20" ht="45" customHeight="1" x14ac:dyDescent="0.25">
      <c r="A1488" s="2" t="str">
        <f t="shared" si="1"/>
        <v/>
      </c>
      <c r="B1488" s="2"/>
      <c r="C1488" s="43"/>
      <c r="D1488" s="2"/>
      <c r="E1488" s="2"/>
      <c r="F1488" s="2"/>
      <c r="G1488" s="11"/>
      <c r="H1488" s="11"/>
      <c r="I1488" s="2"/>
      <c r="J1488" s="2"/>
      <c r="K1488" s="2"/>
      <c r="L1488" s="10"/>
      <c r="M1488" s="9"/>
      <c r="N1488" s="2"/>
      <c r="O1488" s="2"/>
      <c r="P1488" s="2"/>
      <c r="Q1488" s="50"/>
      <c r="R1488" s="50"/>
      <c r="S1488" s="2">
        <f>IFERROR(VLOOKUP(A1488,IMPORT_DESISTENCIA!$A$2:$Q2273,14,0),"NÃO")</f>
        <v>0</v>
      </c>
      <c r="T1488" s="35"/>
    </row>
    <row r="1489" spans="1:20" ht="45" customHeight="1" x14ac:dyDescent="0.25">
      <c r="A1489" s="2" t="str">
        <f t="shared" si="1"/>
        <v/>
      </c>
      <c r="B1489" s="2"/>
      <c r="C1489" s="43"/>
      <c r="D1489" s="2"/>
      <c r="E1489" s="2"/>
      <c r="F1489" s="2"/>
      <c r="G1489" s="11"/>
      <c r="H1489" s="11"/>
      <c r="I1489" s="2"/>
      <c r="J1489" s="2"/>
      <c r="K1489" s="2"/>
      <c r="L1489" s="10"/>
      <c r="M1489" s="9"/>
      <c r="N1489" s="2"/>
      <c r="O1489" s="2"/>
      <c r="P1489" s="2"/>
      <c r="Q1489" s="50"/>
      <c r="R1489" s="50"/>
      <c r="S1489" s="2">
        <f>IFERROR(VLOOKUP(A1489,IMPORT_DESISTENCIA!$A$2:$Q2273,14,0),"NÃO")</f>
        <v>0</v>
      </c>
      <c r="T1489" s="35"/>
    </row>
    <row r="1490" spans="1:20" ht="45" customHeight="1" x14ac:dyDescent="0.25">
      <c r="A1490" s="2" t="str">
        <f t="shared" si="1"/>
        <v/>
      </c>
      <c r="B1490" s="2"/>
      <c r="C1490" s="43"/>
      <c r="D1490" s="2"/>
      <c r="E1490" s="2"/>
      <c r="F1490" s="2"/>
      <c r="G1490" s="11"/>
      <c r="H1490" s="11"/>
      <c r="I1490" s="2"/>
      <c r="J1490" s="2"/>
      <c r="K1490" s="2"/>
      <c r="L1490" s="10"/>
      <c r="M1490" s="9"/>
      <c r="N1490" s="2"/>
      <c r="O1490" s="2"/>
      <c r="P1490" s="2"/>
      <c r="Q1490" s="50"/>
      <c r="R1490" s="50"/>
      <c r="S1490" s="2">
        <f>IFERROR(VLOOKUP(A1490,IMPORT_DESISTENCIA!$A$2:$Q2273,14,0),"NÃO")</f>
        <v>0</v>
      </c>
      <c r="T1490" s="35"/>
    </row>
    <row r="1491" spans="1:20" ht="45" customHeight="1" x14ac:dyDescent="0.25">
      <c r="A1491" s="2" t="str">
        <f t="shared" si="1"/>
        <v/>
      </c>
      <c r="B1491" s="2"/>
      <c r="C1491" s="43"/>
      <c r="D1491" s="2"/>
      <c r="E1491" s="2"/>
      <c r="F1491" s="2"/>
      <c r="G1491" s="11"/>
      <c r="H1491" s="11"/>
      <c r="I1491" s="2"/>
      <c r="J1491" s="2"/>
      <c r="K1491" s="2"/>
      <c r="L1491" s="10"/>
      <c r="M1491" s="9"/>
      <c r="N1491" s="2"/>
      <c r="O1491" s="2"/>
      <c r="P1491" s="2"/>
      <c r="Q1491" s="50"/>
      <c r="R1491" s="50"/>
      <c r="S1491" s="2">
        <f>IFERROR(VLOOKUP(A1491,IMPORT_DESISTENCIA!$A$2:$Q2273,14,0),"NÃO")</f>
        <v>0</v>
      </c>
      <c r="T1491" s="35"/>
    </row>
    <row r="1492" spans="1:20" ht="45" customHeight="1" x14ac:dyDescent="0.25">
      <c r="A1492" s="2" t="str">
        <f t="shared" si="1"/>
        <v/>
      </c>
      <c r="B1492" s="2"/>
      <c r="C1492" s="43"/>
      <c r="D1492" s="2"/>
      <c r="E1492" s="2"/>
      <c r="F1492" s="2"/>
      <c r="G1492" s="11"/>
      <c r="H1492" s="11"/>
      <c r="I1492" s="2"/>
      <c r="J1492" s="2"/>
      <c r="K1492" s="2"/>
      <c r="L1492" s="10"/>
      <c r="M1492" s="9"/>
      <c r="N1492" s="2"/>
      <c r="O1492" s="2"/>
      <c r="P1492" s="2"/>
      <c r="Q1492" s="50"/>
      <c r="R1492" s="50"/>
      <c r="S1492" s="2">
        <f>IFERROR(VLOOKUP(A1492,IMPORT_DESISTENCIA!$A$2:$Q2273,14,0),"NÃO")</f>
        <v>0</v>
      </c>
      <c r="T1492" s="35"/>
    </row>
    <row r="1493" spans="1:20" ht="45" customHeight="1" x14ac:dyDescent="0.25">
      <c r="A1493" s="2" t="str">
        <f t="shared" si="1"/>
        <v/>
      </c>
      <c r="B1493" s="2"/>
      <c r="C1493" s="43"/>
      <c r="D1493" s="2"/>
      <c r="E1493" s="2"/>
      <c r="F1493" s="2"/>
      <c r="G1493" s="11"/>
      <c r="H1493" s="11"/>
      <c r="I1493" s="2"/>
      <c r="J1493" s="2"/>
      <c r="K1493" s="2"/>
      <c r="L1493" s="10"/>
      <c r="M1493" s="9"/>
      <c r="N1493" s="2"/>
      <c r="O1493" s="2"/>
      <c r="P1493" s="2"/>
      <c r="Q1493" s="50"/>
      <c r="R1493" s="50"/>
      <c r="S1493" s="2">
        <f>IFERROR(VLOOKUP(A1493,IMPORT_DESISTENCIA!$A$2:$Q2273,14,0),"NÃO")</f>
        <v>0</v>
      </c>
      <c r="T1493" s="35"/>
    </row>
    <row r="1494" spans="1:20" ht="45" customHeight="1" x14ac:dyDescent="0.25">
      <c r="A1494" s="2" t="str">
        <f t="shared" si="1"/>
        <v/>
      </c>
      <c r="B1494" s="2"/>
      <c r="C1494" s="43"/>
      <c r="D1494" s="2"/>
      <c r="E1494" s="2"/>
      <c r="F1494" s="2"/>
      <c r="G1494" s="11"/>
      <c r="H1494" s="11"/>
      <c r="I1494" s="2"/>
      <c r="J1494" s="2"/>
      <c r="K1494" s="2"/>
      <c r="L1494" s="10"/>
      <c r="M1494" s="9"/>
      <c r="N1494" s="2"/>
      <c r="O1494" s="2"/>
      <c r="P1494" s="2"/>
      <c r="Q1494" s="50"/>
      <c r="R1494" s="50"/>
      <c r="S1494" s="2">
        <f>IFERROR(VLOOKUP(A1494,IMPORT_DESISTENCIA!$A$2:$Q2273,14,0),"NÃO")</f>
        <v>0</v>
      </c>
      <c r="T1494" s="35"/>
    </row>
    <row r="1495" spans="1:20" ht="45" customHeight="1" x14ac:dyDescent="0.25">
      <c r="A1495" s="2" t="str">
        <f t="shared" si="1"/>
        <v/>
      </c>
      <c r="B1495" s="2"/>
      <c r="C1495" s="43"/>
      <c r="D1495" s="2"/>
      <c r="E1495" s="2"/>
      <c r="F1495" s="2"/>
      <c r="G1495" s="11"/>
      <c r="H1495" s="11"/>
      <c r="I1495" s="2"/>
      <c r="J1495" s="2"/>
      <c r="K1495" s="2"/>
      <c r="L1495" s="10"/>
      <c r="M1495" s="9"/>
      <c r="N1495" s="2"/>
      <c r="O1495" s="2"/>
      <c r="P1495" s="2"/>
      <c r="Q1495" s="50"/>
      <c r="R1495" s="50"/>
      <c r="S1495" s="2">
        <f>IFERROR(VLOOKUP(A1495,IMPORT_DESISTENCIA!$A$2:$Q2273,14,0),"NÃO")</f>
        <v>0</v>
      </c>
      <c r="T1495" s="35"/>
    </row>
    <row r="1496" spans="1:20" ht="45" customHeight="1" x14ac:dyDescent="0.25">
      <c r="A1496" s="2" t="str">
        <f t="shared" si="1"/>
        <v/>
      </c>
      <c r="B1496" s="2"/>
      <c r="C1496" s="43"/>
      <c r="D1496" s="2"/>
      <c r="E1496" s="2"/>
      <c r="F1496" s="2"/>
      <c r="G1496" s="11"/>
      <c r="H1496" s="11"/>
      <c r="I1496" s="2"/>
      <c r="J1496" s="2"/>
      <c r="K1496" s="2"/>
      <c r="L1496" s="10"/>
      <c r="M1496" s="9"/>
      <c r="N1496" s="2"/>
      <c r="O1496" s="2"/>
      <c r="P1496" s="2"/>
      <c r="Q1496" s="50"/>
      <c r="R1496" s="50"/>
      <c r="S1496" s="2">
        <f>IFERROR(VLOOKUP(A1496,IMPORT_DESISTENCIA!$A$2:$Q2273,14,0),"NÃO")</f>
        <v>0</v>
      </c>
      <c r="T1496" s="35"/>
    </row>
    <row r="1497" spans="1:20" ht="45" customHeight="1" x14ac:dyDescent="0.25">
      <c r="A1497" s="2" t="str">
        <f t="shared" si="1"/>
        <v/>
      </c>
      <c r="B1497" s="2"/>
      <c r="C1497" s="43"/>
      <c r="D1497" s="2"/>
      <c r="E1497" s="2"/>
      <c r="F1497" s="2"/>
      <c r="G1497" s="11"/>
      <c r="H1497" s="11"/>
      <c r="I1497" s="2"/>
      <c r="J1497" s="2"/>
      <c r="K1497" s="2"/>
      <c r="L1497" s="10"/>
      <c r="M1497" s="9"/>
      <c r="N1497" s="2"/>
      <c r="O1497" s="2"/>
      <c r="P1497" s="2"/>
      <c r="Q1497" s="50"/>
      <c r="R1497" s="50"/>
      <c r="S1497" s="2">
        <f>IFERROR(VLOOKUP(A1497,IMPORT_DESISTENCIA!$A$2:$Q2273,14,0),"NÃO")</f>
        <v>0</v>
      </c>
      <c r="T1497" s="35"/>
    </row>
    <row r="1498" spans="1:20" ht="45" customHeight="1" x14ac:dyDescent="0.25">
      <c r="A1498" s="2" t="str">
        <f t="shared" si="1"/>
        <v/>
      </c>
      <c r="B1498" s="2"/>
      <c r="C1498" s="43"/>
      <c r="D1498" s="2"/>
      <c r="E1498" s="2"/>
      <c r="F1498" s="2"/>
      <c r="G1498" s="11"/>
      <c r="H1498" s="11"/>
      <c r="I1498" s="2"/>
      <c r="J1498" s="2"/>
      <c r="K1498" s="2"/>
      <c r="L1498" s="10"/>
      <c r="M1498" s="9"/>
      <c r="N1498" s="2"/>
      <c r="O1498" s="2"/>
      <c r="P1498" s="2"/>
      <c r="Q1498" s="50"/>
      <c r="R1498" s="50"/>
      <c r="S1498" s="2">
        <f>IFERROR(VLOOKUP(A1498,IMPORT_DESISTENCIA!$A$2:$Q2273,14,0),"NÃO")</f>
        <v>0</v>
      </c>
      <c r="T1498" s="35"/>
    </row>
    <row r="1499" spans="1:20" ht="45" customHeight="1" x14ac:dyDescent="0.25">
      <c r="A1499" s="2" t="str">
        <f t="shared" si="1"/>
        <v/>
      </c>
      <c r="B1499" s="2"/>
      <c r="C1499" s="43"/>
      <c r="D1499" s="2"/>
      <c r="E1499" s="2"/>
      <c r="F1499" s="2"/>
      <c r="G1499" s="11"/>
      <c r="H1499" s="11"/>
      <c r="I1499" s="2"/>
      <c r="J1499" s="2"/>
      <c r="K1499" s="2"/>
      <c r="L1499" s="10"/>
      <c r="M1499" s="9"/>
      <c r="N1499" s="2"/>
      <c r="O1499" s="2"/>
      <c r="P1499" s="2"/>
      <c r="Q1499" s="50"/>
      <c r="R1499" s="50"/>
      <c r="S1499" s="2">
        <f>IFERROR(VLOOKUP(A1499,IMPORT_DESISTENCIA!$A$2:$Q2273,14,0),"NÃO")</f>
        <v>0</v>
      </c>
      <c r="T1499" s="35"/>
    </row>
    <row r="1500" spans="1:20" ht="45" customHeight="1" x14ac:dyDescent="0.25">
      <c r="A1500" s="2" t="str">
        <f t="shared" si="1"/>
        <v/>
      </c>
      <c r="B1500" s="2"/>
      <c r="C1500" s="43"/>
      <c r="D1500" s="2"/>
      <c r="E1500" s="2"/>
      <c r="F1500" s="2"/>
      <c r="G1500" s="11"/>
      <c r="H1500" s="11"/>
      <c r="I1500" s="2"/>
      <c r="J1500" s="2"/>
      <c r="K1500" s="2"/>
      <c r="L1500" s="10"/>
      <c r="M1500" s="9"/>
      <c r="N1500" s="2"/>
      <c r="O1500" s="2"/>
      <c r="P1500" s="2"/>
      <c r="Q1500" s="50"/>
      <c r="R1500" s="50"/>
      <c r="S1500" s="2">
        <f>IFERROR(VLOOKUP(A1500,IMPORT_DESISTENCIA!$A$2:$Q2273,14,0),"NÃO")</f>
        <v>0</v>
      </c>
      <c r="T1500" s="35"/>
    </row>
    <row r="1501" spans="1:20" ht="45" customHeight="1" x14ac:dyDescent="0.25">
      <c r="A1501" s="2" t="str">
        <f t="shared" si="1"/>
        <v/>
      </c>
      <c r="B1501" s="2"/>
      <c r="C1501" s="43"/>
      <c r="D1501" s="2"/>
      <c r="E1501" s="2"/>
      <c r="F1501" s="2"/>
      <c r="G1501" s="11"/>
      <c r="H1501" s="11"/>
      <c r="I1501" s="2"/>
      <c r="J1501" s="2"/>
      <c r="K1501" s="2"/>
      <c r="L1501" s="10"/>
      <c r="M1501" s="9"/>
      <c r="N1501" s="2"/>
      <c r="O1501" s="2"/>
      <c r="P1501" s="2"/>
      <c r="Q1501" s="50"/>
      <c r="R1501" s="50"/>
      <c r="S1501" s="2">
        <f>IFERROR(VLOOKUP(A1501,IMPORT_DESISTENCIA!$A$2:$Q2273,14,0),"NÃO")</f>
        <v>0</v>
      </c>
      <c r="T1501" s="35"/>
    </row>
    <row r="1502" spans="1:20" ht="45" customHeight="1" x14ac:dyDescent="0.25">
      <c r="A1502" s="2" t="str">
        <f t="shared" si="1"/>
        <v/>
      </c>
      <c r="B1502" s="2"/>
      <c r="C1502" s="43"/>
      <c r="D1502" s="2"/>
      <c r="E1502" s="2"/>
      <c r="F1502" s="2"/>
      <c r="G1502" s="11"/>
      <c r="H1502" s="11"/>
      <c r="I1502" s="2"/>
      <c r="J1502" s="2"/>
      <c r="K1502" s="2"/>
      <c r="L1502" s="10"/>
      <c r="M1502" s="9"/>
      <c r="N1502" s="2"/>
      <c r="O1502" s="2"/>
      <c r="P1502" s="2"/>
      <c r="Q1502" s="50"/>
      <c r="R1502" s="50"/>
      <c r="S1502" s="2">
        <f>IFERROR(VLOOKUP(A1502,IMPORT_DESISTENCIA!$A$2:$Q2273,14,0),"NÃO")</f>
        <v>0</v>
      </c>
      <c r="T1502" s="35"/>
    </row>
    <row r="1503" spans="1:20" ht="45" customHeight="1" x14ac:dyDescent="0.25">
      <c r="A1503" s="2" t="str">
        <f t="shared" si="1"/>
        <v/>
      </c>
      <c r="B1503" s="2"/>
      <c r="C1503" s="43"/>
      <c r="D1503" s="2"/>
      <c r="E1503" s="2"/>
      <c r="F1503" s="2"/>
      <c r="G1503" s="11"/>
      <c r="H1503" s="11"/>
      <c r="I1503" s="2"/>
      <c r="J1503" s="2"/>
      <c r="K1503" s="2"/>
      <c r="L1503" s="10"/>
      <c r="M1503" s="9"/>
      <c r="N1503" s="2"/>
      <c r="O1503" s="2"/>
      <c r="P1503" s="2"/>
      <c r="Q1503" s="50"/>
      <c r="R1503" s="50"/>
      <c r="S1503" s="2">
        <f>IFERROR(VLOOKUP(A1503,IMPORT_DESISTENCIA!$A$2:$Q2273,14,0),"NÃO")</f>
        <v>0</v>
      </c>
      <c r="T1503" s="35"/>
    </row>
    <row r="1504" spans="1:20" ht="45" customHeight="1" x14ac:dyDescent="0.25">
      <c r="A1504" s="2" t="str">
        <f t="shared" si="1"/>
        <v/>
      </c>
      <c r="B1504" s="2"/>
      <c r="C1504" s="43"/>
      <c r="D1504" s="2"/>
      <c r="E1504" s="2"/>
      <c r="F1504" s="2"/>
      <c r="G1504" s="11"/>
      <c r="H1504" s="11"/>
      <c r="I1504" s="2"/>
      <c r="J1504" s="2"/>
      <c r="K1504" s="2"/>
      <c r="L1504" s="10"/>
      <c r="M1504" s="9"/>
      <c r="N1504" s="2"/>
      <c r="O1504" s="2"/>
      <c r="P1504" s="2"/>
      <c r="Q1504" s="50"/>
      <c r="R1504" s="50"/>
      <c r="S1504" s="2">
        <f>IFERROR(VLOOKUP(A1504,IMPORT_DESISTENCIA!$A$2:$Q2273,14,0),"NÃO")</f>
        <v>0</v>
      </c>
      <c r="T1504" s="35"/>
    </row>
    <row r="1505" spans="1:20" ht="45" customHeight="1" x14ac:dyDescent="0.25">
      <c r="A1505" s="2" t="str">
        <f t="shared" si="1"/>
        <v/>
      </c>
      <c r="B1505" s="2"/>
      <c r="C1505" s="43"/>
      <c r="D1505" s="2"/>
      <c r="E1505" s="2"/>
      <c r="F1505" s="2"/>
      <c r="G1505" s="11"/>
      <c r="H1505" s="11"/>
      <c r="I1505" s="2"/>
      <c r="J1505" s="2"/>
      <c r="K1505" s="2"/>
      <c r="L1505" s="10"/>
      <c r="M1505" s="9"/>
      <c r="N1505" s="2"/>
      <c r="O1505" s="2"/>
      <c r="P1505" s="2"/>
      <c r="Q1505" s="50"/>
      <c r="R1505" s="50"/>
      <c r="S1505" s="2">
        <f>IFERROR(VLOOKUP(A1505,IMPORT_DESISTENCIA!$A$2:$Q2273,14,0),"NÃO")</f>
        <v>0</v>
      </c>
      <c r="T1505" s="35"/>
    </row>
    <row r="1506" spans="1:20" ht="45" customHeight="1" x14ac:dyDescent="0.25">
      <c r="A1506" s="2" t="str">
        <f t="shared" si="1"/>
        <v/>
      </c>
      <c r="B1506" s="2"/>
      <c r="C1506" s="43"/>
      <c r="D1506" s="2"/>
      <c r="E1506" s="2"/>
      <c r="F1506" s="2"/>
      <c r="G1506" s="11"/>
      <c r="H1506" s="11"/>
      <c r="I1506" s="2"/>
      <c r="J1506" s="2"/>
      <c r="K1506" s="2"/>
      <c r="L1506" s="10"/>
      <c r="M1506" s="9"/>
      <c r="N1506" s="2"/>
      <c r="O1506" s="2"/>
      <c r="P1506" s="2"/>
      <c r="Q1506" s="50"/>
      <c r="R1506" s="50"/>
      <c r="S1506" s="2">
        <f>IFERROR(VLOOKUP(A1506,IMPORT_DESISTENCIA!$A$2:$Q2273,14,0),"NÃO")</f>
        <v>0</v>
      </c>
      <c r="T1506" s="35"/>
    </row>
    <row r="1507" spans="1:20" ht="45" customHeight="1" x14ac:dyDescent="0.25">
      <c r="A1507" s="2" t="str">
        <f t="shared" si="1"/>
        <v/>
      </c>
      <c r="B1507" s="2"/>
      <c r="C1507" s="43"/>
      <c r="D1507" s="2"/>
      <c r="E1507" s="2"/>
      <c r="F1507" s="2"/>
      <c r="G1507" s="11"/>
      <c r="H1507" s="11"/>
      <c r="I1507" s="2"/>
      <c r="J1507" s="2"/>
      <c r="K1507" s="2"/>
      <c r="L1507" s="10"/>
      <c r="M1507" s="9"/>
      <c r="N1507" s="2"/>
      <c r="O1507" s="2"/>
      <c r="P1507" s="2"/>
      <c r="Q1507" s="50"/>
      <c r="R1507" s="50"/>
      <c r="S1507" s="2">
        <f>IFERROR(VLOOKUP(A1507,IMPORT_DESISTENCIA!$A$2:$Q2273,14,0),"NÃO")</f>
        <v>0</v>
      </c>
      <c r="T1507" s="35"/>
    </row>
    <row r="1508" spans="1:20" ht="45" customHeight="1" x14ac:dyDescent="0.25">
      <c r="A1508" s="2" t="str">
        <f t="shared" si="1"/>
        <v/>
      </c>
      <c r="B1508" s="2"/>
      <c r="C1508" s="43"/>
      <c r="D1508" s="2"/>
      <c r="E1508" s="2"/>
      <c r="F1508" s="2"/>
      <c r="G1508" s="11"/>
      <c r="H1508" s="11"/>
      <c r="I1508" s="2"/>
      <c r="J1508" s="2"/>
      <c r="K1508" s="2"/>
      <c r="L1508" s="10"/>
      <c r="M1508" s="9"/>
      <c r="N1508" s="2"/>
      <c r="O1508" s="2"/>
      <c r="P1508" s="2"/>
      <c r="Q1508" s="50"/>
      <c r="R1508" s="50"/>
      <c r="S1508" s="2">
        <f>IFERROR(VLOOKUP(A1508,IMPORT_DESISTENCIA!$A$2:$Q2273,14,0),"NÃO")</f>
        <v>0</v>
      </c>
      <c r="T1508" s="35"/>
    </row>
    <row r="1509" spans="1:20" ht="45" customHeight="1" x14ac:dyDescent="0.25">
      <c r="A1509" s="2" t="str">
        <f t="shared" si="1"/>
        <v/>
      </c>
      <c r="B1509" s="2"/>
      <c r="C1509" s="43"/>
      <c r="D1509" s="2"/>
      <c r="E1509" s="2"/>
      <c r="F1509" s="2"/>
      <c r="G1509" s="11"/>
      <c r="H1509" s="11"/>
      <c r="I1509" s="2"/>
      <c r="J1509" s="2"/>
      <c r="K1509" s="2"/>
      <c r="L1509" s="10"/>
      <c r="M1509" s="9"/>
      <c r="N1509" s="2"/>
      <c r="O1509" s="2"/>
      <c r="P1509" s="2"/>
      <c r="Q1509" s="50"/>
      <c r="R1509" s="50"/>
      <c r="S1509" s="2">
        <f>IFERROR(VLOOKUP(A1509,IMPORT_DESISTENCIA!$A$2:$Q2273,14,0),"NÃO")</f>
        <v>0</v>
      </c>
      <c r="T1509" s="35"/>
    </row>
    <row r="1510" spans="1:20" ht="45" customHeight="1" x14ac:dyDescent="0.25">
      <c r="A1510" s="2" t="str">
        <f t="shared" si="1"/>
        <v/>
      </c>
      <c r="B1510" s="2"/>
      <c r="C1510" s="43"/>
      <c r="D1510" s="2"/>
      <c r="E1510" s="2"/>
      <c r="F1510" s="2"/>
      <c r="G1510" s="11"/>
      <c r="H1510" s="11"/>
      <c r="I1510" s="2"/>
      <c r="J1510" s="2"/>
      <c r="K1510" s="2"/>
      <c r="L1510" s="10"/>
      <c r="M1510" s="9"/>
      <c r="N1510" s="2"/>
      <c r="O1510" s="2"/>
      <c r="P1510" s="2"/>
      <c r="Q1510" s="50"/>
      <c r="R1510" s="50"/>
      <c r="S1510" s="2">
        <f>IFERROR(VLOOKUP(A1510,IMPORT_DESISTENCIA!$A$2:$Q2273,14,0),"NÃO")</f>
        <v>0</v>
      </c>
      <c r="T1510" s="35"/>
    </row>
    <row r="1511" spans="1:20" ht="45" customHeight="1" x14ac:dyDescent="0.25">
      <c r="A1511" s="2" t="str">
        <f t="shared" si="1"/>
        <v/>
      </c>
      <c r="B1511" s="2"/>
      <c r="C1511" s="43"/>
      <c r="D1511" s="2"/>
      <c r="E1511" s="2"/>
      <c r="F1511" s="2"/>
      <c r="G1511" s="11"/>
      <c r="H1511" s="11"/>
      <c r="I1511" s="2"/>
      <c r="J1511" s="2"/>
      <c r="K1511" s="2"/>
      <c r="L1511" s="10"/>
      <c r="M1511" s="9"/>
      <c r="N1511" s="2"/>
      <c r="O1511" s="2"/>
      <c r="P1511" s="2"/>
      <c r="Q1511" s="50"/>
      <c r="R1511" s="50"/>
      <c r="S1511" s="2">
        <f>IFERROR(VLOOKUP(A1511,IMPORT_DESISTENCIA!$A$2:$Q2273,14,0),"NÃO")</f>
        <v>0</v>
      </c>
      <c r="T1511" s="35"/>
    </row>
    <row r="1512" spans="1:20" ht="45" customHeight="1" x14ac:dyDescent="0.25">
      <c r="A1512" s="2" t="str">
        <f t="shared" si="1"/>
        <v/>
      </c>
      <c r="B1512" s="2"/>
      <c r="C1512" s="43"/>
      <c r="D1512" s="2"/>
      <c r="E1512" s="2"/>
      <c r="F1512" s="2"/>
      <c r="G1512" s="11"/>
      <c r="H1512" s="11"/>
      <c r="I1512" s="2"/>
      <c r="J1512" s="2"/>
      <c r="K1512" s="2"/>
      <c r="L1512" s="10"/>
      <c r="M1512" s="9"/>
      <c r="N1512" s="2"/>
      <c r="O1512" s="2"/>
      <c r="P1512" s="2"/>
      <c r="Q1512" s="50"/>
      <c r="R1512" s="50"/>
      <c r="S1512" s="2">
        <f>IFERROR(VLOOKUP(A1512,IMPORT_DESISTENCIA!$A$2:$Q2273,14,0),"NÃO")</f>
        <v>0</v>
      </c>
      <c r="T1512" s="35"/>
    </row>
    <row r="1513" spans="1:20" ht="45" customHeight="1" x14ac:dyDescent="0.25">
      <c r="A1513" s="2" t="str">
        <f t="shared" si="1"/>
        <v/>
      </c>
      <c r="B1513" s="2"/>
      <c r="C1513" s="43"/>
      <c r="D1513" s="2"/>
      <c r="E1513" s="2"/>
      <c r="F1513" s="2"/>
      <c r="G1513" s="11"/>
      <c r="H1513" s="11"/>
      <c r="I1513" s="2"/>
      <c r="J1513" s="2"/>
      <c r="K1513" s="2"/>
      <c r="L1513" s="10"/>
      <c r="M1513" s="9"/>
      <c r="N1513" s="2"/>
      <c r="O1513" s="2"/>
      <c r="P1513" s="2"/>
      <c r="Q1513" s="50"/>
      <c r="R1513" s="50"/>
      <c r="S1513" s="2">
        <f>IFERROR(VLOOKUP(A1513,IMPORT_DESISTENCIA!$A$2:$Q2273,14,0),"NÃO")</f>
        <v>0</v>
      </c>
      <c r="T1513" s="35"/>
    </row>
    <row r="1514" spans="1:20" ht="45" customHeight="1" x14ac:dyDescent="0.25">
      <c r="A1514" s="2" t="str">
        <f t="shared" si="1"/>
        <v/>
      </c>
      <c r="B1514" s="2"/>
      <c r="C1514" s="43"/>
      <c r="D1514" s="2"/>
      <c r="E1514" s="2"/>
      <c r="F1514" s="2"/>
      <c r="G1514" s="11"/>
      <c r="H1514" s="11"/>
      <c r="I1514" s="2"/>
      <c r="J1514" s="2"/>
      <c r="K1514" s="2"/>
      <c r="L1514" s="10"/>
      <c r="M1514" s="9"/>
      <c r="N1514" s="2"/>
      <c r="O1514" s="2"/>
      <c r="P1514" s="2"/>
      <c r="Q1514" s="50"/>
      <c r="R1514" s="50"/>
      <c r="S1514" s="2">
        <f>IFERROR(VLOOKUP(A1514,IMPORT_DESISTENCIA!$A$2:$Q2273,14,0),"NÃO")</f>
        <v>0</v>
      </c>
      <c r="T1514" s="35"/>
    </row>
    <row r="1515" spans="1:20" ht="45" customHeight="1" x14ac:dyDescent="0.25">
      <c r="A1515" s="2" t="str">
        <f t="shared" si="1"/>
        <v/>
      </c>
      <c r="B1515" s="2"/>
      <c r="C1515" s="43"/>
      <c r="D1515" s="2"/>
      <c r="E1515" s="2"/>
      <c r="F1515" s="2"/>
      <c r="G1515" s="11"/>
      <c r="H1515" s="11"/>
      <c r="I1515" s="2"/>
      <c r="J1515" s="2"/>
      <c r="K1515" s="2"/>
      <c r="L1515" s="10"/>
      <c r="M1515" s="9"/>
      <c r="N1515" s="2"/>
      <c r="O1515" s="2"/>
      <c r="P1515" s="2"/>
      <c r="Q1515" s="50"/>
      <c r="R1515" s="50"/>
      <c r="S1515" s="2">
        <f>IFERROR(VLOOKUP(A1515,IMPORT_DESISTENCIA!$A$2:$Q2273,14,0),"NÃO")</f>
        <v>0</v>
      </c>
      <c r="T1515" s="35"/>
    </row>
    <row r="1516" spans="1:20" ht="45" customHeight="1" x14ac:dyDescent="0.25">
      <c r="A1516" s="2" t="str">
        <f t="shared" si="1"/>
        <v/>
      </c>
      <c r="B1516" s="2"/>
      <c r="C1516" s="43"/>
      <c r="D1516" s="2"/>
      <c r="E1516" s="2"/>
      <c r="F1516" s="2"/>
      <c r="G1516" s="11"/>
      <c r="H1516" s="11"/>
      <c r="I1516" s="2"/>
      <c r="J1516" s="2"/>
      <c r="K1516" s="2"/>
      <c r="L1516" s="10"/>
      <c r="M1516" s="9"/>
      <c r="N1516" s="2"/>
      <c r="O1516" s="2"/>
      <c r="P1516" s="2"/>
      <c r="Q1516" s="50"/>
      <c r="R1516" s="50"/>
      <c r="S1516" s="2">
        <f>IFERROR(VLOOKUP(A1516,IMPORT_DESISTENCIA!$A$2:$Q2273,14,0),"NÃO")</f>
        <v>0</v>
      </c>
      <c r="T1516" s="35"/>
    </row>
    <row r="1517" spans="1:20" ht="45" customHeight="1" x14ac:dyDescent="0.25">
      <c r="A1517" s="2" t="str">
        <f t="shared" si="1"/>
        <v/>
      </c>
      <c r="B1517" s="2"/>
      <c r="C1517" s="43"/>
      <c r="D1517" s="2"/>
      <c r="E1517" s="2"/>
      <c r="F1517" s="2"/>
      <c r="G1517" s="11"/>
      <c r="H1517" s="11"/>
      <c r="I1517" s="2"/>
      <c r="J1517" s="2"/>
      <c r="K1517" s="2"/>
      <c r="L1517" s="10"/>
      <c r="M1517" s="9"/>
      <c r="N1517" s="2"/>
      <c r="O1517" s="2"/>
      <c r="P1517" s="2"/>
      <c r="Q1517" s="50"/>
      <c r="R1517" s="50"/>
      <c r="S1517" s="2">
        <f>IFERROR(VLOOKUP(A1517,IMPORT_DESISTENCIA!$A$2:$Q2273,14,0),"NÃO")</f>
        <v>0</v>
      </c>
      <c r="T1517" s="35"/>
    </row>
    <row r="1518" spans="1:20" ht="45" customHeight="1" x14ac:dyDescent="0.25">
      <c r="A1518" s="2" t="str">
        <f t="shared" si="1"/>
        <v/>
      </c>
      <c r="B1518" s="2"/>
      <c r="C1518" s="43"/>
      <c r="D1518" s="2"/>
      <c r="E1518" s="2"/>
      <c r="F1518" s="2"/>
      <c r="G1518" s="11"/>
      <c r="H1518" s="11"/>
      <c r="I1518" s="2"/>
      <c r="J1518" s="2"/>
      <c r="K1518" s="2"/>
      <c r="L1518" s="10"/>
      <c r="M1518" s="9"/>
      <c r="N1518" s="2"/>
      <c r="O1518" s="2"/>
      <c r="P1518" s="2"/>
      <c r="Q1518" s="50"/>
      <c r="R1518" s="50"/>
      <c r="S1518" s="2">
        <f>IFERROR(VLOOKUP(A1518,IMPORT_DESISTENCIA!$A$2:$Q2273,14,0),"NÃO")</f>
        <v>0</v>
      </c>
      <c r="T1518" s="35"/>
    </row>
    <row r="1519" spans="1:20" ht="45" customHeight="1" x14ac:dyDescent="0.25">
      <c r="A1519" s="2" t="str">
        <f t="shared" si="1"/>
        <v/>
      </c>
      <c r="B1519" s="2"/>
      <c r="C1519" s="43"/>
      <c r="D1519" s="2"/>
      <c r="E1519" s="2"/>
      <c r="F1519" s="2"/>
      <c r="G1519" s="11"/>
      <c r="H1519" s="11"/>
      <c r="I1519" s="2"/>
      <c r="J1519" s="2"/>
      <c r="K1519" s="2"/>
      <c r="L1519" s="10"/>
      <c r="M1519" s="9"/>
      <c r="N1519" s="2"/>
      <c r="O1519" s="2"/>
      <c r="P1519" s="2"/>
      <c r="Q1519" s="50"/>
      <c r="R1519" s="50"/>
      <c r="S1519" s="2">
        <f>IFERROR(VLOOKUP(A1519,IMPORT_DESISTENCIA!$A$2:$Q2273,14,0),"NÃO")</f>
        <v>0</v>
      </c>
      <c r="T1519" s="35"/>
    </row>
    <row r="1520" spans="1:20" ht="45" customHeight="1" x14ac:dyDescent="0.25">
      <c r="A1520" s="2" t="str">
        <f t="shared" si="1"/>
        <v/>
      </c>
      <c r="B1520" s="2"/>
      <c r="C1520" s="43"/>
      <c r="D1520" s="2"/>
      <c r="E1520" s="2"/>
      <c r="F1520" s="2"/>
      <c r="G1520" s="11"/>
      <c r="H1520" s="11"/>
      <c r="I1520" s="2"/>
      <c r="J1520" s="2"/>
      <c r="K1520" s="2"/>
      <c r="L1520" s="10"/>
      <c r="M1520" s="9"/>
      <c r="N1520" s="2"/>
      <c r="O1520" s="2"/>
      <c r="P1520" s="2"/>
      <c r="Q1520" s="50"/>
      <c r="R1520" s="50"/>
      <c r="S1520" s="2">
        <f>IFERROR(VLOOKUP(A1520,IMPORT_DESISTENCIA!$A$2:$Q2273,14,0),"NÃO")</f>
        <v>0</v>
      </c>
      <c r="T1520" s="35"/>
    </row>
    <row r="1521" spans="1:20" ht="45" customHeight="1" x14ac:dyDescent="0.25">
      <c r="A1521" s="2" t="str">
        <f t="shared" si="1"/>
        <v/>
      </c>
      <c r="B1521" s="2"/>
      <c r="C1521" s="43"/>
      <c r="D1521" s="2"/>
      <c r="E1521" s="2"/>
      <c r="F1521" s="2"/>
      <c r="G1521" s="11"/>
      <c r="H1521" s="11"/>
      <c r="I1521" s="2"/>
      <c r="J1521" s="2"/>
      <c r="K1521" s="2"/>
      <c r="L1521" s="10"/>
      <c r="M1521" s="9"/>
      <c r="N1521" s="2"/>
      <c r="O1521" s="2"/>
      <c r="P1521" s="2"/>
      <c r="Q1521" s="50"/>
      <c r="R1521" s="50"/>
      <c r="S1521" s="2">
        <f>IFERROR(VLOOKUP(A1521,IMPORT_DESISTENCIA!$A$2:$Q2273,14,0),"NÃO")</f>
        <v>0</v>
      </c>
      <c r="T1521" s="35"/>
    </row>
    <row r="1522" spans="1:20" ht="45" customHeight="1" x14ac:dyDescent="0.25">
      <c r="A1522" s="2" t="str">
        <f t="shared" si="1"/>
        <v/>
      </c>
      <c r="B1522" s="2"/>
      <c r="C1522" s="43"/>
      <c r="D1522" s="2"/>
      <c r="E1522" s="2"/>
      <c r="F1522" s="2"/>
      <c r="G1522" s="11"/>
      <c r="H1522" s="11"/>
      <c r="I1522" s="2"/>
      <c r="J1522" s="2"/>
      <c r="K1522" s="2"/>
      <c r="L1522" s="10"/>
      <c r="M1522" s="9"/>
      <c r="N1522" s="2"/>
      <c r="O1522" s="2"/>
      <c r="P1522" s="2"/>
      <c r="Q1522" s="50"/>
      <c r="R1522" s="50"/>
      <c r="S1522" s="2">
        <f>IFERROR(VLOOKUP(A1522,IMPORT_DESISTENCIA!$A$2:$Q2273,14,0),"NÃO")</f>
        <v>0</v>
      </c>
      <c r="T1522" s="35"/>
    </row>
    <row r="1523" spans="1:20" ht="45" customHeight="1" x14ac:dyDescent="0.25">
      <c r="A1523" s="2" t="str">
        <f t="shared" si="1"/>
        <v/>
      </c>
      <c r="B1523" s="2"/>
      <c r="C1523" s="43"/>
      <c r="D1523" s="2"/>
      <c r="E1523" s="2"/>
      <c r="F1523" s="2"/>
      <c r="G1523" s="11"/>
      <c r="H1523" s="11"/>
      <c r="I1523" s="2"/>
      <c r="J1523" s="2"/>
      <c r="K1523" s="2"/>
      <c r="L1523" s="10"/>
      <c r="M1523" s="9"/>
      <c r="N1523" s="2"/>
      <c r="O1523" s="2"/>
      <c r="P1523" s="2"/>
      <c r="Q1523" s="50"/>
      <c r="R1523" s="50"/>
      <c r="S1523" s="2">
        <f>IFERROR(VLOOKUP(A1523,IMPORT_DESISTENCIA!$A$2:$Q2273,14,0),"NÃO")</f>
        <v>0</v>
      </c>
      <c r="T1523" s="35"/>
    </row>
    <row r="1524" spans="1:20" ht="45" customHeight="1" x14ac:dyDescent="0.25">
      <c r="A1524" s="2" t="str">
        <f t="shared" si="1"/>
        <v/>
      </c>
      <c r="B1524" s="2"/>
      <c r="C1524" s="43"/>
      <c r="D1524" s="2"/>
      <c r="E1524" s="2"/>
      <c r="F1524" s="2"/>
      <c r="G1524" s="11"/>
      <c r="H1524" s="11"/>
      <c r="I1524" s="2"/>
      <c r="J1524" s="2"/>
      <c r="K1524" s="2"/>
      <c r="L1524" s="10"/>
      <c r="M1524" s="9"/>
      <c r="N1524" s="2"/>
      <c r="O1524" s="2"/>
      <c r="P1524" s="2"/>
      <c r="Q1524" s="50"/>
      <c r="R1524" s="50"/>
      <c r="S1524" s="2">
        <f>IFERROR(VLOOKUP(A1524,IMPORT_DESISTENCIA!$A$2:$Q2273,14,0),"NÃO")</f>
        <v>0</v>
      </c>
      <c r="T1524" s="35"/>
    </row>
    <row r="1525" spans="1:20" ht="45" customHeight="1" x14ac:dyDescent="0.25">
      <c r="A1525" s="2" t="str">
        <f t="shared" si="1"/>
        <v/>
      </c>
      <c r="B1525" s="2"/>
      <c r="C1525" s="43"/>
      <c r="D1525" s="2"/>
      <c r="E1525" s="2"/>
      <c r="F1525" s="2"/>
      <c r="G1525" s="11"/>
      <c r="H1525" s="11"/>
      <c r="I1525" s="2"/>
      <c r="J1525" s="2"/>
      <c r="K1525" s="2"/>
      <c r="L1525" s="10"/>
      <c r="M1525" s="9"/>
      <c r="N1525" s="2"/>
      <c r="O1525" s="2"/>
      <c r="P1525" s="2"/>
      <c r="Q1525" s="50"/>
      <c r="R1525" s="50"/>
      <c r="S1525" s="2">
        <f>IFERROR(VLOOKUP(A1525,IMPORT_DESISTENCIA!$A$2:$Q2273,14,0),"NÃO")</f>
        <v>0</v>
      </c>
      <c r="T1525" s="35"/>
    </row>
    <row r="1526" spans="1:20" ht="45" customHeight="1" x14ac:dyDescent="0.25">
      <c r="A1526" s="2" t="str">
        <f t="shared" si="1"/>
        <v/>
      </c>
      <c r="B1526" s="2"/>
      <c r="C1526" s="43"/>
      <c r="D1526" s="2"/>
      <c r="E1526" s="2"/>
      <c r="F1526" s="2"/>
      <c r="G1526" s="11"/>
      <c r="H1526" s="11"/>
      <c r="I1526" s="2"/>
      <c r="J1526" s="2"/>
      <c r="K1526" s="2"/>
      <c r="L1526" s="10"/>
      <c r="M1526" s="9"/>
      <c r="N1526" s="2"/>
      <c r="O1526" s="2"/>
      <c r="P1526" s="2"/>
      <c r="Q1526" s="50"/>
      <c r="R1526" s="50"/>
      <c r="S1526" s="2">
        <f>IFERROR(VLOOKUP(A1526,IMPORT_DESISTENCIA!$A$2:$Q2273,14,0),"NÃO")</f>
        <v>0</v>
      </c>
      <c r="T1526" s="35"/>
    </row>
    <row r="1527" spans="1:20" ht="45" customHeight="1" x14ac:dyDescent="0.25">
      <c r="A1527" s="2" t="str">
        <f t="shared" si="1"/>
        <v/>
      </c>
      <c r="B1527" s="2"/>
      <c r="C1527" s="43"/>
      <c r="D1527" s="2"/>
      <c r="E1527" s="2"/>
      <c r="F1527" s="2"/>
      <c r="G1527" s="11"/>
      <c r="H1527" s="11"/>
      <c r="I1527" s="2"/>
      <c r="J1527" s="2"/>
      <c r="K1527" s="2"/>
      <c r="L1527" s="10"/>
      <c r="M1527" s="9"/>
      <c r="N1527" s="2"/>
      <c r="O1527" s="2"/>
      <c r="P1527" s="2"/>
      <c r="Q1527" s="50"/>
      <c r="R1527" s="50"/>
      <c r="S1527" s="2">
        <f>IFERROR(VLOOKUP(A1527,IMPORT_DESISTENCIA!$A$2:$Q2273,14,0),"NÃO")</f>
        <v>0</v>
      </c>
      <c r="T1527" s="35"/>
    </row>
    <row r="1528" spans="1:20" ht="45" customHeight="1" x14ac:dyDescent="0.25">
      <c r="A1528" s="2" t="str">
        <f t="shared" si="1"/>
        <v/>
      </c>
      <c r="B1528" s="2"/>
      <c r="C1528" s="43"/>
      <c r="D1528" s="2"/>
      <c r="E1528" s="2"/>
      <c r="F1528" s="2"/>
      <c r="G1528" s="11"/>
      <c r="H1528" s="11"/>
      <c r="I1528" s="2"/>
      <c r="J1528" s="2"/>
      <c r="K1528" s="2"/>
      <c r="L1528" s="10"/>
      <c r="M1528" s="9"/>
      <c r="N1528" s="2"/>
      <c r="O1528" s="2"/>
      <c r="P1528" s="2"/>
      <c r="Q1528" s="50"/>
      <c r="R1528" s="50"/>
      <c r="S1528" s="2">
        <f>IFERROR(VLOOKUP(A1528,IMPORT_DESISTENCIA!$A$2:$Q2273,14,0),"NÃO")</f>
        <v>0</v>
      </c>
      <c r="T1528" s="35"/>
    </row>
    <row r="1529" spans="1:20" ht="45" customHeight="1" x14ac:dyDescent="0.25">
      <c r="A1529" s="2" t="str">
        <f t="shared" si="1"/>
        <v/>
      </c>
      <c r="B1529" s="2"/>
      <c r="C1529" s="43"/>
      <c r="D1529" s="2"/>
      <c r="E1529" s="2"/>
      <c r="F1529" s="2"/>
      <c r="G1529" s="11"/>
      <c r="H1529" s="11"/>
      <c r="I1529" s="2"/>
      <c r="J1529" s="2"/>
      <c r="K1529" s="2"/>
      <c r="L1529" s="10"/>
      <c r="M1529" s="9"/>
      <c r="N1529" s="2"/>
      <c r="O1529" s="2"/>
      <c r="P1529" s="2"/>
      <c r="Q1529" s="50"/>
      <c r="R1529" s="50"/>
      <c r="S1529" s="2">
        <f>IFERROR(VLOOKUP(A1529,IMPORT_DESISTENCIA!$A$2:$Q2273,14,0),"NÃO")</f>
        <v>0</v>
      </c>
      <c r="T1529" s="35"/>
    </row>
    <row r="1530" spans="1:20" ht="45" customHeight="1" x14ac:dyDescent="0.25">
      <c r="A1530" s="2" t="str">
        <f t="shared" si="1"/>
        <v/>
      </c>
      <c r="B1530" s="2"/>
      <c r="C1530" s="43"/>
      <c r="D1530" s="2"/>
      <c r="E1530" s="2"/>
      <c r="F1530" s="2"/>
      <c r="G1530" s="11"/>
      <c r="H1530" s="11"/>
      <c r="I1530" s="2"/>
      <c r="J1530" s="2"/>
      <c r="K1530" s="2"/>
      <c r="L1530" s="10"/>
      <c r="M1530" s="9"/>
      <c r="N1530" s="2"/>
      <c r="O1530" s="2"/>
      <c r="P1530" s="2"/>
      <c r="Q1530" s="50"/>
      <c r="R1530" s="50"/>
      <c r="S1530" s="2">
        <f>IFERROR(VLOOKUP(A1530,IMPORT_DESISTENCIA!$A$2:$Q2273,14,0),"NÃO")</f>
        <v>0</v>
      </c>
      <c r="T1530" s="35"/>
    </row>
    <row r="1531" spans="1:20" ht="45" customHeight="1" x14ac:dyDescent="0.25">
      <c r="A1531" s="2" t="str">
        <f t="shared" si="1"/>
        <v/>
      </c>
      <c r="B1531" s="2"/>
      <c r="C1531" s="43"/>
      <c r="D1531" s="2"/>
      <c r="E1531" s="2"/>
      <c r="F1531" s="2"/>
      <c r="G1531" s="11"/>
      <c r="H1531" s="11"/>
      <c r="I1531" s="2"/>
      <c r="J1531" s="2"/>
      <c r="K1531" s="2"/>
      <c r="L1531" s="10"/>
      <c r="M1531" s="9"/>
      <c r="N1531" s="2"/>
      <c r="O1531" s="2"/>
      <c r="P1531" s="2"/>
      <c r="Q1531" s="50"/>
      <c r="R1531" s="50"/>
      <c r="S1531" s="2">
        <f>IFERROR(VLOOKUP(A1531,IMPORT_DESISTENCIA!$A$2:$Q2273,14,0),"NÃO")</f>
        <v>0</v>
      </c>
      <c r="T1531" s="35"/>
    </row>
    <row r="1532" spans="1:20" ht="45" customHeight="1" x14ac:dyDescent="0.25">
      <c r="A1532" s="2" t="str">
        <f t="shared" si="1"/>
        <v/>
      </c>
      <c r="B1532" s="2"/>
      <c r="C1532" s="43"/>
      <c r="D1532" s="2"/>
      <c r="E1532" s="2"/>
      <c r="F1532" s="2"/>
      <c r="G1532" s="11"/>
      <c r="H1532" s="11"/>
      <c r="I1532" s="2"/>
      <c r="J1532" s="2"/>
      <c r="K1532" s="2"/>
      <c r="L1532" s="10"/>
      <c r="M1532" s="9"/>
      <c r="N1532" s="2"/>
      <c r="O1532" s="2"/>
      <c r="P1532" s="2"/>
      <c r="Q1532" s="50"/>
      <c r="R1532" s="50"/>
      <c r="S1532" s="2">
        <f>IFERROR(VLOOKUP(A1532,IMPORT_DESISTENCIA!$A$2:$Q2273,14,0),"NÃO")</f>
        <v>0</v>
      </c>
      <c r="T1532" s="35"/>
    </row>
    <row r="1533" spans="1:20" ht="45" customHeight="1" x14ac:dyDescent="0.25">
      <c r="A1533" s="2" t="str">
        <f t="shared" si="1"/>
        <v/>
      </c>
      <c r="B1533" s="2"/>
      <c r="C1533" s="43"/>
      <c r="D1533" s="2"/>
      <c r="E1533" s="2"/>
      <c r="F1533" s="2"/>
      <c r="G1533" s="11"/>
      <c r="H1533" s="11"/>
      <c r="I1533" s="2"/>
      <c r="J1533" s="2"/>
      <c r="K1533" s="2"/>
      <c r="L1533" s="10"/>
      <c r="M1533" s="9"/>
      <c r="N1533" s="2"/>
      <c r="O1533" s="2"/>
      <c r="P1533" s="2"/>
      <c r="Q1533" s="50"/>
      <c r="R1533" s="50"/>
      <c r="S1533" s="2">
        <f>IFERROR(VLOOKUP(A1533,IMPORT_DESISTENCIA!$A$2:$Q2273,14,0),"NÃO")</f>
        <v>0</v>
      </c>
      <c r="T1533" s="35"/>
    </row>
    <row r="1534" spans="1:20" ht="45" customHeight="1" x14ac:dyDescent="0.25">
      <c r="A1534" s="2" t="str">
        <f t="shared" si="1"/>
        <v/>
      </c>
      <c r="B1534" s="2"/>
      <c r="C1534" s="43"/>
      <c r="D1534" s="2"/>
      <c r="E1534" s="2"/>
      <c r="F1534" s="2"/>
      <c r="G1534" s="11"/>
      <c r="H1534" s="11"/>
      <c r="I1534" s="2"/>
      <c r="J1534" s="2"/>
      <c r="K1534" s="2"/>
      <c r="L1534" s="10"/>
      <c r="M1534" s="9"/>
      <c r="N1534" s="2"/>
      <c r="O1534" s="2"/>
      <c r="P1534" s="2"/>
      <c r="Q1534" s="50"/>
      <c r="R1534" s="50"/>
      <c r="S1534" s="2">
        <f>IFERROR(VLOOKUP(A1534,IMPORT_DESISTENCIA!$A$2:$Q2273,14,0),"NÃO")</f>
        <v>0</v>
      </c>
      <c r="T1534" s="35"/>
    </row>
    <row r="1535" spans="1:20" ht="45" customHeight="1" x14ac:dyDescent="0.25">
      <c r="A1535" s="2" t="str">
        <f t="shared" si="1"/>
        <v/>
      </c>
      <c r="B1535" s="2"/>
      <c r="C1535" s="43"/>
      <c r="D1535" s="2"/>
      <c r="E1535" s="2"/>
      <c r="F1535" s="2"/>
      <c r="G1535" s="11"/>
      <c r="H1535" s="11"/>
      <c r="I1535" s="2"/>
      <c r="J1535" s="2"/>
      <c r="K1535" s="2"/>
      <c r="L1535" s="10"/>
      <c r="M1535" s="9"/>
      <c r="N1535" s="2"/>
      <c r="O1535" s="2"/>
      <c r="P1535" s="2"/>
      <c r="Q1535" s="50"/>
      <c r="R1535" s="50"/>
      <c r="S1535" s="2">
        <f>IFERROR(VLOOKUP(A1535,IMPORT_DESISTENCIA!$A$2:$Q2273,14,0),"NÃO")</f>
        <v>0</v>
      </c>
      <c r="T1535" s="35"/>
    </row>
    <row r="1536" spans="1:20" ht="45" customHeight="1" x14ac:dyDescent="0.25">
      <c r="A1536" s="2" t="str">
        <f t="shared" si="1"/>
        <v/>
      </c>
      <c r="B1536" s="2"/>
      <c r="C1536" s="43"/>
      <c r="D1536" s="2"/>
      <c r="E1536" s="2"/>
      <c r="F1536" s="2"/>
      <c r="G1536" s="11"/>
      <c r="H1536" s="11"/>
      <c r="I1536" s="2"/>
      <c r="J1536" s="2"/>
      <c r="K1536" s="2"/>
      <c r="L1536" s="10"/>
      <c r="M1536" s="9"/>
      <c r="N1536" s="2"/>
      <c r="O1536" s="2"/>
      <c r="P1536" s="2"/>
      <c r="Q1536" s="50"/>
      <c r="R1536" s="50"/>
      <c r="S1536" s="2">
        <f>IFERROR(VLOOKUP(A1536,IMPORT_DESISTENCIA!$A$2:$Q2273,14,0),"NÃO")</f>
        <v>0</v>
      </c>
      <c r="T1536" s="35"/>
    </row>
    <row r="1537" spans="1:20" ht="45" customHeight="1" x14ac:dyDescent="0.25">
      <c r="A1537" s="2" t="str">
        <f t="shared" si="1"/>
        <v/>
      </c>
      <c r="B1537" s="2"/>
      <c r="C1537" s="43"/>
      <c r="D1537" s="2"/>
      <c r="E1537" s="2"/>
      <c r="F1537" s="2"/>
      <c r="G1537" s="11"/>
      <c r="H1537" s="11"/>
      <c r="I1537" s="2"/>
      <c r="J1537" s="2"/>
      <c r="K1537" s="2"/>
      <c r="L1537" s="10"/>
      <c r="M1537" s="9"/>
      <c r="N1537" s="2"/>
      <c r="O1537" s="2"/>
      <c r="P1537" s="2"/>
      <c r="Q1537" s="50"/>
      <c r="R1537" s="50"/>
      <c r="S1537" s="2">
        <f>IFERROR(VLOOKUP(A1537,IMPORT_DESISTENCIA!$A$2:$Q2273,14,0),"NÃO")</f>
        <v>0</v>
      </c>
      <c r="T1537" s="35"/>
    </row>
    <row r="1538" spans="1:20" ht="45" customHeight="1" x14ac:dyDescent="0.25">
      <c r="A1538" s="2" t="str">
        <f t="shared" si="1"/>
        <v/>
      </c>
      <c r="B1538" s="2"/>
      <c r="C1538" s="43"/>
      <c r="D1538" s="2"/>
      <c r="E1538" s="2"/>
      <c r="F1538" s="2"/>
      <c r="G1538" s="11"/>
      <c r="H1538" s="11"/>
      <c r="I1538" s="2"/>
      <c r="J1538" s="2"/>
      <c r="K1538" s="2"/>
      <c r="L1538" s="10"/>
      <c r="M1538" s="9"/>
      <c r="N1538" s="2"/>
      <c r="O1538" s="2"/>
      <c r="P1538" s="2"/>
      <c r="Q1538" s="50"/>
      <c r="R1538" s="50"/>
      <c r="S1538" s="2">
        <f>IFERROR(VLOOKUP(A1538,IMPORT_DESISTENCIA!$A$2:$Q2273,14,0),"NÃO")</f>
        <v>0</v>
      </c>
      <c r="T1538" s="35"/>
    </row>
    <row r="1539" spans="1:20" ht="45" customHeight="1" x14ac:dyDescent="0.25">
      <c r="A1539" s="2" t="str">
        <f t="shared" si="1"/>
        <v/>
      </c>
      <c r="B1539" s="2"/>
      <c r="C1539" s="43"/>
      <c r="D1539" s="2"/>
      <c r="E1539" s="2"/>
      <c r="F1539" s="2"/>
      <c r="G1539" s="11"/>
      <c r="H1539" s="11"/>
      <c r="I1539" s="2"/>
      <c r="J1539" s="2"/>
      <c r="K1539" s="2"/>
      <c r="L1539" s="10"/>
      <c r="M1539" s="9"/>
      <c r="N1539" s="2"/>
      <c r="O1539" s="2"/>
      <c r="P1539" s="2"/>
      <c r="Q1539" s="50"/>
      <c r="R1539" s="50"/>
      <c r="S1539" s="2">
        <f>IFERROR(VLOOKUP(A1539,IMPORT_DESISTENCIA!$A$2:$Q2273,14,0),"NÃO")</f>
        <v>0</v>
      </c>
      <c r="T1539" s="35"/>
    </row>
    <row r="1540" spans="1:20" ht="45" customHeight="1" x14ac:dyDescent="0.25">
      <c r="A1540" s="2" t="str">
        <f t="shared" si="1"/>
        <v/>
      </c>
      <c r="B1540" s="2"/>
      <c r="C1540" s="43"/>
      <c r="D1540" s="2"/>
      <c r="E1540" s="2"/>
      <c r="F1540" s="2"/>
      <c r="G1540" s="11"/>
      <c r="H1540" s="11"/>
      <c r="I1540" s="2"/>
      <c r="J1540" s="2"/>
      <c r="K1540" s="2"/>
      <c r="L1540" s="10"/>
      <c r="M1540" s="9"/>
      <c r="N1540" s="2"/>
      <c r="O1540" s="2"/>
      <c r="P1540" s="2"/>
      <c r="Q1540" s="50"/>
      <c r="R1540" s="50"/>
      <c r="S1540" s="2">
        <f>IFERROR(VLOOKUP(A1540,IMPORT_DESISTENCIA!$A$2:$Q2273,14,0),"NÃO")</f>
        <v>0</v>
      </c>
      <c r="T1540" s="35"/>
    </row>
    <row r="1541" spans="1:20" ht="45" customHeight="1" x14ac:dyDescent="0.25">
      <c r="A1541" s="2" t="str">
        <f t="shared" si="1"/>
        <v/>
      </c>
      <c r="B1541" s="2"/>
      <c r="C1541" s="43"/>
      <c r="D1541" s="2"/>
      <c r="E1541" s="2"/>
      <c r="F1541" s="2"/>
      <c r="G1541" s="11"/>
      <c r="H1541" s="11"/>
      <c r="I1541" s="2"/>
      <c r="J1541" s="2"/>
      <c r="K1541" s="2"/>
      <c r="L1541" s="10"/>
      <c r="M1541" s="9"/>
      <c r="N1541" s="2"/>
      <c r="O1541" s="2"/>
      <c r="P1541" s="2"/>
      <c r="Q1541" s="50"/>
      <c r="R1541" s="50"/>
      <c r="S1541" s="2">
        <f>IFERROR(VLOOKUP(A1541,IMPORT_DESISTENCIA!$A$2:$Q2273,14,0),"NÃO")</f>
        <v>0</v>
      </c>
      <c r="T1541" s="35"/>
    </row>
    <row r="1542" spans="1:20" ht="45" customHeight="1" x14ac:dyDescent="0.25">
      <c r="A1542" s="2" t="str">
        <f t="shared" si="1"/>
        <v/>
      </c>
      <c r="B1542" s="2"/>
      <c r="C1542" s="43"/>
      <c r="D1542" s="2"/>
      <c r="E1542" s="2"/>
      <c r="F1542" s="2"/>
      <c r="G1542" s="11"/>
      <c r="H1542" s="11"/>
      <c r="I1542" s="2"/>
      <c r="J1542" s="2"/>
      <c r="K1542" s="2"/>
      <c r="L1542" s="10"/>
      <c r="M1542" s="9"/>
      <c r="N1542" s="2"/>
      <c r="O1542" s="2"/>
      <c r="P1542" s="2"/>
      <c r="Q1542" s="50"/>
      <c r="R1542" s="50"/>
      <c r="S1542" s="2">
        <f>IFERROR(VLOOKUP(A1542,IMPORT_DESISTENCIA!$A$2:$Q2273,14,0),"NÃO")</f>
        <v>0</v>
      </c>
      <c r="T1542" s="35"/>
    </row>
    <row r="1543" spans="1:20" ht="45" customHeight="1" x14ac:dyDescent="0.25">
      <c r="A1543" s="2" t="str">
        <f t="shared" si="1"/>
        <v/>
      </c>
      <c r="B1543" s="2"/>
      <c r="C1543" s="43"/>
      <c r="D1543" s="2"/>
      <c r="E1543" s="2"/>
      <c r="F1543" s="2"/>
      <c r="G1543" s="11"/>
      <c r="H1543" s="11"/>
      <c r="I1543" s="2"/>
      <c r="J1543" s="2"/>
      <c r="K1543" s="2"/>
      <c r="L1543" s="10"/>
      <c r="M1543" s="9"/>
      <c r="N1543" s="2"/>
      <c r="O1543" s="2"/>
      <c r="P1543" s="2"/>
      <c r="Q1543" s="50"/>
      <c r="R1543" s="50"/>
      <c r="S1543" s="2">
        <f>IFERROR(VLOOKUP(A1543,IMPORT_DESISTENCIA!$A$2:$Q2273,14,0),"NÃO")</f>
        <v>0</v>
      </c>
      <c r="T1543" s="35"/>
    </row>
    <row r="1544" spans="1:20" ht="45" customHeight="1" x14ac:dyDescent="0.25">
      <c r="A1544" s="2" t="str">
        <f t="shared" si="1"/>
        <v/>
      </c>
      <c r="B1544" s="2"/>
      <c r="C1544" s="43"/>
      <c r="D1544" s="2"/>
      <c r="E1544" s="2"/>
      <c r="F1544" s="2"/>
      <c r="G1544" s="11"/>
      <c r="H1544" s="11"/>
      <c r="I1544" s="2"/>
      <c r="J1544" s="2"/>
      <c r="K1544" s="2"/>
      <c r="L1544" s="10"/>
      <c r="M1544" s="9"/>
      <c r="N1544" s="2"/>
      <c r="O1544" s="2"/>
      <c r="P1544" s="2"/>
      <c r="Q1544" s="50"/>
      <c r="R1544" s="50"/>
      <c r="S1544" s="2">
        <f>IFERROR(VLOOKUP(A1544,IMPORT_DESISTENCIA!$A$2:$Q2273,14,0),"NÃO")</f>
        <v>0</v>
      </c>
      <c r="T1544" s="35"/>
    </row>
    <row r="1545" spans="1:20" ht="45" customHeight="1" x14ac:dyDescent="0.25">
      <c r="A1545" s="2" t="str">
        <f t="shared" si="1"/>
        <v/>
      </c>
      <c r="B1545" s="2"/>
      <c r="C1545" s="43"/>
      <c r="D1545" s="2"/>
      <c r="E1545" s="2"/>
      <c r="F1545" s="2"/>
      <c r="G1545" s="11"/>
      <c r="H1545" s="11"/>
      <c r="I1545" s="2"/>
      <c r="J1545" s="2"/>
      <c r="K1545" s="2"/>
      <c r="L1545" s="10"/>
      <c r="M1545" s="9"/>
      <c r="N1545" s="2"/>
      <c r="O1545" s="2"/>
      <c r="P1545" s="2"/>
      <c r="Q1545" s="50"/>
      <c r="R1545" s="50"/>
      <c r="S1545" s="2">
        <f>IFERROR(VLOOKUP(A1545,IMPORT_DESISTENCIA!$A$2:$Q2273,14,0),"NÃO")</f>
        <v>0</v>
      </c>
      <c r="T1545" s="35"/>
    </row>
    <row r="1546" spans="1:20" ht="45" customHeight="1" x14ac:dyDescent="0.25">
      <c r="A1546" s="2" t="str">
        <f t="shared" si="1"/>
        <v/>
      </c>
      <c r="B1546" s="2"/>
      <c r="C1546" s="43"/>
      <c r="D1546" s="2"/>
      <c r="E1546" s="2"/>
      <c r="F1546" s="2"/>
      <c r="G1546" s="11"/>
      <c r="H1546" s="11"/>
      <c r="I1546" s="2"/>
      <c r="J1546" s="2"/>
      <c r="K1546" s="2"/>
      <c r="L1546" s="10"/>
      <c r="M1546" s="9"/>
      <c r="N1546" s="2"/>
      <c r="O1546" s="2"/>
      <c r="P1546" s="2"/>
      <c r="Q1546" s="50"/>
      <c r="R1546" s="50"/>
      <c r="S1546" s="2">
        <f>IFERROR(VLOOKUP(A1546,IMPORT_DESISTENCIA!$A$2:$Q2273,14,0),"NÃO")</f>
        <v>0</v>
      </c>
      <c r="T1546" s="35"/>
    </row>
    <row r="1547" spans="1:20" ht="45" customHeight="1" x14ac:dyDescent="0.25">
      <c r="A1547" s="2" t="str">
        <f t="shared" si="1"/>
        <v/>
      </c>
      <c r="B1547" s="2"/>
      <c r="C1547" s="43"/>
      <c r="D1547" s="2"/>
      <c r="E1547" s="2"/>
      <c r="F1547" s="2"/>
      <c r="G1547" s="11"/>
      <c r="H1547" s="11"/>
      <c r="I1547" s="2"/>
      <c r="J1547" s="2"/>
      <c r="K1547" s="2"/>
      <c r="L1547" s="10"/>
      <c r="M1547" s="9"/>
      <c r="N1547" s="2"/>
      <c r="O1547" s="2"/>
      <c r="P1547" s="2"/>
      <c r="Q1547" s="50"/>
      <c r="R1547" s="50"/>
      <c r="S1547" s="2">
        <f>IFERROR(VLOOKUP(A1547,IMPORT_DESISTENCIA!$A$2:$Q2273,14,0),"NÃO")</f>
        <v>0</v>
      </c>
      <c r="T1547" s="35"/>
    </row>
    <row r="1548" spans="1:20" ht="45" customHeight="1" x14ac:dyDescent="0.25">
      <c r="A1548" s="2" t="str">
        <f t="shared" si="1"/>
        <v/>
      </c>
      <c r="B1548" s="2"/>
      <c r="C1548" s="43"/>
      <c r="D1548" s="2"/>
      <c r="E1548" s="2"/>
      <c r="F1548" s="2"/>
      <c r="G1548" s="11"/>
      <c r="H1548" s="11"/>
      <c r="I1548" s="2"/>
      <c r="J1548" s="2"/>
      <c r="K1548" s="2"/>
      <c r="L1548" s="10"/>
      <c r="M1548" s="9"/>
      <c r="N1548" s="2"/>
      <c r="O1548" s="2"/>
      <c r="P1548" s="2"/>
      <c r="Q1548" s="50"/>
      <c r="R1548" s="50"/>
      <c r="S1548" s="2">
        <f>IFERROR(VLOOKUP(A1548,IMPORT_DESISTENCIA!$A$2:$Q2273,14,0),"NÃO")</f>
        <v>0</v>
      </c>
      <c r="T1548" s="35"/>
    </row>
    <row r="1549" spans="1:20" ht="45" customHeight="1" x14ac:dyDescent="0.25">
      <c r="A1549" s="2" t="str">
        <f t="shared" si="1"/>
        <v/>
      </c>
      <c r="B1549" s="2"/>
      <c r="C1549" s="43"/>
      <c r="D1549" s="2"/>
      <c r="E1549" s="2"/>
      <c r="F1549" s="2"/>
      <c r="G1549" s="11"/>
      <c r="H1549" s="11"/>
      <c r="I1549" s="2"/>
      <c r="J1549" s="2"/>
      <c r="K1549" s="2"/>
      <c r="L1549" s="10"/>
      <c r="M1549" s="9"/>
      <c r="N1549" s="2"/>
      <c r="O1549" s="2"/>
      <c r="P1549" s="2"/>
      <c r="Q1549" s="50"/>
      <c r="R1549" s="50"/>
      <c r="S1549" s="2">
        <f>IFERROR(VLOOKUP(A1549,IMPORT_DESISTENCIA!$A$2:$Q2273,14,0),"NÃO")</f>
        <v>0</v>
      </c>
      <c r="T1549" s="35"/>
    </row>
    <row r="1550" spans="1:20" ht="45" customHeight="1" x14ac:dyDescent="0.25">
      <c r="A1550" s="2" t="str">
        <f t="shared" si="1"/>
        <v/>
      </c>
      <c r="B1550" s="2"/>
      <c r="C1550" s="43"/>
      <c r="D1550" s="2"/>
      <c r="E1550" s="2"/>
      <c r="F1550" s="2"/>
      <c r="G1550" s="11"/>
      <c r="H1550" s="11"/>
      <c r="I1550" s="2"/>
      <c r="J1550" s="2"/>
      <c r="K1550" s="2"/>
      <c r="L1550" s="10"/>
      <c r="M1550" s="9"/>
      <c r="N1550" s="2"/>
      <c r="O1550" s="2"/>
      <c r="P1550" s="2"/>
      <c r="Q1550" s="50"/>
      <c r="R1550" s="50"/>
      <c r="S1550" s="2">
        <f>IFERROR(VLOOKUP(A1550,IMPORT_DESISTENCIA!$A$2:$Q2273,14,0),"NÃO")</f>
        <v>0</v>
      </c>
      <c r="T1550" s="35"/>
    </row>
    <row r="1551" spans="1:20" ht="45" customHeight="1" x14ac:dyDescent="0.25">
      <c r="A1551" s="2" t="str">
        <f t="shared" si="1"/>
        <v/>
      </c>
      <c r="B1551" s="2"/>
      <c r="C1551" s="43"/>
      <c r="D1551" s="2"/>
      <c r="E1551" s="2"/>
      <c r="F1551" s="2"/>
      <c r="G1551" s="11"/>
      <c r="H1551" s="11"/>
      <c r="I1551" s="2"/>
      <c r="J1551" s="2"/>
      <c r="K1551" s="2"/>
      <c r="L1551" s="10"/>
      <c r="M1551" s="9"/>
      <c r="N1551" s="2"/>
      <c r="O1551" s="2"/>
      <c r="P1551" s="2"/>
      <c r="Q1551" s="50"/>
      <c r="R1551" s="50"/>
      <c r="S1551" s="2">
        <f>IFERROR(VLOOKUP(A1551,IMPORT_DESISTENCIA!$A$2:$Q2273,14,0),"NÃO")</f>
        <v>0</v>
      </c>
      <c r="T1551" s="35"/>
    </row>
    <row r="1552" spans="1:20" ht="45" customHeight="1" x14ac:dyDescent="0.25">
      <c r="A1552" s="2" t="str">
        <f t="shared" si="1"/>
        <v/>
      </c>
      <c r="B1552" s="2"/>
      <c r="C1552" s="43"/>
      <c r="D1552" s="2"/>
      <c r="E1552" s="2"/>
      <c r="F1552" s="2"/>
      <c r="G1552" s="11"/>
      <c r="H1552" s="11"/>
      <c r="I1552" s="2"/>
      <c r="J1552" s="2"/>
      <c r="K1552" s="2"/>
      <c r="L1552" s="10"/>
      <c r="M1552" s="9"/>
      <c r="N1552" s="2"/>
      <c r="O1552" s="2"/>
      <c r="P1552" s="2"/>
      <c r="Q1552" s="50"/>
      <c r="R1552" s="50"/>
      <c r="S1552" s="2">
        <f>IFERROR(VLOOKUP(A1552,IMPORT_DESISTENCIA!$A$2:$Q2273,14,0),"NÃO")</f>
        <v>0</v>
      </c>
      <c r="T1552" s="35"/>
    </row>
    <row r="1553" spans="1:20" ht="45" customHeight="1" x14ac:dyDescent="0.25">
      <c r="A1553" s="2" t="str">
        <f t="shared" si="1"/>
        <v/>
      </c>
      <c r="B1553" s="2"/>
      <c r="C1553" s="43"/>
      <c r="D1553" s="2"/>
      <c r="E1553" s="2"/>
      <c r="F1553" s="2"/>
      <c r="G1553" s="11"/>
      <c r="H1553" s="11"/>
      <c r="I1553" s="2"/>
      <c r="J1553" s="2"/>
      <c r="K1553" s="2"/>
      <c r="L1553" s="10"/>
      <c r="M1553" s="9"/>
      <c r="N1553" s="2"/>
      <c r="O1553" s="2"/>
      <c r="P1553" s="2"/>
      <c r="Q1553" s="50"/>
      <c r="R1553" s="50"/>
      <c r="S1553" s="2">
        <f>IFERROR(VLOOKUP(A1553,IMPORT_DESISTENCIA!$A$2:$Q2273,14,0),"NÃO")</f>
        <v>0</v>
      </c>
      <c r="T1553" s="35"/>
    </row>
    <row r="1554" spans="1:20" ht="45" customHeight="1" x14ac:dyDescent="0.25">
      <c r="A1554" s="2" t="str">
        <f t="shared" si="1"/>
        <v/>
      </c>
      <c r="B1554" s="2"/>
      <c r="C1554" s="43"/>
      <c r="D1554" s="2"/>
      <c r="E1554" s="2"/>
      <c r="F1554" s="2"/>
      <c r="G1554" s="11"/>
      <c r="H1554" s="11"/>
      <c r="I1554" s="2"/>
      <c r="J1554" s="2"/>
      <c r="K1554" s="2"/>
      <c r="L1554" s="10"/>
      <c r="M1554" s="9"/>
      <c r="N1554" s="2"/>
      <c r="O1554" s="2"/>
      <c r="P1554" s="2"/>
      <c r="Q1554" s="50"/>
      <c r="R1554" s="50"/>
      <c r="S1554" s="2">
        <f>IFERROR(VLOOKUP(A1554,IMPORT_DESISTENCIA!$A$2:$Q2273,14,0),"NÃO")</f>
        <v>0</v>
      </c>
      <c r="T1554" s="35"/>
    </row>
    <row r="1555" spans="1:20" ht="45" customHeight="1" x14ac:dyDescent="0.25">
      <c r="A1555" s="2" t="str">
        <f t="shared" si="1"/>
        <v/>
      </c>
      <c r="B1555" s="2"/>
      <c r="C1555" s="43"/>
      <c r="D1555" s="2"/>
      <c r="E1555" s="2"/>
      <c r="F1555" s="2"/>
      <c r="G1555" s="11"/>
      <c r="H1555" s="11"/>
      <c r="I1555" s="2"/>
      <c r="J1555" s="2"/>
      <c r="K1555" s="2"/>
      <c r="L1555" s="10"/>
      <c r="M1555" s="9"/>
      <c r="N1555" s="2"/>
      <c r="O1555" s="2"/>
      <c r="P1555" s="2"/>
      <c r="Q1555" s="50"/>
      <c r="R1555" s="50"/>
      <c r="S1555" s="2">
        <f>IFERROR(VLOOKUP(A1555,IMPORT_DESISTENCIA!$A$2:$Q2273,14,0),"NÃO")</f>
        <v>0</v>
      </c>
      <c r="T1555" s="35"/>
    </row>
    <row r="1556" spans="1:20" ht="45" customHeight="1" x14ac:dyDescent="0.25">
      <c r="A1556" s="2" t="str">
        <f t="shared" si="1"/>
        <v/>
      </c>
      <c r="B1556" s="2"/>
      <c r="C1556" s="43"/>
      <c r="D1556" s="2"/>
      <c r="E1556" s="2"/>
      <c r="F1556" s="2"/>
      <c r="G1556" s="11"/>
      <c r="H1556" s="11"/>
      <c r="I1556" s="2"/>
      <c r="J1556" s="2"/>
      <c r="K1556" s="2"/>
      <c r="L1556" s="10"/>
      <c r="M1556" s="9"/>
      <c r="N1556" s="2"/>
      <c r="O1556" s="2"/>
      <c r="P1556" s="2"/>
      <c r="Q1556" s="50"/>
      <c r="R1556" s="50"/>
      <c r="S1556" s="2">
        <f>IFERROR(VLOOKUP(A1556,IMPORT_DESISTENCIA!$A$2:$Q2273,14,0),"NÃO")</f>
        <v>0</v>
      </c>
      <c r="T1556" s="35"/>
    </row>
    <row r="1557" spans="1:20" ht="45" customHeight="1" x14ac:dyDescent="0.25">
      <c r="A1557" s="2" t="str">
        <f t="shared" si="1"/>
        <v/>
      </c>
      <c r="B1557" s="2"/>
      <c r="C1557" s="43"/>
      <c r="D1557" s="2"/>
      <c r="E1557" s="2"/>
      <c r="F1557" s="2"/>
      <c r="G1557" s="11"/>
      <c r="H1557" s="11"/>
      <c r="I1557" s="2"/>
      <c r="J1557" s="2"/>
      <c r="K1557" s="2"/>
      <c r="L1557" s="10"/>
      <c r="M1557" s="9"/>
      <c r="N1557" s="2"/>
      <c r="O1557" s="2"/>
      <c r="P1557" s="2"/>
      <c r="Q1557" s="50"/>
      <c r="R1557" s="50"/>
      <c r="S1557" s="2">
        <f>IFERROR(VLOOKUP(A1557,IMPORT_DESISTENCIA!$A$2:$Q2273,14,0),"NÃO")</f>
        <v>0</v>
      </c>
      <c r="T1557" s="35"/>
    </row>
    <row r="1558" spans="1:20" ht="45" customHeight="1" x14ac:dyDescent="0.25">
      <c r="A1558" s="2" t="str">
        <f t="shared" si="1"/>
        <v/>
      </c>
      <c r="B1558" s="2"/>
      <c r="C1558" s="43"/>
      <c r="D1558" s="2"/>
      <c r="E1558" s="2"/>
      <c r="F1558" s="2"/>
      <c r="G1558" s="11"/>
      <c r="H1558" s="11"/>
      <c r="I1558" s="2"/>
      <c r="J1558" s="2"/>
      <c r="K1558" s="2"/>
      <c r="L1558" s="10"/>
      <c r="M1558" s="9"/>
      <c r="N1558" s="2"/>
      <c r="O1558" s="2"/>
      <c r="P1558" s="2"/>
      <c r="Q1558" s="50"/>
      <c r="R1558" s="50"/>
      <c r="S1558" s="2">
        <f>IFERROR(VLOOKUP(A1558,IMPORT_DESISTENCIA!$A$2:$Q2273,14,0),"NÃO")</f>
        <v>0</v>
      </c>
      <c r="T1558" s="35"/>
    </row>
    <row r="1559" spans="1:20" ht="45" customHeight="1" x14ac:dyDescent="0.25">
      <c r="A1559" s="2" t="str">
        <f t="shared" si="1"/>
        <v/>
      </c>
      <c r="B1559" s="2"/>
      <c r="C1559" s="43"/>
      <c r="D1559" s="2"/>
      <c r="E1559" s="2"/>
      <c r="F1559" s="2"/>
      <c r="G1559" s="11"/>
      <c r="H1559" s="11"/>
      <c r="I1559" s="2"/>
      <c r="J1559" s="2"/>
      <c r="K1559" s="2"/>
      <c r="L1559" s="10"/>
      <c r="M1559" s="9"/>
      <c r="N1559" s="2"/>
      <c r="O1559" s="2"/>
      <c r="P1559" s="2"/>
      <c r="Q1559" s="50"/>
      <c r="R1559" s="50"/>
      <c r="S1559" s="2">
        <f>IFERROR(VLOOKUP(A1559,IMPORT_DESISTENCIA!$A$2:$Q2273,14,0),"NÃO")</f>
        <v>0</v>
      </c>
      <c r="T1559" s="35"/>
    </row>
    <row r="1560" spans="1:20" ht="45" customHeight="1" x14ac:dyDescent="0.25">
      <c r="A1560" s="2" t="str">
        <f t="shared" si="1"/>
        <v/>
      </c>
      <c r="B1560" s="2"/>
      <c r="C1560" s="43"/>
      <c r="D1560" s="2"/>
      <c r="E1560" s="2"/>
      <c r="F1560" s="2"/>
      <c r="G1560" s="11"/>
      <c r="H1560" s="11"/>
      <c r="I1560" s="2"/>
      <c r="J1560" s="2"/>
      <c r="K1560" s="2"/>
      <c r="L1560" s="10"/>
      <c r="M1560" s="9"/>
      <c r="N1560" s="2"/>
      <c r="O1560" s="2"/>
      <c r="P1560" s="2"/>
      <c r="Q1560" s="50"/>
      <c r="R1560" s="50"/>
      <c r="S1560" s="2">
        <f>IFERROR(VLOOKUP(A1560,IMPORT_DESISTENCIA!$A$2:$Q2273,14,0),"NÃO")</f>
        <v>0</v>
      </c>
      <c r="T1560" s="35"/>
    </row>
    <row r="1561" spans="1:20" ht="45" customHeight="1" x14ac:dyDescent="0.25">
      <c r="A1561" s="2" t="str">
        <f t="shared" si="1"/>
        <v/>
      </c>
      <c r="B1561" s="2"/>
      <c r="C1561" s="43"/>
      <c r="D1561" s="2"/>
      <c r="E1561" s="2"/>
      <c r="F1561" s="2"/>
      <c r="G1561" s="11"/>
      <c r="H1561" s="11"/>
      <c r="I1561" s="2"/>
      <c r="J1561" s="2"/>
      <c r="K1561" s="2"/>
      <c r="L1561" s="10"/>
      <c r="M1561" s="9"/>
      <c r="N1561" s="2"/>
      <c r="O1561" s="2"/>
      <c r="P1561" s="2"/>
      <c r="Q1561" s="50"/>
      <c r="R1561" s="50"/>
      <c r="S1561" s="2">
        <f>IFERROR(VLOOKUP(A1561,IMPORT_DESISTENCIA!$A$2:$Q2273,14,0),"NÃO")</f>
        <v>0</v>
      </c>
      <c r="T1561" s="35"/>
    </row>
    <row r="1562" spans="1:20" ht="45" customHeight="1" x14ac:dyDescent="0.25">
      <c r="A1562" s="2" t="str">
        <f t="shared" si="1"/>
        <v/>
      </c>
      <c r="B1562" s="2"/>
      <c r="C1562" s="43"/>
      <c r="D1562" s="2"/>
      <c r="E1562" s="2"/>
      <c r="F1562" s="2"/>
      <c r="G1562" s="11"/>
      <c r="H1562" s="11"/>
      <c r="I1562" s="2"/>
      <c r="J1562" s="2"/>
      <c r="K1562" s="2"/>
      <c r="L1562" s="10"/>
      <c r="M1562" s="9"/>
      <c r="N1562" s="2"/>
      <c r="O1562" s="2"/>
      <c r="P1562" s="2"/>
      <c r="Q1562" s="50"/>
      <c r="R1562" s="50"/>
      <c r="S1562" s="2">
        <f>IFERROR(VLOOKUP(A1562,IMPORT_DESISTENCIA!$A$2:$Q2273,14,0),"NÃO")</f>
        <v>0</v>
      </c>
      <c r="T1562" s="35"/>
    </row>
    <row r="1563" spans="1:20" ht="45" customHeight="1" x14ac:dyDescent="0.25">
      <c r="A1563" s="2" t="str">
        <f t="shared" si="1"/>
        <v/>
      </c>
      <c r="B1563" s="2"/>
      <c r="C1563" s="43"/>
      <c r="D1563" s="2"/>
      <c r="E1563" s="2"/>
      <c r="F1563" s="2"/>
      <c r="G1563" s="11"/>
      <c r="H1563" s="11"/>
      <c r="I1563" s="2"/>
      <c r="J1563" s="2"/>
      <c r="K1563" s="2"/>
      <c r="L1563" s="10"/>
      <c r="M1563" s="9"/>
      <c r="N1563" s="2"/>
      <c r="O1563" s="2"/>
      <c r="P1563" s="2"/>
      <c r="Q1563" s="50"/>
      <c r="R1563" s="50"/>
      <c r="S1563" s="2">
        <f>IFERROR(VLOOKUP(A1563,IMPORT_DESISTENCIA!$A$2:$Q2273,14,0),"NÃO")</f>
        <v>0</v>
      </c>
      <c r="T1563" s="35"/>
    </row>
    <row r="1564" spans="1:20" ht="45" customHeight="1" x14ac:dyDescent="0.25">
      <c r="A1564" s="2" t="str">
        <f t="shared" si="1"/>
        <v/>
      </c>
      <c r="B1564" s="2"/>
      <c r="C1564" s="43"/>
      <c r="D1564" s="2"/>
      <c r="E1564" s="2"/>
      <c r="F1564" s="2"/>
      <c r="G1564" s="11"/>
      <c r="H1564" s="11"/>
      <c r="I1564" s="2"/>
      <c r="J1564" s="2"/>
      <c r="K1564" s="2"/>
      <c r="L1564" s="10"/>
      <c r="M1564" s="9"/>
      <c r="N1564" s="2"/>
      <c r="O1564" s="2"/>
      <c r="P1564" s="2"/>
      <c r="Q1564" s="50"/>
      <c r="R1564" s="50"/>
      <c r="S1564" s="2">
        <f>IFERROR(VLOOKUP(A1564,IMPORT_DESISTENCIA!$A$2:$Q2273,14,0),"NÃO")</f>
        <v>0</v>
      </c>
      <c r="T1564" s="35"/>
    </row>
    <row r="1565" spans="1:20" ht="45" customHeight="1" x14ac:dyDescent="0.25">
      <c r="A1565" s="2" t="str">
        <f t="shared" si="1"/>
        <v/>
      </c>
      <c r="B1565" s="2"/>
      <c r="C1565" s="43"/>
      <c r="D1565" s="2"/>
      <c r="E1565" s="2"/>
      <c r="F1565" s="2"/>
      <c r="G1565" s="11"/>
      <c r="H1565" s="11"/>
      <c r="I1565" s="2"/>
      <c r="J1565" s="2"/>
      <c r="K1565" s="2"/>
      <c r="L1565" s="10"/>
      <c r="M1565" s="9"/>
      <c r="N1565" s="2"/>
      <c r="O1565" s="2"/>
      <c r="P1565" s="2"/>
      <c r="Q1565" s="50"/>
      <c r="R1565" s="50"/>
      <c r="S1565" s="2">
        <f>IFERROR(VLOOKUP(A1565,IMPORT_DESISTENCIA!$A$2:$Q2273,14,0),"NÃO")</f>
        <v>0</v>
      </c>
      <c r="T1565" s="35"/>
    </row>
    <row r="1566" spans="1:20" ht="45" customHeight="1" x14ac:dyDescent="0.25">
      <c r="A1566" s="2" t="str">
        <f t="shared" si="1"/>
        <v/>
      </c>
      <c r="B1566" s="2"/>
      <c r="C1566" s="43"/>
      <c r="D1566" s="2"/>
      <c r="E1566" s="2"/>
      <c r="F1566" s="2"/>
      <c r="G1566" s="11"/>
      <c r="H1566" s="11"/>
      <c r="I1566" s="2"/>
      <c r="J1566" s="2"/>
      <c r="K1566" s="2"/>
      <c r="L1566" s="10"/>
      <c r="M1566" s="9"/>
      <c r="N1566" s="2"/>
      <c r="O1566" s="2"/>
      <c r="P1566" s="2"/>
      <c r="Q1566" s="50"/>
      <c r="R1566" s="50"/>
      <c r="S1566" s="2">
        <f>IFERROR(VLOOKUP(A1566,IMPORT_DESISTENCIA!$A$2:$Q2273,14,0),"NÃO")</f>
        <v>0</v>
      </c>
      <c r="T1566" s="35"/>
    </row>
    <row r="1567" spans="1:20" ht="45" customHeight="1" x14ac:dyDescent="0.25">
      <c r="A1567" s="2" t="str">
        <f t="shared" si="1"/>
        <v/>
      </c>
      <c r="B1567" s="2"/>
      <c r="C1567" s="43"/>
      <c r="D1567" s="2"/>
      <c r="E1567" s="2"/>
      <c r="F1567" s="2"/>
      <c r="G1567" s="11"/>
      <c r="H1567" s="11"/>
      <c r="I1567" s="2"/>
      <c r="J1567" s="2"/>
      <c r="K1567" s="2"/>
      <c r="L1567" s="10"/>
      <c r="M1567" s="9"/>
      <c r="N1567" s="2"/>
      <c r="O1567" s="2"/>
      <c r="P1567" s="2"/>
      <c r="Q1567" s="50"/>
      <c r="R1567" s="50"/>
      <c r="S1567" s="2">
        <f>IFERROR(VLOOKUP(A1567,IMPORT_DESISTENCIA!$A$2:$Q2273,14,0),"NÃO")</f>
        <v>0</v>
      </c>
      <c r="T1567" s="35"/>
    </row>
    <row r="1568" spans="1:20" ht="45" customHeight="1" x14ac:dyDescent="0.25">
      <c r="A1568" s="2" t="str">
        <f t="shared" si="1"/>
        <v/>
      </c>
      <c r="B1568" s="2"/>
      <c r="C1568" s="43"/>
      <c r="D1568" s="2"/>
      <c r="E1568" s="2"/>
      <c r="F1568" s="2"/>
      <c r="G1568" s="11"/>
      <c r="H1568" s="11"/>
      <c r="I1568" s="2"/>
      <c r="J1568" s="2"/>
      <c r="K1568" s="2"/>
      <c r="L1568" s="10"/>
      <c r="M1568" s="9"/>
      <c r="N1568" s="2"/>
      <c r="O1568" s="2"/>
      <c r="P1568" s="2"/>
      <c r="Q1568" s="50"/>
      <c r="R1568" s="50"/>
      <c r="S1568" s="2">
        <f>IFERROR(VLOOKUP(A1568,IMPORT_DESISTENCIA!$A$2:$Q2273,14,0),"NÃO")</f>
        <v>0</v>
      </c>
      <c r="T1568" s="35"/>
    </row>
    <row r="1569" spans="1:20" ht="45" customHeight="1" x14ac:dyDescent="0.25">
      <c r="A1569" s="2" t="str">
        <f t="shared" si="1"/>
        <v/>
      </c>
      <c r="B1569" s="2"/>
      <c r="C1569" s="43"/>
      <c r="D1569" s="2"/>
      <c r="E1569" s="2"/>
      <c r="F1569" s="2"/>
      <c r="G1569" s="11"/>
      <c r="H1569" s="11"/>
      <c r="I1569" s="2"/>
      <c r="J1569" s="2"/>
      <c r="K1569" s="2"/>
      <c r="L1569" s="10"/>
      <c r="M1569" s="9"/>
      <c r="N1569" s="2"/>
      <c r="O1569" s="2"/>
      <c r="P1569" s="2"/>
      <c r="Q1569" s="50"/>
      <c r="R1569" s="50"/>
      <c r="S1569" s="2">
        <f>IFERROR(VLOOKUP(A1569,IMPORT_DESISTENCIA!$A$2:$Q2273,14,0),"NÃO")</f>
        <v>0</v>
      </c>
      <c r="T1569" s="35"/>
    </row>
    <row r="1570" spans="1:20" ht="45" customHeight="1" x14ac:dyDescent="0.25">
      <c r="A1570" s="2" t="str">
        <f t="shared" si="1"/>
        <v/>
      </c>
      <c r="B1570" s="2"/>
      <c r="C1570" s="43"/>
      <c r="D1570" s="2"/>
      <c r="E1570" s="2"/>
      <c r="F1570" s="2"/>
      <c r="G1570" s="11"/>
      <c r="H1570" s="11"/>
      <c r="I1570" s="2"/>
      <c r="J1570" s="2"/>
      <c r="K1570" s="2"/>
      <c r="L1570" s="10"/>
      <c r="M1570" s="9"/>
      <c r="N1570" s="2"/>
      <c r="O1570" s="2"/>
      <c r="P1570" s="2"/>
      <c r="Q1570" s="50"/>
      <c r="R1570" s="50"/>
      <c r="S1570" s="2">
        <f>IFERROR(VLOOKUP(A1570,IMPORT_DESISTENCIA!$A$2:$Q2273,14,0),"NÃO")</f>
        <v>0</v>
      </c>
      <c r="T1570" s="35"/>
    </row>
    <row r="1571" spans="1:20" ht="45" customHeight="1" x14ac:dyDescent="0.25">
      <c r="A1571" s="2" t="str">
        <f t="shared" si="1"/>
        <v/>
      </c>
      <c r="B1571" s="2"/>
      <c r="C1571" s="43"/>
      <c r="D1571" s="2"/>
      <c r="E1571" s="2"/>
      <c r="F1571" s="2"/>
      <c r="G1571" s="11"/>
      <c r="H1571" s="11"/>
      <c r="I1571" s="2"/>
      <c r="J1571" s="2"/>
      <c r="K1571" s="2"/>
      <c r="L1571" s="10"/>
      <c r="M1571" s="9"/>
      <c r="N1571" s="2"/>
      <c r="O1571" s="2"/>
      <c r="P1571" s="2"/>
      <c r="Q1571" s="50"/>
      <c r="R1571" s="50"/>
      <c r="S1571" s="2">
        <f>IFERROR(VLOOKUP(A1571,IMPORT_DESISTENCIA!$A$2:$Q2273,14,0),"NÃO")</f>
        <v>0</v>
      </c>
      <c r="T1571" s="35"/>
    </row>
    <row r="1572" spans="1:20" ht="45" customHeight="1" x14ac:dyDescent="0.25">
      <c r="A1572" s="2" t="str">
        <f t="shared" si="1"/>
        <v/>
      </c>
      <c r="B1572" s="2"/>
      <c r="C1572" s="43"/>
      <c r="D1572" s="2"/>
      <c r="E1572" s="2"/>
      <c r="F1572" s="2"/>
      <c r="G1572" s="11"/>
      <c r="H1572" s="11"/>
      <c r="I1572" s="2"/>
      <c r="J1572" s="2"/>
      <c r="K1572" s="2"/>
      <c r="L1572" s="10"/>
      <c r="M1572" s="9"/>
      <c r="N1572" s="2"/>
      <c r="O1572" s="2"/>
      <c r="P1572" s="2"/>
      <c r="Q1572" s="50"/>
      <c r="R1572" s="50"/>
      <c r="S1572" s="2">
        <f>IFERROR(VLOOKUP(A1572,IMPORT_DESISTENCIA!$A$2:$Q2273,14,0),"NÃO")</f>
        <v>0</v>
      </c>
      <c r="T1572" s="35"/>
    </row>
    <row r="1573" spans="1:20" ht="45" customHeight="1" x14ac:dyDescent="0.25">
      <c r="A1573" s="2" t="str">
        <f t="shared" si="1"/>
        <v/>
      </c>
      <c r="B1573" s="2"/>
      <c r="C1573" s="43"/>
      <c r="D1573" s="2"/>
      <c r="E1573" s="2"/>
      <c r="F1573" s="2"/>
      <c r="G1573" s="11"/>
      <c r="H1573" s="11"/>
      <c r="I1573" s="2"/>
      <c r="J1573" s="2"/>
      <c r="K1573" s="2"/>
      <c r="L1573" s="10"/>
      <c r="M1573" s="9"/>
      <c r="N1573" s="2"/>
      <c r="O1573" s="2"/>
      <c r="P1573" s="2"/>
      <c r="Q1573" s="50"/>
      <c r="R1573" s="50"/>
      <c r="S1573" s="2">
        <f>IFERROR(VLOOKUP(A1573,IMPORT_DESISTENCIA!$A$2:$Q2273,14,0),"NÃO")</f>
        <v>0</v>
      </c>
      <c r="T1573" s="35"/>
    </row>
    <row r="1574" spans="1:20" ht="45" customHeight="1" x14ac:dyDescent="0.25">
      <c r="A1574" s="2" t="str">
        <f t="shared" si="1"/>
        <v/>
      </c>
      <c r="B1574" s="2"/>
      <c r="C1574" s="43"/>
      <c r="D1574" s="2"/>
      <c r="E1574" s="2"/>
      <c r="F1574" s="2"/>
      <c r="G1574" s="11"/>
      <c r="H1574" s="11"/>
      <c r="I1574" s="2"/>
      <c r="J1574" s="2"/>
      <c r="K1574" s="2"/>
      <c r="L1574" s="10"/>
      <c r="M1574" s="9"/>
      <c r="N1574" s="2"/>
      <c r="O1574" s="2"/>
      <c r="P1574" s="2"/>
      <c r="Q1574" s="50"/>
      <c r="R1574" s="50"/>
      <c r="S1574" s="2">
        <f>IFERROR(VLOOKUP(A1574,IMPORT_DESISTENCIA!$A$2:$Q2273,14,0),"NÃO")</f>
        <v>0</v>
      </c>
      <c r="T1574" s="35"/>
    </row>
    <row r="1575" spans="1:20" ht="45" customHeight="1" x14ac:dyDescent="0.25">
      <c r="A1575" s="2" t="str">
        <f t="shared" si="1"/>
        <v/>
      </c>
      <c r="B1575" s="2"/>
      <c r="C1575" s="43"/>
      <c r="D1575" s="2"/>
      <c r="E1575" s="2"/>
      <c r="F1575" s="2"/>
      <c r="G1575" s="11"/>
      <c r="H1575" s="11"/>
      <c r="I1575" s="2"/>
      <c r="J1575" s="2"/>
      <c r="K1575" s="2"/>
      <c r="L1575" s="10"/>
      <c r="M1575" s="9"/>
      <c r="N1575" s="2"/>
      <c r="O1575" s="2"/>
      <c r="P1575" s="2"/>
      <c r="Q1575" s="50"/>
      <c r="R1575" s="50"/>
      <c r="S1575" s="2">
        <f>IFERROR(VLOOKUP(A1575,IMPORT_DESISTENCIA!$A$2:$Q2273,14,0),"NÃO")</f>
        <v>0</v>
      </c>
      <c r="T1575" s="35"/>
    </row>
    <row r="1576" spans="1:20" ht="45" customHeight="1" x14ac:dyDescent="0.25">
      <c r="A1576" s="2" t="str">
        <f t="shared" si="1"/>
        <v/>
      </c>
      <c r="B1576" s="2"/>
      <c r="C1576" s="43"/>
      <c r="D1576" s="2"/>
      <c r="E1576" s="2"/>
      <c r="F1576" s="2"/>
      <c r="G1576" s="11"/>
      <c r="H1576" s="11"/>
      <c r="I1576" s="2"/>
      <c r="J1576" s="2"/>
      <c r="K1576" s="2"/>
      <c r="L1576" s="10"/>
      <c r="M1576" s="9"/>
      <c r="N1576" s="2"/>
      <c r="O1576" s="2"/>
      <c r="P1576" s="2"/>
      <c r="Q1576" s="50"/>
      <c r="R1576" s="50"/>
      <c r="S1576" s="2">
        <f>IFERROR(VLOOKUP(A1576,IMPORT_DESISTENCIA!$A$2:$Q2273,14,0),"NÃO")</f>
        <v>0</v>
      </c>
      <c r="T1576" s="35"/>
    </row>
    <row r="1577" spans="1:20" ht="45" customHeight="1" x14ac:dyDescent="0.25">
      <c r="A1577" s="2" t="str">
        <f t="shared" si="1"/>
        <v/>
      </c>
      <c r="B1577" s="2"/>
      <c r="C1577" s="43"/>
      <c r="D1577" s="2"/>
      <c r="E1577" s="2"/>
      <c r="F1577" s="2"/>
      <c r="G1577" s="11"/>
      <c r="H1577" s="11"/>
      <c r="I1577" s="2"/>
      <c r="J1577" s="2"/>
      <c r="K1577" s="2"/>
      <c r="L1577" s="10"/>
      <c r="M1577" s="9"/>
      <c r="N1577" s="2"/>
      <c r="O1577" s="2"/>
      <c r="P1577" s="2"/>
      <c r="Q1577" s="50"/>
      <c r="R1577" s="50"/>
      <c r="S1577" s="2">
        <f>IFERROR(VLOOKUP(A1577,IMPORT_DESISTENCIA!$A$2:$Q2273,14,0),"NÃO")</f>
        <v>0</v>
      </c>
      <c r="T1577" s="35"/>
    </row>
    <row r="1578" spans="1:20" ht="45" customHeight="1" x14ac:dyDescent="0.25">
      <c r="A1578" s="2" t="str">
        <f t="shared" si="1"/>
        <v/>
      </c>
      <c r="B1578" s="2"/>
      <c r="C1578" s="43"/>
      <c r="D1578" s="2"/>
      <c r="E1578" s="2"/>
      <c r="F1578" s="2"/>
      <c r="G1578" s="11"/>
      <c r="H1578" s="11"/>
      <c r="I1578" s="2"/>
      <c r="J1578" s="2"/>
      <c r="K1578" s="2"/>
      <c r="L1578" s="10"/>
      <c r="M1578" s="9"/>
      <c r="N1578" s="2"/>
      <c r="O1578" s="2"/>
      <c r="P1578" s="2"/>
      <c r="Q1578" s="50"/>
      <c r="R1578" s="50"/>
      <c r="S1578" s="2">
        <f>IFERROR(VLOOKUP(A1578,IMPORT_DESISTENCIA!$A$2:$Q2273,14,0),"NÃO")</f>
        <v>0</v>
      </c>
      <c r="T1578" s="35"/>
    </row>
    <row r="1579" spans="1:20" ht="45" customHeight="1" x14ac:dyDescent="0.25">
      <c r="A1579" s="2" t="str">
        <f t="shared" si="1"/>
        <v/>
      </c>
      <c r="B1579" s="2"/>
      <c r="C1579" s="43"/>
      <c r="D1579" s="2"/>
      <c r="E1579" s="2"/>
      <c r="F1579" s="2"/>
      <c r="G1579" s="11"/>
      <c r="H1579" s="11"/>
      <c r="I1579" s="2"/>
      <c r="J1579" s="2"/>
      <c r="K1579" s="2"/>
      <c r="L1579" s="10"/>
      <c r="M1579" s="9"/>
      <c r="N1579" s="2"/>
      <c r="O1579" s="2"/>
      <c r="P1579" s="2"/>
      <c r="Q1579" s="50"/>
      <c r="R1579" s="50"/>
      <c r="S1579" s="2">
        <f>IFERROR(VLOOKUP(A1579,IMPORT_DESISTENCIA!$A$2:$Q2273,14,0),"NÃO")</f>
        <v>0</v>
      </c>
      <c r="T1579" s="35"/>
    </row>
    <row r="1580" spans="1:20" ht="45" customHeight="1" x14ac:dyDescent="0.25">
      <c r="A1580" s="2" t="str">
        <f t="shared" si="1"/>
        <v/>
      </c>
      <c r="B1580" s="2"/>
      <c r="C1580" s="43"/>
      <c r="D1580" s="2"/>
      <c r="E1580" s="2"/>
      <c r="F1580" s="2"/>
      <c r="G1580" s="11"/>
      <c r="H1580" s="11"/>
      <c r="I1580" s="2"/>
      <c r="J1580" s="2"/>
      <c r="K1580" s="2"/>
      <c r="L1580" s="10"/>
      <c r="M1580" s="9"/>
      <c r="N1580" s="2"/>
      <c r="O1580" s="2"/>
      <c r="P1580" s="2"/>
      <c r="Q1580" s="50"/>
      <c r="R1580" s="50"/>
      <c r="S1580" s="2">
        <f>IFERROR(VLOOKUP(A1580,IMPORT_DESISTENCIA!$A$2:$Q2273,14,0),"NÃO")</f>
        <v>0</v>
      </c>
      <c r="T1580" s="35"/>
    </row>
    <row r="1581" spans="1:20" ht="45" customHeight="1" x14ac:dyDescent="0.25">
      <c r="A1581" s="2" t="str">
        <f t="shared" si="1"/>
        <v/>
      </c>
      <c r="B1581" s="2"/>
      <c r="C1581" s="43"/>
      <c r="D1581" s="2"/>
      <c r="E1581" s="2"/>
      <c r="F1581" s="2"/>
      <c r="G1581" s="11"/>
      <c r="H1581" s="11"/>
      <c r="I1581" s="2"/>
      <c r="J1581" s="2"/>
      <c r="K1581" s="2"/>
      <c r="L1581" s="10"/>
      <c r="M1581" s="9"/>
      <c r="N1581" s="2"/>
      <c r="O1581" s="2"/>
      <c r="P1581" s="2"/>
      <c r="Q1581" s="50"/>
      <c r="R1581" s="50"/>
      <c r="S1581" s="2">
        <f>IFERROR(VLOOKUP(A1581,IMPORT_DESISTENCIA!$A$2:$Q2273,14,0),"NÃO")</f>
        <v>0</v>
      </c>
      <c r="T1581" s="35"/>
    </row>
    <row r="1582" spans="1:20" ht="45" customHeight="1" x14ac:dyDescent="0.25">
      <c r="A1582" s="2" t="str">
        <f t="shared" si="1"/>
        <v/>
      </c>
      <c r="B1582" s="2"/>
      <c r="C1582" s="43"/>
      <c r="D1582" s="2"/>
      <c r="E1582" s="2"/>
      <c r="F1582" s="2"/>
      <c r="G1582" s="11"/>
      <c r="H1582" s="11"/>
      <c r="I1582" s="2"/>
      <c r="J1582" s="2"/>
      <c r="K1582" s="2"/>
      <c r="L1582" s="10"/>
      <c r="M1582" s="9"/>
      <c r="N1582" s="2"/>
      <c r="O1582" s="2"/>
      <c r="P1582" s="2"/>
      <c r="Q1582" s="50"/>
      <c r="R1582" s="50"/>
      <c r="S1582" s="2">
        <f>IFERROR(VLOOKUP(A1582,IMPORT_DESISTENCIA!$A$2:$Q2273,14,0),"NÃO")</f>
        <v>0</v>
      </c>
      <c r="T1582" s="35"/>
    </row>
    <row r="1583" spans="1:20" ht="45" customHeight="1" x14ac:dyDescent="0.25">
      <c r="A1583" s="2" t="str">
        <f t="shared" si="1"/>
        <v/>
      </c>
      <c r="B1583" s="2"/>
      <c r="C1583" s="43"/>
      <c r="D1583" s="2"/>
      <c r="E1583" s="2"/>
      <c r="F1583" s="2"/>
      <c r="G1583" s="11"/>
      <c r="H1583" s="11"/>
      <c r="I1583" s="2"/>
      <c r="J1583" s="2"/>
      <c r="K1583" s="2"/>
      <c r="L1583" s="10"/>
      <c r="M1583" s="9"/>
      <c r="N1583" s="2"/>
      <c r="O1583" s="2"/>
      <c r="P1583" s="2"/>
      <c r="Q1583" s="50"/>
      <c r="R1583" s="50"/>
      <c r="S1583" s="2">
        <f>IFERROR(VLOOKUP(A1583,IMPORT_DESISTENCIA!$A$2:$Q2273,14,0),"NÃO")</f>
        <v>0</v>
      </c>
      <c r="T1583" s="35"/>
    </row>
    <row r="1584" spans="1:20" ht="45" customHeight="1" x14ac:dyDescent="0.25">
      <c r="A1584" s="2" t="str">
        <f t="shared" si="1"/>
        <v/>
      </c>
      <c r="B1584" s="2"/>
      <c r="C1584" s="43"/>
      <c r="D1584" s="2"/>
      <c r="E1584" s="2"/>
      <c r="F1584" s="2"/>
      <c r="G1584" s="11"/>
      <c r="H1584" s="11"/>
      <c r="I1584" s="2"/>
      <c r="J1584" s="2"/>
      <c r="K1584" s="2"/>
      <c r="L1584" s="10"/>
      <c r="M1584" s="9"/>
      <c r="N1584" s="2"/>
      <c r="O1584" s="2"/>
      <c r="P1584" s="2"/>
      <c r="Q1584" s="50"/>
      <c r="R1584" s="50"/>
      <c r="S1584" s="2">
        <f>IFERROR(VLOOKUP(A1584,IMPORT_DESISTENCIA!$A$2:$Q2273,14,0),"NÃO")</f>
        <v>0</v>
      </c>
      <c r="T1584" s="35"/>
    </row>
    <row r="1585" spans="1:20" ht="45" customHeight="1" x14ac:dyDescent="0.25">
      <c r="A1585" s="2" t="str">
        <f t="shared" si="1"/>
        <v/>
      </c>
      <c r="B1585" s="2"/>
      <c r="C1585" s="43"/>
      <c r="D1585" s="2"/>
      <c r="E1585" s="2"/>
      <c r="F1585" s="2"/>
      <c r="G1585" s="11"/>
      <c r="H1585" s="11"/>
      <c r="I1585" s="2"/>
      <c r="J1585" s="2"/>
      <c r="K1585" s="2"/>
      <c r="L1585" s="10"/>
      <c r="M1585" s="9"/>
      <c r="N1585" s="2"/>
      <c r="O1585" s="2"/>
      <c r="P1585" s="2"/>
      <c r="Q1585" s="50"/>
      <c r="R1585" s="50"/>
      <c r="S1585" s="2">
        <f>IFERROR(VLOOKUP(A1585,IMPORT_DESISTENCIA!$A$2:$Q2273,14,0),"NÃO")</f>
        <v>0</v>
      </c>
      <c r="T1585" s="35"/>
    </row>
    <row r="1586" spans="1:20" ht="45" customHeight="1" x14ac:dyDescent="0.25">
      <c r="A1586" s="2" t="str">
        <f t="shared" si="1"/>
        <v/>
      </c>
      <c r="B1586" s="2"/>
      <c r="C1586" s="43"/>
      <c r="D1586" s="2"/>
      <c r="E1586" s="2"/>
      <c r="F1586" s="2"/>
      <c r="G1586" s="11"/>
      <c r="H1586" s="11"/>
      <c r="I1586" s="2"/>
      <c r="J1586" s="2"/>
      <c r="K1586" s="2"/>
      <c r="L1586" s="10"/>
      <c r="M1586" s="9"/>
      <c r="N1586" s="2"/>
      <c r="O1586" s="2"/>
      <c r="P1586" s="2"/>
      <c r="Q1586" s="50"/>
      <c r="R1586" s="50"/>
      <c r="S1586" s="2">
        <f>IFERROR(VLOOKUP(A1586,IMPORT_DESISTENCIA!$A$2:$Q2273,14,0),"NÃO")</f>
        <v>0</v>
      </c>
      <c r="T1586" s="35"/>
    </row>
    <row r="1587" spans="1:20" ht="45" customHeight="1" x14ac:dyDescent="0.25">
      <c r="A1587" s="2" t="str">
        <f t="shared" si="1"/>
        <v/>
      </c>
      <c r="B1587" s="2"/>
      <c r="C1587" s="43"/>
      <c r="D1587" s="2"/>
      <c r="E1587" s="2"/>
      <c r="F1587" s="2"/>
      <c r="G1587" s="11"/>
      <c r="H1587" s="11"/>
      <c r="I1587" s="2"/>
      <c r="J1587" s="2"/>
      <c r="K1587" s="2"/>
      <c r="L1587" s="10"/>
      <c r="M1587" s="9"/>
      <c r="N1587" s="2"/>
      <c r="O1587" s="2"/>
      <c r="P1587" s="2"/>
      <c r="Q1587" s="50"/>
      <c r="R1587" s="50"/>
      <c r="S1587" s="2">
        <f>IFERROR(VLOOKUP(A1587,IMPORT_DESISTENCIA!$A$2:$Q2273,14,0),"NÃO")</f>
        <v>0</v>
      </c>
      <c r="T1587" s="35"/>
    </row>
    <row r="1588" spans="1:20" ht="45" customHeight="1" x14ac:dyDescent="0.25">
      <c r="A1588" s="2" t="str">
        <f t="shared" si="1"/>
        <v/>
      </c>
      <c r="B1588" s="2"/>
      <c r="C1588" s="43"/>
      <c r="D1588" s="2"/>
      <c r="E1588" s="2"/>
      <c r="F1588" s="2"/>
      <c r="G1588" s="11"/>
      <c r="H1588" s="11"/>
      <c r="I1588" s="2"/>
      <c r="J1588" s="2"/>
      <c r="K1588" s="2"/>
      <c r="L1588" s="10"/>
      <c r="M1588" s="9"/>
      <c r="N1588" s="2"/>
      <c r="O1588" s="2"/>
      <c r="P1588" s="2"/>
      <c r="Q1588" s="50"/>
      <c r="R1588" s="50"/>
      <c r="S1588" s="2">
        <f>IFERROR(VLOOKUP(A1588,IMPORT_DESISTENCIA!$A$2:$Q2273,14,0),"NÃO")</f>
        <v>0</v>
      </c>
      <c r="T1588" s="35"/>
    </row>
    <row r="1589" spans="1:20" ht="45" customHeight="1" x14ac:dyDescent="0.25">
      <c r="A1589" s="2" t="str">
        <f t="shared" si="1"/>
        <v/>
      </c>
      <c r="B1589" s="2"/>
      <c r="C1589" s="43"/>
      <c r="D1589" s="2"/>
      <c r="E1589" s="2"/>
      <c r="F1589" s="2"/>
      <c r="G1589" s="11"/>
      <c r="H1589" s="11"/>
      <c r="I1589" s="2"/>
      <c r="J1589" s="2"/>
      <c r="K1589" s="2"/>
      <c r="L1589" s="10"/>
      <c r="M1589" s="9"/>
      <c r="N1589" s="2"/>
      <c r="O1589" s="2"/>
      <c r="P1589" s="2"/>
      <c r="Q1589" s="50"/>
      <c r="R1589" s="50"/>
      <c r="S1589" s="2">
        <f>IFERROR(VLOOKUP(A1589,IMPORT_DESISTENCIA!$A$2:$Q2273,14,0),"NÃO")</f>
        <v>0</v>
      </c>
      <c r="T1589" s="35"/>
    </row>
    <row r="1590" spans="1:20" ht="45" customHeight="1" x14ac:dyDescent="0.25">
      <c r="A1590" s="2" t="str">
        <f t="shared" si="1"/>
        <v/>
      </c>
      <c r="B1590" s="2"/>
      <c r="C1590" s="43"/>
      <c r="D1590" s="2"/>
      <c r="E1590" s="2"/>
      <c r="F1590" s="2"/>
      <c r="G1590" s="11"/>
      <c r="H1590" s="11"/>
      <c r="I1590" s="2"/>
      <c r="J1590" s="2"/>
      <c r="K1590" s="2"/>
      <c r="L1590" s="10"/>
      <c r="M1590" s="9"/>
      <c r="N1590" s="2"/>
      <c r="O1590" s="2"/>
      <c r="P1590" s="2"/>
      <c r="Q1590" s="50"/>
      <c r="R1590" s="50"/>
      <c r="S1590" s="2">
        <f>IFERROR(VLOOKUP(A1590,IMPORT_DESISTENCIA!$A$2:$Q2273,14,0),"NÃO")</f>
        <v>0</v>
      </c>
      <c r="T1590" s="35"/>
    </row>
    <row r="1591" spans="1:20" ht="45" customHeight="1" x14ac:dyDescent="0.25">
      <c r="A1591" s="2" t="str">
        <f t="shared" si="1"/>
        <v/>
      </c>
      <c r="B1591" s="2"/>
      <c r="C1591" s="43"/>
      <c r="D1591" s="2"/>
      <c r="E1591" s="2"/>
      <c r="F1591" s="2"/>
      <c r="G1591" s="11"/>
      <c r="H1591" s="11"/>
      <c r="I1591" s="2"/>
      <c r="J1591" s="2"/>
      <c r="K1591" s="2"/>
      <c r="L1591" s="10"/>
      <c r="M1591" s="9"/>
      <c r="N1591" s="2"/>
      <c r="O1591" s="2"/>
      <c r="P1591" s="2"/>
      <c r="Q1591" s="50"/>
      <c r="R1591" s="50"/>
      <c r="S1591" s="2">
        <f>IFERROR(VLOOKUP(A1591,IMPORT_DESISTENCIA!$A$2:$Q2273,14,0),"NÃO")</f>
        <v>0</v>
      </c>
      <c r="T1591" s="35"/>
    </row>
    <row r="1592" spans="1:20" ht="45" customHeight="1" x14ac:dyDescent="0.25">
      <c r="A1592" s="2" t="str">
        <f t="shared" si="1"/>
        <v/>
      </c>
      <c r="B1592" s="2"/>
      <c r="C1592" s="43"/>
      <c r="D1592" s="2"/>
      <c r="E1592" s="2"/>
      <c r="F1592" s="2"/>
      <c r="G1592" s="11"/>
      <c r="H1592" s="11"/>
      <c r="I1592" s="2"/>
      <c r="J1592" s="2"/>
      <c r="K1592" s="2"/>
      <c r="L1592" s="10"/>
      <c r="M1592" s="9"/>
      <c r="N1592" s="2"/>
      <c r="O1592" s="2"/>
      <c r="P1592" s="2"/>
      <c r="Q1592" s="50"/>
      <c r="R1592" s="50"/>
      <c r="S1592" s="2">
        <f>IFERROR(VLOOKUP(A1592,IMPORT_DESISTENCIA!$A$2:$Q2273,14,0),"NÃO")</f>
        <v>0</v>
      </c>
      <c r="T1592" s="35"/>
    </row>
    <row r="1593" spans="1:20" ht="45" customHeight="1" x14ac:dyDescent="0.25">
      <c r="A1593" s="2" t="str">
        <f t="shared" si="1"/>
        <v/>
      </c>
      <c r="B1593" s="2"/>
      <c r="C1593" s="43"/>
      <c r="D1593" s="2"/>
      <c r="E1593" s="2"/>
      <c r="F1593" s="2"/>
      <c r="G1593" s="11"/>
      <c r="H1593" s="11"/>
      <c r="I1593" s="2"/>
      <c r="J1593" s="2"/>
      <c r="K1593" s="2"/>
      <c r="L1593" s="10"/>
      <c r="M1593" s="9"/>
      <c r="N1593" s="2"/>
      <c r="O1593" s="2"/>
      <c r="P1593" s="2"/>
      <c r="Q1593" s="50"/>
      <c r="R1593" s="50"/>
      <c r="S1593" s="2">
        <f>IFERROR(VLOOKUP(A1593,IMPORT_DESISTENCIA!$A$2:$Q2273,14,0),"NÃO")</f>
        <v>0</v>
      </c>
      <c r="T1593" s="35"/>
    </row>
    <row r="1594" spans="1:20" ht="45" customHeight="1" x14ac:dyDescent="0.25">
      <c r="A1594" s="2" t="str">
        <f t="shared" si="1"/>
        <v/>
      </c>
      <c r="B1594" s="2"/>
      <c r="C1594" s="43"/>
      <c r="D1594" s="2"/>
      <c r="E1594" s="2"/>
      <c r="F1594" s="2"/>
      <c r="G1594" s="11"/>
      <c r="H1594" s="11"/>
      <c r="I1594" s="2"/>
      <c r="J1594" s="2"/>
      <c r="K1594" s="2"/>
      <c r="L1594" s="10"/>
      <c r="M1594" s="9"/>
      <c r="N1594" s="2"/>
      <c r="O1594" s="2"/>
      <c r="P1594" s="2"/>
      <c r="Q1594" s="50"/>
      <c r="R1594" s="50"/>
      <c r="S1594" s="2">
        <f>IFERROR(VLOOKUP(A1594,IMPORT_DESISTENCIA!$A$2:$Q2273,14,0),"NÃO")</f>
        <v>0</v>
      </c>
      <c r="T1594" s="35"/>
    </row>
    <row r="1595" spans="1:20" ht="45" customHeight="1" x14ac:dyDescent="0.25">
      <c r="A1595" s="2" t="str">
        <f t="shared" si="1"/>
        <v/>
      </c>
      <c r="B1595" s="2"/>
      <c r="C1595" s="43"/>
      <c r="D1595" s="2"/>
      <c r="E1595" s="2"/>
      <c r="F1595" s="2"/>
      <c r="G1595" s="11"/>
      <c r="H1595" s="11"/>
      <c r="I1595" s="2"/>
      <c r="J1595" s="2"/>
      <c r="K1595" s="2"/>
      <c r="L1595" s="10"/>
      <c r="M1595" s="9"/>
      <c r="N1595" s="2"/>
      <c r="O1595" s="2"/>
      <c r="P1595" s="2"/>
      <c r="Q1595" s="50"/>
      <c r="R1595" s="50"/>
      <c r="S1595" s="2">
        <f>IFERROR(VLOOKUP(A1595,IMPORT_DESISTENCIA!$A$2:$Q2273,14,0),"NÃO")</f>
        <v>0</v>
      </c>
      <c r="T1595" s="35"/>
    </row>
    <row r="1596" spans="1:20" ht="45" customHeight="1" x14ac:dyDescent="0.25">
      <c r="A1596" s="2" t="str">
        <f t="shared" si="1"/>
        <v/>
      </c>
      <c r="B1596" s="2"/>
      <c r="C1596" s="43"/>
      <c r="D1596" s="2"/>
      <c r="E1596" s="2"/>
      <c r="F1596" s="2"/>
      <c r="G1596" s="11"/>
      <c r="H1596" s="11"/>
      <c r="I1596" s="2"/>
      <c r="J1596" s="2"/>
      <c r="K1596" s="2"/>
      <c r="L1596" s="10"/>
      <c r="M1596" s="9"/>
      <c r="N1596" s="2"/>
      <c r="O1596" s="2"/>
      <c r="P1596" s="2"/>
      <c r="Q1596" s="50"/>
      <c r="R1596" s="50"/>
      <c r="S1596" s="2">
        <f>IFERROR(VLOOKUP(A1596,IMPORT_DESISTENCIA!$A$2:$Q2273,14,0),"NÃO")</f>
        <v>0</v>
      </c>
      <c r="T1596" s="35"/>
    </row>
    <row r="1597" spans="1:20" ht="45" customHeight="1" x14ac:dyDescent="0.25">
      <c r="A1597" s="2" t="str">
        <f t="shared" si="1"/>
        <v/>
      </c>
      <c r="B1597" s="2"/>
      <c r="C1597" s="43"/>
      <c r="D1597" s="2"/>
      <c r="E1597" s="2"/>
      <c r="F1597" s="2"/>
      <c r="G1597" s="11"/>
      <c r="H1597" s="11"/>
      <c r="I1597" s="2"/>
      <c r="J1597" s="2"/>
      <c r="K1597" s="2"/>
      <c r="L1597" s="10"/>
      <c r="M1597" s="9"/>
      <c r="N1597" s="2"/>
      <c r="O1597" s="2"/>
      <c r="P1597" s="2"/>
      <c r="Q1597" s="50"/>
      <c r="R1597" s="50"/>
      <c r="S1597" s="2">
        <f>IFERROR(VLOOKUP(A1597,IMPORT_DESISTENCIA!$A$2:$Q2273,14,0),"NÃO")</f>
        <v>0</v>
      </c>
      <c r="T1597" s="35"/>
    </row>
    <row r="1598" spans="1:20" ht="45" customHeight="1" x14ac:dyDescent="0.25">
      <c r="A1598" s="2" t="str">
        <f t="shared" si="1"/>
        <v/>
      </c>
      <c r="B1598" s="2"/>
      <c r="C1598" s="43"/>
      <c r="D1598" s="2"/>
      <c r="E1598" s="2"/>
      <c r="F1598" s="2"/>
      <c r="G1598" s="11"/>
      <c r="H1598" s="11"/>
      <c r="I1598" s="2"/>
      <c r="J1598" s="2"/>
      <c r="K1598" s="2"/>
      <c r="L1598" s="10"/>
      <c r="M1598" s="9"/>
      <c r="N1598" s="2"/>
      <c r="O1598" s="2"/>
      <c r="P1598" s="2"/>
      <c r="Q1598" s="50"/>
      <c r="R1598" s="50"/>
      <c r="S1598" s="2">
        <f>IFERROR(VLOOKUP(A1598,IMPORT_DESISTENCIA!$A$2:$Q2273,14,0),"NÃO")</f>
        <v>0</v>
      </c>
      <c r="T1598" s="35"/>
    </row>
    <row r="1599" spans="1:20" ht="45" customHeight="1" x14ac:dyDescent="0.25">
      <c r="A1599" s="2" t="str">
        <f t="shared" si="1"/>
        <v/>
      </c>
      <c r="B1599" s="2"/>
      <c r="C1599" s="43"/>
      <c r="D1599" s="2"/>
      <c r="E1599" s="2"/>
      <c r="F1599" s="2"/>
      <c r="G1599" s="11"/>
      <c r="H1599" s="11"/>
      <c r="I1599" s="2"/>
      <c r="J1599" s="2"/>
      <c r="K1599" s="2"/>
      <c r="L1599" s="10"/>
      <c r="M1599" s="9"/>
      <c r="N1599" s="2"/>
      <c r="O1599" s="2"/>
      <c r="P1599" s="2"/>
      <c r="Q1599" s="50"/>
      <c r="R1599" s="50"/>
      <c r="S1599" s="2">
        <f>IFERROR(VLOOKUP(A1599,IMPORT_DESISTENCIA!$A$2:$Q2273,14,0),"NÃO")</f>
        <v>0</v>
      </c>
      <c r="T1599" s="35"/>
    </row>
    <row r="1600" spans="1:20" ht="45" customHeight="1" x14ac:dyDescent="0.25">
      <c r="A1600" s="2" t="str">
        <f t="shared" si="1"/>
        <v/>
      </c>
      <c r="B1600" s="2"/>
      <c r="C1600" s="43"/>
      <c r="D1600" s="2"/>
      <c r="E1600" s="2"/>
      <c r="F1600" s="2"/>
      <c r="G1600" s="11"/>
      <c r="H1600" s="11"/>
      <c r="I1600" s="2"/>
      <c r="J1600" s="2"/>
      <c r="K1600" s="2"/>
      <c r="L1600" s="10"/>
      <c r="M1600" s="9"/>
      <c r="N1600" s="2"/>
      <c r="O1600" s="2"/>
      <c r="P1600" s="2"/>
      <c r="Q1600" s="50"/>
      <c r="R1600" s="50"/>
      <c r="S1600" s="2">
        <f>IFERROR(VLOOKUP(A1600,IMPORT_DESISTENCIA!$A$2:$Q2273,14,0),"NÃO")</f>
        <v>0</v>
      </c>
      <c r="T1600" s="35"/>
    </row>
    <row r="1601" spans="1:20" ht="45" customHeight="1" x14ac:dyDescent="0.25">
      <c r="A1601" s="2" t="str">
        <f t="shared" si="1"/>
        <v/>
      </c>
      <c r="B1601" s="2"/>
      <c r="C1601" s="43"/>
      <c r="D1601" s="2"/>
      <c r="E1601" s="2"/>
      <c r="F1601" s="2"/>
      <c r="G1601" s="11"/>
      <c r="H1601" s="11"/>
      <c r="I1601" s="2"/>
      <c r="J1601" s="2"/>
      <c r="K1601" s="2"/>
      <c r="L1601" s="10"/>
      <c r="M1601" s="9"/>
      <c r="N1601" s="2"/>
      <c r="O1601" s="2"/>
      <c r="P1601" s="2"/>
      <c r="Q1601" s="50"/>
      <c r="R1601" s="50"/>
      <c r="S1601" s="2">
        <f>IFERROR(VLOOKUP(A1601,IMPORT_DESISTENCIA!$A$2:$Q2273,14,0),"NÃO")</f>
        <v>0</v>
      </c>
      <c r="T1601" s="35"/>
    </row>
    <row r="1602" spans="1:20" ht="45" customHeight="1" x14ac:dyDescent="0.25">
      <c r="A1602" s="2" t="str">
        <f t="shared" si="1"/>
        <v/>
      </c>
      <c r="B1602" s="2"/>
      <c r="C1602" s="43"/>
      <c r="D1602" s="2"/>
      <c r="E1602" s="2"/>
      <c r="F1602" s="2"/>
      <c r="G1602" s="11"/>
      <c r="H1602" s="11"/>
      <c r="I1602" s="2"/>
      <c r="J1602" s="2"/>
      <c r="K1602" s="2"/>
      <c r="L1602" s="10"/>
      <c r="M1602" s="9"/>
      <c r="N1602" s="2"/>
      <c r="O1602" s="2"/>
      <c r="P1602" s="2"/>
      <c r="Q1602" s="50"/>
      <c r="R1602" s="50"/>
      <c r="S1602" s="2">
        <f>IFERROR(VLOOKUP(A1602,IMPORT_DESISTENCIA!$A$2:$Q2273,14,0),"NÃO")</f>
        <v>0</v>
      </c>
      <c r="T1602" s="35"/>
    </row>
    <row r="1603" spans="1:20" ht="45" customHeight="1" x14ac:dyDescent="0.25">
      <c r="A1603" s="2" t="str">
        <f t="shared" si="1"/>
        <v/>
      </c>
      <c r="B1603" s="2"/>
      <c r="C1603" s="43"/>
      <c r="D1603" s="2"/>
      <c r="E1603" s="2"/>
      <c r="F1603" s="2"/>
      <c r="G1603" s="11"/>
      <c r="H1603" s="11"/>
      <c r="I1603" s="2"/>
      <c r="J1603" s="2"/>
      <c r="K1603" s="2"/>
      <c r="L1603" s="10"/>
      <c r="M1603" s="9"/>
      <c r="N1603" s="2"/>
      <c r="O1603" s="2"/>
      <c r="P1603" s="2"/>
      <c r="Q1603" s="50"/>
      <c r="R1603" s="50"/>
      <c r="S1603" s="2">
        <f>IFERROR(VLOOKUP(A1603,IMPORT_DESISTENCIA!$A$2:$Q2273,14,0),"NÃO")</f>
        <v>0</v>
      </c>
      <c r="T1603" s="35"/>
    </row>
    <row r="1604" spans="1:20" ht="45" customHeight="1" x14ac:dyDescent="0.25">
      <c r="A1604" s="2" t="str">
        <f t="shared" si="1"/>
        <v/>
      </c>
      <c r="B1604" s="2"/>
      <c r="C1604" s="43"/>
      <c r="D1604" s="2"/>
      <c r="E1604" s="2"/>
      <c r="F1604" s="2"/>
      <c r="G1604" s="11"/>
      <c r="H1604" s="11"/>
      <c r="I1604" s="2"/>
      <c r="J1604" s="2"/>
      <c r="K1604" s="2"/>
      <c r="L1604" s="10"/>
      <c r="M1604" s="9"/>
      <c r="N1604" s="2"/>
      <c r="O1604" s="2"/>
      <c r="P1604" s="2"/>
      <c r="Q1604" s="50"/>
      <c r="R1604" s="50"/>
      <c r="S1604" s="2">
        <f>IFERROR(VLOOKUP(A1604,IMPORT_DESISTENCIA!$A$2:$Q2273,14,0),"NÃO")</f>
        <v>0</v>
      </c>
      <c r="T1604" s="35"/>
    </row>
    <row r="1605" spans="1:20" ht="45" customHeight="1" x14ac:dyDescent="0.25">
      <c r="A1605" s="2" t="str">
        <f t="shared" si="1"/>
        <v/>
      </c>
      <c r="B1605" s="2"/>
      <c r="C1605" s="43"/>
      <c r="D1605" s="2"/>
      <c r="E1605" s="2"/>
      <c r="F1605" s="2"/>
      <c r="G1605" s="11"/>
      <c r="H1605" s="11"/>
      <c r="I1605" s="2"/>
      <c r="J1605" s="2"/>
      <c r="K1605" s="2"/>
      <c r="L1605" s="10"/>
      <c r="M1605" s="9"/>
      <c r="N1605" s="2"/>
      <c r="O1605" s="2"/>
      <c r="P1605" s="2"/>
      <c r="Q1605" s="50"/>
      <c r="R1605" s="50"/>
      <c r="S1605" s="2">
        <f>IFERROR(VLOOKUP(A1605,IMPORT_DESISTENCIA!$A$2:$Q2273,14,0),"NÃO")</f>
        <v>0</v>
      </c>
      <c r="T1605" s="35"/>
    </row>
    <row r="1606" spans="1:20" ht="45" customHeight="1" x14ac:dyDescent="0.25">
      <c r="A1606" s="2" t="str">
        <f t="shared" si="1"/>
        <v/>
      </c>
      <c r="B1606" s="2"/>
      <c r="C1606" s="43"/>
      <c r="D1606" s="2"/>
      <c r="E1606" s="2"/>
      <c r="F1606" s="2"/>
      <c r="G1606" s="11"/>
      <c r="H1606" s="11"/>
      <c r="I1606" s="2"/>
      <c r="J1606" s="2"/>
      <c r="K1606" s="2"/>
      <c r="L1606" s="10"/>
      <c r="M1606" s="9"/>
      <c r="N1606" s="2"/>
      <c r="O1606" s="2"/>
      <c r="P1606" s="2"/>
      <c r="Q1606" s="50"/>
      <c r="R1606" s="50"/>
      <c r="S1606" s="2">
        <f>IFERROR(VLOOKUP(A1606,IMPORT_DESISTENCIA!$A$2:$Q2273,14,0),"NÃO")</f>
        <v>0</v>
      </c>
      <c r="T1606" s="35"/>
    </row>
    <row r="1607" spans="1:20" ht="45" customHeight="1" x14ac:dyDescent="0.25">
      <c r="A1607" s="2" t="str">
        <f t="shared" si="1"/>
        <v/>
      </c>
      <c r="B1607" s="2"/>
      <c r="C1607" s="43"/>
      <c r="D1607" s="2"/>
      <c r="E1607" s="2"/>
      <c r="F1607" s="2"/>
      <c r="G1607" s="11"/>
      <c r="H1607" s="11"/>
      <c r="I1607" s="2"/>
      <c r="J1607" s="2"/>
      <c r="K1607" s="2"/>
      <c r="L1607" s="10"/>
      <c r="M1607" s="9"/>
      <c r="N1607" s="2"/>
      <c r="O1607" s="2"/>
      <c r="P1607" s="2"/>
      <c r="Q1607" s="50"/>
      <c r="R1607" s="50"/>
      <c r="S1607" s="2">
        <f>IFERROR(VLOOKUP(A1607,IMPORT_DESISTENCIA!$A$2:$Q2273,14,0),"NÃO")</f>
        <v>0</v>
      </c>
      <c r="T1607" s="35"/>
    </row>
    <row r="1608" spans="1:20" ht="45" customHeight="1" x14ac:dyDescent="0.25">
      <c r="A1608" s="2" t="str">
        <f t="shared" si="1"/>
        <v/>
      </c>
      <c r="B1608" s="2"/>
      <c r="C1608" s="43"/>
      <c r="D1608" s="2"/>
      <c r="E1608" s="2"/>
      <c r="F1608" s="2"/>
      <c r="G1608" s="11"/>
      <c r="H1608" s="11"/>
      <c r="I1608" s="2"/>
      <c r="J1608" s="2"/>
      <c r="K1608" s="2"/>
      <c r="L1608" s="10"/>
      <c r="M1608" s="9"/>
      <c r="N1608" s="2"/>
      <c r="O1608" s="2"/>
      <c r="P1608" s="2"/>
      <c r="Q1608" s="50"/>
      <c r="R1608" s="50"/>
      <c r="S1608" s="2">
        <f>IFERROR(VLOOKUP(A1608,IMPORT_DESISTENCIA!$A$2:$Q2273,14,0),"NÃO")</f>
        <v>0</v>
      </c>
      <c r="T1608" s="35"/>
    </row>
    <row r="1609" spans="1:20" ht="45" customHeight="1" x14ac:dyDescent="0.25">
      <c r="A1609" s="2" t="str">
        <f t="shared" si="1"/>
        <v/>
      </c>
      <c r="B1609" s="2"/>
      <c r="C1609" s="43"/>
      <c r="D1609" s="2"/>
      <c r="E1609" s="2"/>
      <c r="F1609" s="2"/>
      <c r="G1609" s="11"/>
      <c r="H1609" s="11"/>
      <c r="I1609" s="2"/>
      <c r="J1609" s="2"/>
      <c r="K1609" s="2"/>
      <c r="L1609" s="10"/>
      <c r="M1609" s="9"/>
      <c r="N1609" s="2"/>
      <c r="O1609" s="2"/>
      <c r="P1609" s="2"/>
      <c r="Q1609" s="50"/>
      <c r="R1609" s="50"/>
      <c r="S1609" s="2">
        <f>IFERROR(VLOOKUP(A1609,IMPORT_DESISTENCIA!$A$2:$Q2273,14,0),"NÃO")</f>
        <v>0</v>
      </c>
      <c r="T1609" s="35"/>
    </row>
    <row r="1610" spans="1:20" ht="45" customHeight="1" x14ac:dyDescent="0.25">
      <c r="A1610" s="2" t="str">
        <f t="shared" si="1"/>
        <v/>
      </c>
      <c r="B1610" s="2"/>
      <c r="C1610" s="43"/>
      <c r="D1610" s="2"/>
      <c r="E1610" s="2"/>
      <c r="F1610" s="2"/>
      <c r="G1610" s="11"/>
      <c r="H1610" s="11"/>
      <c r="I1610" s="2"/>
      <c r="J1610" s="2"/>
      <c r="K1610" s="2"/>
      <c r="L1610" s="10"/>
      <c r="M1610" s="9"/>
      <c r="N1610" s="2"/>
      <c r="O1610" s="2"/>
      <c r="P1610" s="2"/>
      <c r="Q1610" s="50"/>
      <c r="R1610" s="50"/>
      <c r="S1610" s="2">
        <f>IFERROR(VLOOKUP(A1610,IMPORT_DESISTENCIA!$A$2:$Q2273,14,0),"NÃO")</f>
        <v>0</v>
      </c>
      <c r="T1610" s="35"/>
    </row>
    <row r="1611" spans="1:20" ht="45" customHeight="1" x14ac:dyDescent="0.25">
      <c r="A1611" s="2" t="str">
        <f t="shared" si="1"/>
        <v/>
      </c>
      <c r="B1611" s="2"/>
      <c r="C1611" s="43"/>
      <c r="D1611" s="2"/>
      <c r="E1611" s="2"/>
      <c r="F1611" s="2"/>
      <c r="G1611" s="11"/>
      <c r="H1611" s="11"/>
      <c r="I1611" s="2"/>
      <c r="J1611" s="2"/>
      <c r="K1611" s="2"/>
      <c r="L1611" s="10"/>
      <c r="M1611" s="9"/>
      <c r="N1611" s="2"/>
      <c r="O1611" s="2"/>
      <c r="P1611" s="2"/>
      <c r="Q1611" s="50"/>
      <c r="R1611" s="50"/>
      <c r="S1611" s="2">
        <f>IFERROR(VLOOKUP(A1611,IMPORT_DESISTENCIA!$A$2:$Q2273,14,0),"NÃO")</f>
        <v>0</v>
      </c>
      <c r="T1611" s="35"/>
    </row>
    <row r="1612" spans="1:20" ht="45" customHeight="1" x14ac:dyDescent="0.25">
      <c r="A1612" s="2" t="str">
        <f t="shared" si="1"/>
        <v/>
      </c>
      <c r="B1612" s="2"/>
      <c r="C1612" s="43"/>
      <c r="D1612" s="2"/>
      <c r="E1612" s="2"/>
      <c r="F1612" s="2"/>
      <c r="G1612" s="11"/>
      <c r="H1612" s="11"/>
      <c r="I1612" s="2"/>
      <c r="J1612" s="2"/>
      <c r="K1612" s="2"/>
      <c r="L1612" s="10"/>
      <c r="M1612" s="9"/>
      <c r="N1612" s="2"/>
      <c r="O1612" s="2"/>
      <c r="P1612" s="2"/>
      <c r="Q1612" s="50"/>
      <c r="R1612" s="50"/>
      <c r="S1612" s="2">
        <f>IFERROR(VLOOKUP(A1612,IMPORT_DESISTENCIA!$A$2:$Q2273,14,0),"NÃO")</f>
        <v>0</v>
      </c>
      <c r="T1612" s="35"/>
    </row>
    <row r="1613" spans="1:20" ht="45" customHeight="1" x14ac:dyDescent="0.25">
      <c r="A1613" s="2" t="str">
        <f t="shared" si="1"/>
        <v/>
      </c>
      <c r="B1613" s="2"/>
      <c r="C1613" s="43"/>
      <c r="D1613" s="2"/>
      <c r="E1613" s="2"/>
      <c r="F1613" s="2"/>
      <c r="G1613" s="11"/>
      <c r="H1613" s="11"/>
      <c r="I1613" s="2"/>
      <c r="J1613" s="2"/>
      <c r="K1613" s="2"/>
      <c r="L1613" s="10"/>
      <c r="M1613" s="9"/>
      <c r="N1613" s="2"/>
      <c r="O1613" s="2"/>
      <c r="P1613" s="2"/>
      <c r="Q1613" s="50"/>
      <c r="R1613" s="50"/>
      <c r="S1613" s="2">
        <f>IFERROR(VLOOKUP(A1613,IMPORT_DESISTENCIA!$A$2:$Q2273,14,0),"NÃO")</f>
        <v>0</v>
      </c>
      <c r="T1613" s="35"/>
    </row>
    <row r="1614" spans="1:20" ht="45" customHeight="1" x14ac:dyDescent="0.25">
      <c r="A1614" s="2" t="str">
        <f t="shared" si="1"/>
        <v/>
      </c>
      <c r="B1614" s="2"/>
      <c r="C1614" s="43"/>
      <c r="D1614" s="2"/>
      <c r="E1614" s="2"/>
      <c r="F1614" s="2"/>
      <c r="G1614" s="11"/>
      <c r="H1614" s="11"/>
      <c r="I1614" s="2"/>
      <c r="J1614" s="2"/>
      <c r="K1614" s="2"/>
      <c r="L1614" s="10"/>
      <c r="M1614" s="9"/>
      <c r="N1614" s="2"/>
      <c r="O1614" s="2"/>
      <c r="P1614" s="2"/>
      <c r="Q1614" s="50"/>
      <c r="R1614" s="50"/>
      <c r="S1614" s="2">
        <f>IFERROR(VLOOKUP(A1614,IMPORT_DESISTENCIA!$A$2:$Q2273,14,0),"NÃO")</f>
        <v>0</v>
      </c>
      <c r="T1614" s="35"/>
    </row>
    <row r="1615" spans="1:20" ht="45" customHeight="1" x14ac:dyDescent="0.25">
      <c r="A1615" s="2" t="str">
        <f t="shared" si="1"/>
        <v/>
      </c>
      <c r="B1615" s="2"/>
      <c r="C1615" s="43"/>
      <c r="D1615" s="2"/>
      <c r="E1615" s="2"/>
      <c r="F1615" s="2"/>
      <c r="G1615" s="11"/>
      <c r="H1615" s="11"/>
      <c r="I1615" s="2"/>
      <c r="J1615" s="2"/>
      <c r="K1615" s="2"/>
      <c r="L1615" s="10"/>
      <c r="M1615" s="9"/>
      <c r="N1615" s="2"/>
      <c r="O1615" s="2"/>
      <c r="P1615" s="2"/>
      <c r="Q1615" s="50"/>
      <c r="R1615" s="50"/>
      <c r="S1615" s="2">
        <f>IFERROR(VLOOKUP(A1615,IMPORT_DESISTENCIA!$A$2:$Q2273,14,0),"NÃO")</f>
        <v>0</v>
      </c>
      <c r="T1615" s="35"/>
    </row>
    <row r="1616" spans="1:20" ht="45" customHeight="1" x14ac:dyDescent="0.25">
      <c r="A1616" s="2" t="str">
        <f t="shared" si="1"/>
        <v/>
      </c>
      <c r="B1616" s="2"/>
      <c r="C1616" s="43"/>
      <c r="D1616" s="2"/>
      <c r="E1616" s="2"/>
      <c r="F1616" s="2"/>
      <c r="G1616" s="11"/>
      <c r="H1616" s="11"/>
      <c r="I1616" s="2"/>
      <c r="J1616" s="2"/>
      <c r="K1616" s="2"/>
      <c r="L1616" s="10"/>
      <c r="M1616" s="9"/>
      <c r="N1616" s="2"/>
      <c r="O1616" s="2"/>
      <c r="P1616" s="2"/>
      <c r="Q1616" s="50"/>
      <c r="R1616" s="50"/>
      <c r="S1616" s="2">
        <f>IFERROR(VLOOKUP(A1616,IMPORT_DESISTENCIA!$A$2:$Q2273,14,0),"NÃO")</f>
        <v>0</v>
      </c>
      <c r="T1616" s="35"/>
    </row>
    <row r="1617" spans="1:20" ht="45" customHeight="1" x14ac:dyDescent="0.25">
      <c r="A1617" s="2" t="str">
        <f t="shared" si="1"/>
        <v/>
      </c>
      <c r="B1617" s="2"/>
      <c r="C1617" s="43"/>
      <c r="D1617" s="2"/>
      <c r="E1617" s="2"/>
      <c r="F1617" s="2"/>
      <c r="G1617" s="11"/>
      <c r="H1617" s="11"/>
      <c r="I1617" s="2"/>
      <c r="J1617" s="2"/>
      <c r="K1617" s="2"/>
      <c r="L1617" s="10"/>
      <c r="M1617" s="9"/>
      <c r="N1617" s="2"/>
      <c r="O1617" s="2"/>
      <c r="P1617" s="2"/>
      <c r="Q1617" s="50"/>
      <c r="R1617" s="50"/>
      <c r="S1617" s="2">
        <f>IFERROR(VLOOKUP(A1617,IMPORT_DESISTENCIA!$A$2:$Q2273,14,0),"NÃO")</f>
        <v>0</v>
      </c>
      <c r="T1617" s="35"/>
    </row>
    <row r="1618" spans="1:20" ht="45" customHeight="1" x14ac:dyDescent="0.25">
      <c r="A1618" s="2" t="str">
        <f t="shared" si="1"/>
        <v/>
      </c>
      <c r="B1618" s="2"/>
      <c r="C1618" s="43"/>
      <c r="D1618" s="2"/>
      <c r="E1618" s="2"/>
      <c r="F1618" s="2"/>
      <c r="G1618" s="11"/>
      <c r="H1618" s="11"/>
      <c r="I1618" s="2"/>
      <c r="J1618" s="2"/>
      <c r="K1618" s="2"/>
      <c r="L1618" s="10"/>
      <c r="M1618" s="9"/>
      <c r="N1618" s="2"/>
      <c r="O1618" s="2"/>
      <c r="P1618" s="2"/>
      <c r="Q1618" s="50"/>
      <c r="R1618" s="50"/>
      <c r="S1618" s="2">
        <f>IFERROR(VLOOKUP(A1618,IMPORT_DESISTENCIA!$A$2:$Q2273,14,0),"NÃO")</f>
        <v>0</v>
      </c>
      <c r="T1618" s="35"/>
    </row>
    <row r="1619" spans="1:20" ht="45" customHeight="1" x14ac:dyDescent="0.25">
      <c r="A1619" s="2" t="str">
        <f t="shared" si="1"/>
        <v/>
      </c>
      <c r="B1619" s="2"/>
      <c r="C1619" s="43"/>
      <c r="D1619" s="2"/>
      <c r="E1619" s="2"/>
      <c r="F1619" s="2"/>
      <c r="G1619" s="11"/>
      <c r="H1619" s="11"/>
      <c r="I1619" s="2"/>
      <c r="J1619" s="2"/>
      <c r="K1619" s="2"/>
      <c r="L1619" s="10"/>
      <c r="M1619" s="9"/>
      <c r="N1619" s="2"/>
      <c r="O1619" s="2"/>
      <c r="P1619" s="2"/>
      <c r="Q1619" s="50"/>
      <c r="R1619" s="50"/>
      <c r="S1619" s="2">
        <f>IFERROR(VLOOKUP(A1619,IMPORT_DESISTENCIA!$A$2:$Q2273,14,0),"NÃO")</f>
        <v>0</v>
      </c>
      <c r="T1619" s="35"/>
    </row>
    <row r="1620" spans="1:20" ht="45" customHeight="1" x14ac:dyDescent="0.25">
      <c r="A1620" s="2" t="str">
        <f t="shared" si="1"/>
        <v/>
      </c>
      <c r="B1620" s="2"/>
      <c r="C1620" s="43"/>
      <c r="D1620" s="2"/>
      <c r="E1620" s="2"/>
      <c r="F1620" s="2"/>
      <c r="G1620" s="11"/>
      <c r="H1620" s="11"/>
      <c r="I1620" s="2"/>
      <c r="J1620" s="2"/>
      <c r="K1620" s="2"/>
      <c r="L1620" s="10"/>
      <c r="M1620" s="9"/>
      <c r="N1620" s="2"/>
      <c r="O1620" s="2"/>
      <c r="P1620" s="2"/>
      <c r="Q1620" s="50"/>
      <c r="R1620" s="50"/>
      <c r="S1620" s="2">
        <f>IFERROR(VLOOKUP(A1620,IMPORT_DESISTENCIA!$A$2:$Q2273,14,0),"NÃO")</f>
        <v>0</v>
      </c>
      <c r="T1620" s="35"/>
    </row>
    <row r="1621" spans="1:20" ht="45" customHeight="1" x14ac:dyDescent="0.25">
      <c r="A1621" s="2" t="str">
        <f t="shared" si="1"/>
        <v/>
      </c>
      <c r="B1621" s="2"/>
      <c r="C1621" s="43"/>
      <c r="D1621" s="2"/>
      <c r="E1621" s="2"/>
      <c r="F1621" s="2"/>
      <c r="G1621" s="11"/>
      <c r="H1621" s="11"/>
      <c r="I1621" s="2"/>
      <c r="J1621" s="2"/>
      <c r="K1621" s="2"/>
      <c r="L1621" s="10"/>
      <c r="M1621" s="9"/>
      <c r="N1621" s="2"/>
      <c r="O1621" s="2"/>
      <c r="P1621" s="2"/>
      <c r="Q1621" s="50"/>
      <c r="R1621" s="50"/>
      <c r="S1621" s="2">
        <f>IFERROR(VLOOKUP(A1621,IMPORT_DESISTENCIA!$A$2:$Q2273,14,0),"NÃO")</f>
        <v>0</v>
      </c>
      <c r="T1621" s="35"/>
    </row>
    <row r="1622" spans="1:20" ht="45" customHeight="1" x14ac:dyDescent="0.25">
      <c r="A1622" s="2" t="str">
        <f t="shared" si="1"/>
        <v/>
      </c>
      <c r="B1622" s="2"/>
      <c r="C1622" s="43"/>
      <c r="D1622" s="2"/>
      <c r="E1622" s="2"/>
      <c r="F1622" s="2"/>
      <c r="G1622" s="11"/>
      <c r="H1622" s="11"/>
      <c r="I1622" s="2"/>
      <c r="J1622" s="2"/>
      <c r="K1622" s="2"/>
      <c r="L1622" s="10"/>
      <c r="M1622" s="9"/>
      <c r="N1622" s="2"/>
      <c r="O1622" s="2"/>
      <c r="P1622" s="2"/>
      <c r="Q1622" s="50"/>
      <c r="R1622" s="50"/>
      <c r="S1622" s="2">
        <f>IFERROR(VLOOKUP(A1622,IMPORT_DESISTENCIA!$A$2:$Q2273,14,0),"NÃO")</f>
        <v>0</v>
      </c>
      <c r="T1622" s="35"/>
    </row>
    <row r="1623" spans="1:20" ht="45" customHeight="1" x14ac:dyDescent="0.25">
      <c r="A1623" s="2" t="str">
        <f t="shared" si="1"/>
        <v/>
      </c>
      <c r="B1623" s="2"/>
      <c r="C1623" s="43"/>
      <c r="D1623" s="2"/>
      <c r="E1623" s="2"/>
      <c r="F1623" s="2"/>
      <c r="G1623" s="11"/>
      <c r="H1623" s="11"/>
      <c r="I1623" s="2"/>
      <c r="J1623" s="2"/>
      <c r="K1623" s="2"/>
      <c r="L1623" s="10"/>
      <c r="M1623" s="9"/>
      <c r="N1623" s="2"/>
      <c r="O1623" s="2"/>
      <c r="P1623" s="2"/>
      <c r="Q1623" s="50"/>
      <c r="R1623" s="50"/>
      <c r="S1623" s="2">
        <f>IFERROR(VLOOKUP(A1623,IMPORT_DESISTENCIA!$A$2:$Q2273,14,0),"NÃO")</f>
        <v>0</v>
      </c>
      <c r="T1623" s="35"/>
    </row>
    <row r="1624" spans="1:20" ht="45" customHeight="1" x14ac:dyDescent="0.25">
      <c r="A1624" s="2" t="str">
        <f t="shared" si="1"/>
        <v/>
      </c>
      <c r="B1624" s="2"/>
      <c r="C1624" s="43"/>
      <c r="D1624" s="2"/>
      <c r="E1624" s="2"/>
      <c r="F1624" s="2"/>
      <c r="G1624" s="11"/>
      <c r="H1624" s="11"/>
      <c r="I1624" s="2"/>
      <c r="J1624" s="2"/>
      <c r="K1624" s="2"/>
      <c r="L1624" s="10"/>
      <c r="M1624" s="9"/>
      <c r="N1624" s="2"/>
      <c r="O1624" s="2"/>
      <c r="P1624" s="2"/>
      <c r="Q1624" s="50"/>
      <c r="R1624" s="50"/>
      <c r="S1624" s="2">
        <f>IFERROR(VLOOKUP(A1624,IMPORT_DESISTENCIA!$A$2:$Q2273,14,0),"NÃO")</f>
        <v>0</v>
      </c>
      <c r="T1624" s="35"/>
    </row>
    <row r="1625" spans="1:20" ht="45" customHeight="1" x14ac:dyDescent="0.25">
      <c r="A1625" s="2" t="str">
        <f t="shared" si="1"/>
        <v/>
      </c>
      <c r="B1625" s="2"/>
      <c r="C1625" s="43"/>
      <c r="D1625" s="2"/>
      <c r="E1625" s="2"/>
      <c r="F1625" s="2"/>
      <c r="G1625" s="11"/>
      <c r="H1625" s="11"/>
      <c r="I1625" s="2"/>
      <c r="J1625" s="2"/>
      <c r="K1625" s="2"/>
      <c r="L1625" s="10"/>
      <c r="M1625" s="9"/>
      <c r="N1625" s="2"/>
      <c r="O1625" s="2"/>
      <c r="P1625" s="2"/>
      <c r="Q1625" s="50"/>
      <c r="R1625" s="50"/>
      <c r="S1625" s="2">
        <f>IFERROR(VLOOKUP(A1625,IMPORT_DESISTENCIA!$A$2:$Q2273,14,0),"NÃO")</f>
        <v>0</v>
      </c>
      <c r="T1625" s="35"/>
    </row>
    <row r="1626" spans="1:20" ht="45" customHeight="1" x14ac:dyDescent="0.25">
      <c r="A1626" s="2" t="str">
        <f t="shared" si="1"/>
        <v/>
      </c>
      <c r="B1626" s="2"/>
      <c r="C1626" s="43"/>
      <c r="D1626" s="2"/>
      <c r="E1626" s="2"/>
      <c r="F1626" s="2"/>
      <c r="G1626" s="11"/>
      <c r="H1626" s="11"/>
      <c r="I1626" s="2"/>
      <c r="J1626" s="2"/>
      <c r="K1626" s="2"/>
      <c r="L1626" s="10"/>
      <c r="M1626" s="9"/>
      <c r="N1626" s="2"/>
      <c r="O1626" s="2"/>
      <c r="P1626" s="2"/>
      <c r="Q1626" s="50"/>
      <c r="R1626" s="50"/>
      <c r="S1626" s="2">
        <f>IFERROR(VLOOKUP(A1626,IMPORT_DESISTENCIA!$A$2:$Q2273,14,0),"NÃO")</f>
        <v>0</v>
      </c>
      <c r="T1626" s="35"/>
    </row>
    <row r="1627" spans="1:20" ht="45" customHeight="1" x14ac:dyDescent="0.25">
      <c r="A1627" s="2" t="str">
        <f t="shared" si="1"/>
        <v/>
      </c>
      <c r="B1627" s="2"/>
      <c r="C1627" s="43"/>
      <c r="D1627" s="2"/>
      <c r="E1627" s="2"/>
      <c r="F1627" s="2"/>
      <c r="G1627" s="11"/>
      <c r="H1627" s="11"/>
      <c r="I1627" s="2"/>
      <c r="J1627" s="2"/>
      <c r="K1627" s="2"/>
      <c r="L1627" s="10"/>
      <c r="M1627" s="9"/>
      <c r="N1627" s="2"/>
      <c r="O1627" s="2"/>
      <c r="P1627" s="2"/>
      <c r="Q1627" s="50"/>
      <c r="R1627" s="50"/>
      <c r="S1627" s="2">
        <f>IFERROR(VLOOKUP(A1627,IMPORT_DESISTENCIA!$A$2:$Q2273,14,0),"NÃO")</f>
        <v>0</v>
      </c>
      <c r="T1627" s="35"/>
    </row>
    <row r="1628" spans="1:20" ht="45" customHeight="1" x14ac:dyDescent="0.25">
      <c r="A1628" s="2" t="str">
        <f t="shared" si="1"/>
        <v/>
      </c>
      <c r="B1628" s="2"/>
      <c r="C1628" s="43"/>
      <c r="D1628" s="2"/>
      <c r="E1628" s="2"/>
      <c r="F1628" s="2"/>
      <c r="G1628" s="11"/>
      <c r="H1628" s="11"/>
      <c r="I1628" s="2"/>
      <c r="J1628" s="2"/>
      <c r="K1628" s="2"/>
      <c r="L1628" s="10"/>
      <c r="M1628" s="9"/>
      <c r="N1628" s="2"/>
      <c r="O1628" s="2"/>
      <c r="P1628" s="2"/>
      <c r="Q1628" s="50"/>
      <c r="R1628" s="50"/>
      <c r="S1628" s="2">
        <f>IFERROR(VLOOKUP(A1628,IMPORT_DESISTENCIA!$A$2:$Q2273,14,0),"NÃO")</f>
        <v>0</v>
      </c>
      <c r="T1628" s="35"/>
    </row>
    <row r="1629" spans="1:20" ht="45" customHeight="1" x14ac:dyDescent="0.25">
      <c r="A1629" s="2" t="str">
        <f t="shared" si="1"/>
        <v/>
      </c>
      <c r="B1629" s="2"/>
      <c r="C1629" s="43"/>
      <c r="D1629" s="2"/>
      <c r="E1629" s="2"/>
      <c r="F1629" s="2"/>
      <c r="G1629" s="11"/>
      <c r="H1629" s="11"/>
      <c r="I1629" s="2"/>
      <c r="J1629" s="2"/>
      <c r="K1629" s="2"/>
      <c r="L1629" s="10"/>
      <c r="M1629" s="9"/>
      <c r="N1629" s="2"/>
      <c r="O1629" s="2"/>
      <c r="P1629" s="2"/>
      <c r="Q1629" s="50"/>
      <c r="R1629" s="50"/>
      <c r="S1629" s="2">
        <f>IFERROR(VLOOKUP(A1629,IMPORT_DESISTENCIA!$A$2:$Q2273,14,0),"NÃO")</f>
        <v>0</v>
      </c>
      <c r="T1629" s="35"/>
    </row>
    <row r="1630" spans="1:20" ht="45" customHeight="1" x14ac:dyDescent="0.25">
      <c r="A1630" s="2" t="str">
        <f t="shared" si="1"/>
        <v/>
      </c>
      <c r="B1630" s="2"/>
      <c r="C1630" s="43"/>
      <c r="D1630" s="2"/>
      <c r="E1630" s="2"/>
      <c r="F1630" s="2"/>
      <c r="G1630" s="11"/>
      <c r="H1630" s="11"/>
      <c r="I1630" s="2"/>
      <c r="J1630" s="2"/>
      <c r="K1630" s="2"/>
      <c r="L1630" s="10"/>
      <c r="M1630" s="9"/>
      <c r="N1630" s="2"/>
      <c r="O1630" s="2"/>
      <c r="P1630" s="2"/>
      <c r="Q1630" s="50"/>
      <c r="R1630" s="50"/>
      <c r="S1630" s="2">
        <f>IFERROR(VLOOKUP(A1630,IMPORT_DESISTENCIA!$A$2:$Q2273,14,0),"NÃO")</f>
        <v>0</v>
      </c>
      <c r="T1630" s="35"/>
    </row>
    <row r="1631" spans="1:20" ht="45" customHeight="1" x14ac:dyDescent="0.25">
      <c r="A1631" s="2" t="str">
        <f t="shared" si="1"/>
        <v/>
      </c>
      <c r="B1631" s="2"/>
      <c r="C1631" s="43"/>
      <c r="D1631" s="2"/>
      <c r="E1631" s="2"/>
      <c r="F1631" s="2"/>
      <c r="G1631" s="11"/>
      <c r="H1631" s="11"/>
      <c r="I1631" s="2"/>
      <c r="J1631" s="2"/>
      <c r="K1631" s="2"/>
      <c r="L1631" s="10"/>
      <c r="M1631" s="9"/>
      <c r="N1631" s="2"/>
      <c r="O1631" s="2"/>
      <c r="P1631" s="2"/>
      <c r="Q1631" s="50"/>
      <c r="R1631" s="50"/>
      <c r="S1631" s="2">
        <f>IFERROR(VLOOKUP(A1631,IMPORT_DESISTENCIA!$A$2:$Q2273,14,0),"NÃO")</f>
        <v>0</v>
      </c>
      <c r="T1631" s="35"/>
    </row>
    <row r="1632" spans="1:20" ht="45" customHeight="1" x14ac:dyDescent="0.25">
      <c r="A1632" s="2" t="str">
        <f t="shared" si="1"/>
        <v/>
      </c>
      <c r="B1632" s="2"/>
      <c r="C1632" s="43"/>
      <c r="D1632" s="2"/>
      <c r="E1632" s="2"/>
      <c r="F1632" s="2"/>
      <c r="G1632" s="11"/>
      <c r="H1632" s="11"/>
      <c r="I1632" s="2"/>
      <c r="J1632" s="2"/>
      <c r="K1632" s="2"/>
      <c r="L1632" s="10"/>
      <c r="M1632" s="9"/>
      <c r="N1632" s="2"/>
      <c r="O1632" s="2"/>
      <c r="P1632" s="2"/>
      <c r="Q1632" s="50"/>
      <c r="R1632" s="50"/>
      <c r="S1632" s="2">
        <f>IFERROR(VLOOKUP(A1632,IMPORT_DESISTENCIA!$A$2:$Q2273,14,0),"NÃO")</f>
        <v>0</v>
      </c>
      <c r="T1632" s="35"/>
    </row>
    <row r="1633" spans="1:20" ht="45" customHeight="1" x14ac:dyDescent="0.25">
      <c r="A1633" s="2" t="str">
        <f t="shared" si="1"/>
        <v/>
      </c>
      <c r="B1633" s="2"/>
      <c r="C1633" s="43"/>
      <c r="D1633" s="2"/>
      <c r="E1633" s="2"/>
      <c r="F1633" s="2"/>
      <c r="G1633" s="11"/>
      <c r="H1633" s="11"/>
      <c r="I1633" s="2"/>
      <c r="J1633" s="2"/>
      <c r="K1633" s="2"/>
      <c r="L1633" s="10"/>
      <c r="M1633" s="9"/>
      <c r="N1633" s="2"/>
      <c r="O1633" s="2"/>
      <c r="P1633" s="2"/>
      <c r="Q1633" s="50"/>
      <c r="R1633" s="50"/>
      <c r="S1633" s="2">
        <f>IFERROR(VLOOKUP(A1633,IMPORT_DESISTENCIA!$A$2:$Q2273,14,0),"NÃO")</f>
        <v>0</v>
      </c>
      <c r="T1633" s="35"/>
    </row>
    <row r="1634" spans="1:20" ht="45" customHeight="1" x14ac:dyDescent="0.25">
      <c r="A1634" s="2" t="str">
        <f t="shared" si="1"/>
        <v/>
      </c>
      <c r="B1634" s="2"/>
      <c r="C1634" s="43"/>
      <c r="D1634" s="2"/>
      <c r="E1634" s="2"/>
      <c r="F1634" s="2"/>
      <c r="G1634" s="11"/>
      <c r="H1634" s="11"/>
      <c r="I1634" s="2"/>
      <c r="J1634" s="2"/>
      <c r="K1634" s="2"/>
      <c r="L1634" s="10"/>
      <c r="M1634" s="9"/>
      <c r="N1634" s="2"/>
      <c r="O1634" s="2"/>
      <c r="P1634" s="2"/>
      <c r="Q1634" s="50"/>
      <c r="R1634" s="50"/>
      <c r="S1634" s="2">
        <f>IFERROR(VLOOKUP(A1634,IMPORT_DESISTENCIA!$A$2:$Q2273,14,0),"NÃO")</f>
        <v>0</v>
      </c>
      <c r="T1634" s="35"/>
    </row>
    <row r="1635" spans="1:20" ht="45" customHeight="1" x14ac:dyDescent="0.25">
      <c r="A1635" s="2" t="str">
        <f t="shared" si="1"/>
        <v/>
      </c>
      <c r="B1635" s="2"/>
      <c r="C1635" s="43"/>
      <c r="D1635" s="2"/>
      <c r="E1635" s="2"/>
      <c r="F1635" s="2"/>
      <c r="G1635" s="11"/>
      <c r="H1635" s="11"/>
      <c r="I1635" s="2"/>
      <c r="J1635" s="2"/>
      <c r="K1635" s="2"/>
      <c r="L1635" s="10"/>
      <c r="M1635" s="9"/>
      <c r="N1635" s="2"/>
      <c r="O1635" s="2"/>
      <c r="P1635" s="2"/>
      <c r="Q1635" s="50"/>
      <c r="R1635" s="50"/>
      <c r="S1635" s="2">
        <f>IFERROR(VLOOKUP(A1635,IMPORT_DESISTENCIA!$A$2:$Q2273,14,0),"NÃO")</f>
        <v>0</v>
      </c>
      <c r="T1635" s="35"/>
    </row>
    <row r="1636" spans="1:20" ht="45" customHeight="1" x14ac:dyDescent="0.25">
      <c r="A1636" s="2" t="str">
        <f t="shared" si="1"/>
        <v/>
      </c>
      <c r="B1636" s="2"/>
      <c r="C1636" s="43"/>
      <c r="D1636" s="2"/>
      <c r="E1636" s="2"/>
      <c r="F1636" s="2"/>
      <c r="G1636" s="11"/>
      <c r="H1636" s="11"/>
      <c r="I1636" s="2"/>
      <c r="J1636" s="2"/>
      <c r="K1636" s="2"/>
      <c r="L1636" s="10"/>
      <c r="M1636" s="9"/>
      <c r="N1636" s="2"/>
      <c r="O1636" s="2"/>
      <c r="P1636" s="2"/>
      <c r="Q1636" s="50"/>
      <c r="R1636" s="50"/>
      <c r="S1636" s="2">
        <f>IFERROR(VLOOKUP(A1636,IMPORT_DESISTENCIA!$A$2:$Q2273,14,0),"NÃO")</f>
        <v>0</v>
      </c>
      <c r="T1636" s="35"/>
    </row>
    <row r="1637" spans="1:20" ht="45" customHeight="1" x14ac:dyDescent="0.25">
      <c r="A1637" s="2" t="str">
        <f t="shared" si="1"/>
        <v/>
      </c>
      <c r="B1637" s="2"/>
      <c r="C1637" s="43"/>
      <c r="D1637" s="2"/>
      <c r="E1637" s="2"/>
      <c r="F1637" s="2"/>
      <c r="G1637" s="11"/>
      <c r="H1637" s="11"/>
      <c r="I1637" s="2"/>
      <c r="J1637" s="2"/>
      <c r="K1637" s="2"/>
      <c r="L1637" s="10"/>
      <c r="M1637" s="9"/>
      <c r="N1637" s="2"/>
      <c r="O1637" s="2"/>
      <c r="P1637" s="2"/>
      <c r="Q1637" s="50"/>
      <c r="R1637" s="50"/>
      <c r="S1637" s="2">
        <f>IFERROR(VLOOKUP(A1637,IMPORT_DESISTENCIA!$A$2:$Q2273,14,0),"NÃO")</f>
        <v>0</v>
      </c>
      <c r="T1637" s="35"/>
    </row>
    <row r="1638" spans="1:20" ht="45" customHeight="1" x14ac:dyDescent="0.25">
      <c r="A1638" s="2" t="str">
        <f t="shared" si="1"/>
        <v/>
      </c>
      <c r="B1638" s="2"/>
      <c r="C1638" s="43"/>
      <c r="D1638" s="2"/>
      <c r="E1638" s="2"/>
      <c r="F1638" s="2"/>
      <c r="G1638" s="11"/>
      <c r="H1638" s="11"/>
      <c r="I1638" s="2"/>
      <c r="J1638" s="2"/>
      <c r="K1638" s="2"/>
      <c r="L1638" s="10"/>
      <c r="M1638" s="9"/>
      <c r="N1638" s="2"/>
      <c r="O1638" s="2"/>
      <c r="P1638" s="2"/>
      <c r="Q1638" s="50"/>
      <c r="R1638" s="50"/>
      <c r="S1638" s="2">
        <f>IFERROR(VLOOKUP(A1638,IMPORT_DESISTENCIA!$A$2:$Q2273,14,0),"NÃO")</f>
        <v>0</v>
      </c>
      <c r="T1638" s="35"/>
    </row>
    <row r="1639" spans="1:20" ht="45" customHeight="1" x14ac:dyDescent="0.25">
      <c r="A1639" s="2" t="str">
        <f t="shared" si="1"/>
        <v/>
      </c>
      <c r="B1639" s="2"/>
      <c r="C1639" s="43"/>
      <c r="D1639" s="2"/>
      <c r="E1639" s="2"/>
      <c r="F1639" s="2"/>
      <c r="G1639" s="11"/>
      <c r="H1639" s="11"/>
      <c r="I1639" s="2"/>
      <c r="J1639" s="2"/>
      <c r="K1639" s="2"/>
      <c r="L1639" s="10"/>
      <c r="M1639" s="9"/>
      <c r="N1639" s="2"/>
      <c r="O1639" s="2"/>
      <c r="P1639" s="2"/>
      <c r="Q1639" s="50"/>
      <c r="R1639" s="50"/>
      <c r="S1639" s="2">
        <f>IFERROR(VLOOKUP(A1639,IMPORT_DESISTENCIA!$A$2:$Q2273,14,0),"NÃO")</f>
        <v>0</v>
      </c>
      <c r="T1639" s="35"/>
    </row>
    <row r="1640" spans="1:20" ht="45" customHeight="1" x14ac:dyDescent="0.25">
      <c r="A1640" s="2" t="str">
        <f t="shared" si="1"/>
        <v/>
      </c>
      <c r="B1640" s="2"/>
      <c r="C1640" s="43"/>
      <c r="D1640" s="2"/>
      <c r="E1640" s="2"/>
      <c r="F1640" s="2"/>
      <c r="G1640" s="11"/>
      <c r="H1640" s="11"/>
      <c r="I1640" s="2"/>
      <c r="J1640" s="2"/>
      <c r="K1640" s="2"/>
      <c r="L1640" s="10"/>
      <c r="M1640" s="9"/>
      <c r="N1640" s="2"/>
      <c r="O1640" s="2"/>
      <c r="P1640" s="2"/>
      <c r="Q1640" s="50"/>
      <c r="R1640" s="50"/>
      <c r="S1640" s="2">
        <f>IFERROR(VLOOKUP(A1640,IMPORT_DESISTENCIA!$A$2:$Q2273,14,0),"NÃO")</f>
        <v>0</v>
      </c>
      <c r="T1640" s="35"/>
    </row>
    <row r="1641" spans="1:20" ht="45" customHeight="1" x14ac:dyDescent="0.25">
      <c r="A1641" s="2" t="str">
        <f t="shared" si="1"/>
        <v/>
      </c>
      <c r="B1641" s="2"/>
      <c r="C1641" s="43"/>
      <c r="D1641" s="2"/>
      <c r="E1641" s="2"/>
      <c r="F1641" s="2"/>
      <c r="G1641" s="11"/>
      <c r="H1641" s="11"/>
      <c r="I1641" s="2"/>
      <c r="J1641" s="2"/>
      <c r="K1641" s="2"/>
      <c r="L1641" s="10"/>
      <c r="M1641" s="9"/>
      <c r="N1641" s="2"/>
      <c r="O1641" s="2"/>
      <c r="P1641" s="2"/>
      <c r="Q1641" s="50"/>
      <c r="R1641" s="50"/>
      <c r="S1641" s="2">
        <f>IFERROR(VLOOKUP(A1641,IMPORT_DESISTENCIA!$A$2:$Q2273,14,0),"NÃO")</f>
        <v>0</v>
      </c>
      <c r="T1641" s="35"/>
    </row>
    <row r="1642" spans="1:20" ht="45" customHeight="1" x14ac:dyDescent="0.25">
      <c r="A1642" s="2" t="str">
        <f t="shared" si="1"/>
        <v/>
      </c>
      <c r="B1642" s="2"/>
      <c r="C1642" s="43"/>
      <c r="D1642" s="2"/>
      <c r="E1642" s="2"/>
      <c r="F1642" s="2"/>
      <c r="G1642" s="11"/>
      <c r="H1642" s="11"/>
      <c r="I1642" s="2"/>
      <c r="J1642" s="2"/>
      <c r="K1642" s="2"/>
      <c r="L1642" s="10"/>
      <c r="M1642" s="9"/>
      <c r="N1642" s="2"/>
      <c r="O1642" s="2"/>
      <c r="P1642" s="2"/>
      <c r="Q1642" s="50"/>
      <c r="R1642" s="50"/>
      <c r="S1642" s="2">
        <f>IFERROR(VLOOKUP(A1642,IMPORT_DESISTENCIA!$A$2:$Q2273,14,0),"NÃO")</f>
        <v>0</v>
      </c>
      <c r="T1642" s="35"/>
    </row>
    <row r="1643" spans="1:20" ht="45" customHeight="1" x14ac:dyDescent="0.25">
      <c r="A1643" s="2" t="str">
        <f t="shared" si="1"/>
        <v/>
      </c>
      <c r="B1643" s="2"/>
      <c r="C1643" s="43"/>
      <c r="D1643" s="2"/>
      <c r="E1643" s="2"/>
      <c r="F1643" s="2"/>
      <c r="G1643" s="11"/>
      <c r="H1643" s="11"/>
      <c r="I1643" s="2"/>
      <c r="J1643" s="2"/>
      <c r="K1643" s="2"/>
      <c r="L1643" s="10"/>
      <c r="M1643" s="9"/>
      <c r="N1643" s="2"/>
      <c r="O1643" s="2"/>
      <c r="P1643" s="2"/>
      <c r="Q1643" s="50"/>
      <c r="R1643" s="50"/>
      <c r="S1643" s="2">
        <f>IFERROR(VLOOKUP(A1643,IMPORT_DESISTENCIA!$A$2:$Q2273,14,0),"NÃO")</f>
        <v>0</v>
      </c>
      <c r="T1643" s="35"/>
    </row>
    <row r="1644" spans="1:20" ht="45" customHeight="1" x14ac:dyDescent="0.25">
      <c r="A1644" s="2" t="str">
        <f t="shared" si="1"/>
        <v/>
      </c>
      <c r="B1644" s="2"/>
      <c r="C1644" s="43"/>
      <c r="D1644" s="2"/>
      <c r="E1644" s="2"/>
      <c r="F1644" s="2"/>
      <c r="G1644" s="11"/>
      <c r="H1644" s="11"/>
      <c r="I1644" s="2"/>
      <c r="J1644" s="2"/>
      <c r="K1644" s="2"/>
      <c r="L1644" s="10"/>
      <c r="M1644" s="9"/>
      <c r="N1644" s="2"/>
      <c r="O1644" s="2"/>
      <c r="P1644" s="2"/>
      <c r="Q1644" s="50"/>
      <c r="R1644" s="50"/>
      <c r="S1644" s="2">
        <f>IFERROR(VLOOKUP(A1644,IMPORT_DESISTENCIA!$A$2:$Q2273,14,0),"NÃO")</f>
        <v>0</v>
      </c>
      <c r="T1644" s="35"/>
    </row>
    <row r="1645" spans="1:20" ht="45" customHeight="1" x14ac:dyDescent="0.25">
      <c r="A1645" s="2" t="str">
        <f t="shared" si="1"/>
        <v/>
      </c>
      <c r="B1645" s="2"/>
      <c r="C1645" s="43"/>
      <c r="D1645" s="2"/>
      <c r="E1645" s="2"/>
      <c r="F1645" s="2"/>
      <c r="G1645" s="11"/>
      <c r="H1645" s="11"/>
      <c r="I1645" s="2"/>
      <c r="J1645" s="2"/>
      <c r="K1645" s="2"/>
      <c r="L1645" s="10"/>
      <c r="M1645" s="9"/>
      <c r="N1645" s="2"/>
      <c r="O1645" s="2"/>
      <c r="P1645" s="2"/>
      <c r="Q1645" s="50"/>
      <c r="R1645" s="50"/>
      <c r="S1645" s="2">
        <f>IFERROR(VLOOKUP(A1645,IMPORT_DESISTENCIA!$A$2:$Q2273,14,0),"NÃO")</f>
        <v>0</v>
      </c>
      <c r="T1645" s="35"/>
    </row>
    <row r="1646" spans="1:20" ht="45" customHeight="1" x14ac:dyDescent="0.25">
      <c r="A1646" s="2" t="str">
        <f t="shared" si="1"/>
        <v/>
      </c>
      <c r="B1646" s="2"/>
      <c r="C1646" s="43"/>
      <c r="D1646" s="2"/>
      <c r="E1646" s="2"/>
      <c r="F1646" s="2"/>
      <c r="G1646" s="11"/>
      <c r="H1646" s="11"/>
      <c r="I1646" s="2"/>
      <c r="J1646" s="2"/>
      <c r="K1646" s="2"/>
      <c r="L1646" s="10"/>
      <c r="M1646" s="9"/>
      <c r="N1646" s="2"/>
      <c r="O1646" s="2"/>
      <c r="P1646" s="2"/>
      <c r="Q1646" s="50"/>
      <c r="R1646" s="50"/>
      <c r="S1646" s="2">
        <f>IFERROR(VLOOKUP(A1646,IMPORT_DESISTENCIA!$A$2:$Q2273,14,0),"NÃO")</f>
        <v>0</v>
      </c>
      <c r="T1646" s="35"/>
    </row>
    <row r="1647" spans="1:20" ht="45" customHeight="1" x14ac:dyDescent="0.25">
      <c r="A1647" s="2" t="str">
        <f t="shared" si="1"/>
        <v/>
      </c>
      <c r="B1647" s="2"/>
      <c r="C1647" s="43"/>
      <c r="D1647" s="2"/>
      <c r="E1647" s="2"/>
      <c r="F1647" s="2"/>
      <c r="G1647" s="11"/>
      <c r="H1647" s="11"/>
      <c r="I1647" s="2"/>
      <c r="J1647" s="2"/>
      <c r="K1647" s="2"/>
      <c r="L1647" s="10"/>
      <c r="M1647" s="9"/>
      <c r="N1647" s="2"/>
      <c r="O1647" s="2"/>
      <c r="P1647" s="2"/>
      <c r="Q1647" s="50"/>
      <c r="R1647" s="50"/>
      <c r="S1647" s="2">
        <f>IFERROR(VLOOKUP(A1647,IMPORT_DESISTENCIA!$A$2:$Q2273,14,0),"NÃO")</f>
        <v>0</v>
      </c>
      <c r="T1647" s="35"/>
    </row>
    <row r="1648" spans="1:20" ht="45" customHeight="1" x14ac:dyDescent="0.25">
      <c r="A1648" s="2" t="str">
        <f t="shared" si="1"/>
        <v/>
      </c>
      <c r="B1648" s="2"/>
      <c r="C1648" s="43"/>
      <c r="D1648" s="2"/>
      <c r="E1648" s="2"/>
      <c r="F1648" s="2"/>
      <c r="G1648" s="11"/>
      <c r="H1648" s="11"/>
      <c r="I1648" s="2"/>
      <c r="J1648" s="2"/>
      <c r="K1648" s="2"/>
      <c r="L1648" s="10"/>
      <c r="M1648" s="9"/>
      <c r="N1648" s="2"/>
      <c r="O1648" s="2"/>
      <c r="P1648" s="2"/>
      <c r="Q1648" s="50"/>
      <c r="R1648" s="50"/>
      <c r="S1648" s="2">
        <f>IFERROR(VLOOKUP(A1648,IMPORT_DESISTENCIA!$A$2:$Q2273,14,0),"NÃO")</f>
        <v>0</v>
      </c>
      <c r="T1648" s="35"/>
    </row>
    <row r="1649" spans="1:20" ht="45" customHeight="1" x14ac:dyDescent="0.25">
      <c r="A1649" s="2" t="str">
        <f t="shared" si="1"/>
        <v/>
      </c>
      <c r="B1649" s="2"/>
      <c r="C1649" s="43"/>
      <c r="D1649" s="2"/>
      <c r="E1649" s="2"/>
      <c r="F1649" s="2"/>
      <c r="G1649" s="11"/>
      <c r="H1649" s="11"/>
      <c r="I1649" s="2"/>
      <c r="J1649" s="2"/>
      <c r="K1649" s="2"/>
      <c r="L1649" s="10"/>
      <c r="M1649" s="9"/>
      <c r="N1649" s="2"/>
      <c r="O1649" s="2"/>
      <c r="P1649" s="2"/>
      <c r="Q1649" s="50"/>
      <c r="R1649" s="50"/>
      <c r="S1649" s="2">
        <f>IFERROR(VLOOKUP(A1649,IMPORT_DESISTENCIA!$A$2:$Q2273,14,0),"NÃO")</f>
        <v>0</v>
      </c>
      <c r="T1649" s="35"/>
    </row>
    <row r="1650" spans="1:20" ht="45" customHeight="1" x14ac:dyDescent="0.25">
      <c r="A1650" s="2" t="str">
        <f t="shared" si="1"/>
        <v/>
      </c>
      <c r="B1650" s="2"/>
      <c r="C1650" s="43"/>
      <c r="D1650" s="2"/>
      <c r="E1650" s="2"/>
      <c r="F1650" s="2"/>
      <c r="G1650" s="11"/>
      <c r="H1650" s="11"/>
      <c r="I1650" s="2"/>
      <c r="J1650" s="2"/>
      <c r="K1650" s="2"/>
      <c r="L1650" s="10"/>
      <c r="M1650" s="9"/>
      <c r="N1650" s="2"/>
      <c r="O1650" s="2"/>
      <c r="P1650" s="2"/>
      <c r="Q1650" s="50"/>
      <c r="R1650" s="50"/>
      <c r="S1650" s="2">
        <f>IFERROR(VLOOKUP(A1650,IMPORT_DESISTENCIA!$A$2:$Q2273,14,0),"NÃO")</f>
        <v>0</v>
      </c>
      <c r="T1650" s="35"/>
    </row>
    <row r="1651" spans="1:20" ht="45" customHeight="1" x14ac:dyDescent="0.25">
      <c r="A1651" s="2" t="str">
        <f t="shared" si="1"/>
        <v/>
      </c>
      <c r="B1651" s="2"/>
      <c r="C1651" s="43"/>
      <c r="D1651" s="2"/>
      <c r="E1651" s="2"/>
      <c r="F1651" s="2"/>
      <c r="G1651" s="11"/>
      <c r="H1651" s="11"/>
      <c r="I1651" s="2"/>
      <c r="J1651" s="2"/>
      <c r="K1651" s="2"/>
      <c r="L1651" s="10"/>
      <c r="M1651" s="9"/>
      <c r="N1651" s="2"/>
      <c r="O1651" s="2"/>
      <c r="P1651" s="2"/>
      <c r="Q1651" s="50"/>
      <c r="R1651" s="50"/>
      <c r="S1651" s="2">
        <f>IFERROR(VLOOKUP(A1651,IMPORT_DESISTENCIA!$A$2:$Q2273,14,0),"NÃO")</f>
        <v>0</v>
      </c>
      <c r="T1651" s="35"/>
    </row>
    <row r="1652" spans="1:20" ht="45" customHeight="1" x14ac:dyDescent="0.25">
      <c r="A1652" s="2" t="str">
        <f t="shared" si="1"/>
        <v/>
      </c>
      <c r="B1652" s="2"/>
      <c r="C1652" s="43"/>
      <c r="D1652" s="2"/>
      <c r="E1652" s="2"/>
      <c r="F1652" s="2"/>
      <c r="G1652" s="11"/>
      <c r="H1652" s="11"/>
      <c r="I1652" s="2"/>
      <c r="J1652" s="2"/>
      <c r="K1652" s="2"/>
      <c r="L1652" s="10"/>
      <c r="M1652" s="9"/>
      <c r="N1652" s="2"/>
      <c r="O1652" s="2"/>
      <c r="P1652" s="2"/>
      <c r="Q1652" s="50"/>
      <c r="R1652" s="50"/>
      <c r="S1652" s="2">
        <f>IFERROR(VLOOKUP(A1652,IMPORT_DESISTENCIA!$A$2:$Q2273,14,0),"NÃO")</f>
        <v>0</v>
      </c>
      <c r="T1652" s="35"/>
    </row>
    <row r="1653" spans="1:20" ht="45" customHeight="1" x14ac:dyDescent="0.25">
      <c r="A1653" s="2" t="str">
        <f t="shared" si="1"/>
        <v/>
      </c>
      <c r="B1653" s="2"/>
      <c r="C1653" s="43"/>
      <c r="D1653" s="2"/>
      <c r="E1653" s="2"/>
      <c r="F1653" s="2"/>
      <c r="G1653" s="11"/>
      <c r="H1653" s="11"/>
      <c r="I1653" s="2"/>
      <c r="J1653" s="2"/>
      <c r="K1653" s="2"/>
      <c r="L1653" s="10"/>
      <c r="M1653" s="9"/>
      <c r="N1653" s="2"/>
      <c r="O1653" s="2"/>
      <c r="P1653" s="2"/>
      <c r="Q1653" s="50"/>
      <c r="R1653" s="50"/>
      <c r="S1653" s="2">
        <f>IFERROR(VLOOKUP(A1653,IMPORT_DESISTENCIA!$A$2:$Q2273,14,0),"NÃO")</f>
        <v>0</v>
      </c>
      <c r="T1653" s="35"/>
    </row>
    <row r="1654" spans="1:20" ht="45" customHeight="1" x14ac:dyDescent="0.25">
      <c r="A1654" s="2" t="str">
        <f t="shared" si="1"/>
        <v/>
      </c>
      <c r="B1654" s="2"/>
      <c r="C1654" s="43"/>
      <c r="D1654" s="2"/>
      <c r="E1654" s="2"/>
      <c r="F1654" s="2"/>
      <c r="G1654" s="11"/>
      <c r="H1654" s="11"/>
      <c r="I1654" s="2"/>
      <c r="J1654" s="2"/>
      <c r="K1654" s="2"/>
      <c r="L1654" s="10"/>
      <c r="M1654" s="9"/>
      <c r="N1654" s="2"/>
      <c r="O1654" s="2"/>
      <c r="P1654" s="2"/>
      <c r="Q1654" s="50"/>
      <c r="R1654" s="50"/>
      <c r="S1654" s="2">
        <f>IFERROR(VLOOKUP(A1654,IMPORT_DESISTENCIA!$A$2:$Q2273,14,0),"NÃO")</f>
        <v>0</v>
      </c>
      <c r="T1654" s="35"/>
    </row>
    <row r="1655" spans="1:20" ht="45" customHeight="1" x14ac:dyDescent="0.25">
      <c r="A1655" s="2" t="str">
        <f t="shared" si="1"/>
        <v/>
      </c>
      <c r="B1655" s="2"/>
      <c r="C1655" s="43"/>
      <c r="D1655" s="2"/>
      <c r="E1655" s="2"/>
      <c r="F1655" s="2"/>
      <c r="G1655" s="11"/>
      <c r="H1655" s="11"/>
      <c r="I1655" s="2"/>
      <c r="J1655" s="2"/>
      <c r="K1655" s="2"/>
      <c r="L1655" s="10"/>
      <c r="M1655" s="9"/>
      <c r="N1655" s="2"/>
      <c r="O1655" s="2"/>
      <c r="P1655" s="2"/>
      <c r="Q1655" s="50"/>
      <c r="R1655" s="50"/>
      <c r="S1655" s="2">
        <f>IFERROR(VLOOKUP(A1655,IMPORT_DESISTENCIA!$A$2:$Q2273,14,0),"NÃO")</f>
        <v>0</v>
      </c>
      <c r="T1655" s="35"/>
    </row>
    <row r="1656" spans="1:20" ht="45" customHeight="1" x14ac:dyDescent="0.25">
      <c r="A1656" s="2" t="str">
        <f t="shared" si="1"/>
        <v/>
      </c>
      <c r="B1656" s="2"/>
      <c r="C1656" s="43"/>
      <c r="D1656" s="2"/>
      <c r="E1656" s="2"/>
      <c r="F1656" s="2"/>
      <c r="G1656" s="11"/>
      <c r="H1656" s="11"/>
      <c r="I1656" s="2"/>
      <c r="J1656" s="2"/>
      <c r="K1656" s="2"/>
      <c r="L1656" s="10"/>
      <c r="M1656" s="9"/>
      <c r="N1656" s="2"/>
      <c r="O1656" s="2"/>
      <c r="P1656" s="2"/>
      <c r="Q1656" s="50"/>
      <c r="R1656" s="50"/>
      <c r="S1656" s="2">
        <f>IFERROR(VLOOKUP(A1656,IMPORT_DESISTENCIA!$A$2:$Q2273,14,0),"NÃO")</f>
        <v>0</v>
      </c>
      <c r="T1656" s="35"/>
    </row>
    <row r="1657" spans="1:20" ht="45" customHeight="1" x14ac:dyDescent="0.25">
      <c r="A1657" s="2" t="str">
        <f t="shared" si="1"/>
        <v/>
      </c>
      <c r="B1657" s="2"/>
      <c r="C1657" s="43"/>
      <c r="D1657" s="2"/>
      <c r="E1657" s="2"/>
      <c r="F1657" s="2"/>
      <c r="G1657" s="11"/>
      <c r="H1657" s="11"/>
      <c r="I1657" s="2"/>
      <c r="J1657" s="2"/>
      <c r="K1657" s="2"/>
      <c r="L1657" s="10"/>
      <c r="M1657" s="9"/>
      <c r="N1657" s="2"/>
      <c r="O1657" s="2"/>
      <c r="P1657" s="2"/>
      <c r="Q1657" s="50"/>
      <c r="R1657" s="50"/>
      <c r="S1657" s="2">
        <f>IFERROR(VLOOKUP(A1657,IMPORT_DESISTENCIA!$A$2:$Q2273,14,0),"NÃO")</f>
        <v>0</v>
      </c>
      <c r="T1657" s="35"/>
    </row>
    <row r="1658" spans="1:20" ht="45" customHeight="1" x14ac:dyDescent="0.25">
      <c r="A1658" s="2" t="str">
        <f t="shared" si="1"/>
        <v/>
      </c>
      <c r="B1658" s="2"/>
      <c r="C1658" s="43"/>
      <c r="D1658" s="2"/>
      <c r="E1658" s="2"/>
      <c r="F1658" s="2"/>
      <c r="G1658" s="11"/>
      <c r="H1658" s="11"/>
      <c r="I1658" s="2"/>
      <c r="J1658" s="2"/>
      <c r="K1658" s="2"/>
      <c r="L1658" s="10"/>
      <c r="M1658" s="9"/>
      <c r="N1658" s="2"/>
      <c r="O1658" s="2"/>
      <c r="P1658" s="2"/>
      <c r="Q1658" s="50"/>
      <c r="R1658" s="50"/>
      <c r="S1658" s="2">
        <f>IFERROR(VLOOKUP(A1658,IMPORT_DESISTENCIA!$A$2:$Q2273,14,0),"NÃO")</f>
        <v>0</v>
      </c>
      <c r="T1658" s="35"/>
    </row>
    <row r="1659" spans="1:20" ht="45" customHeight="1" x14ac:dyDescent="0.25">
      <c r="A1659" s="2" t="str">
        <f t="shared" si="1"/>
        <v/>
      </c>
      <c r="B1659" s="2"/>
      <c r="C1659" s="43"/>
      <c r="D1659" s="2"/>
      <c r="E1659" s="2"/>
      <c r="F1659" s="2"/>
      <c r="G1659" s="11"/>
      <c r="H1659" s="11"/>
      <c r="I1659" s="2"/>
      <c r="J1659" s="2"/>
      <c r="K1659" s="2"/>
      <c r="L1659" s="10"/>
      <c r="M1659" s="9"/>
      <c r="N1659" s="2"/>
      <c r="O1659" s="2"/>
      <c r="P1659" s="2"/>
      <c r="Q1659" s="50"/>
      <c r="R1659" s="50"/>
      <c r="S1659" s="2">
        <f>IFERROR(VLOOKUP(A1659,IMPORT_DESISTENCIA!$A$2:$Q2273,14,0),"NÃO")</f>
        <v>0</v>
      </c>
      <c r="T1659" s="35"/>
    </row>
    <row r="1660" spans="1:20" ht="45" customHeight="1" x14ac:dyDescent="0.25">
      <c r="A1660" s="2" t="str">
        <f t="shared" si="1"/>
        <v/>
      </c>
      <c r="B1660" s="2"/>
      <c r="C1660" s="43"/>
      <c r="D1660" s="2"/>
      <c r="E1660" s="2"/>
      <c r="F1660" s="2"/>
      <c r="G1660" s="11"/>
      <c r="H1660" s="11"/>
      <c r="I1660" s="2"/>
      <c r="J1660" s="2"/>
      <c r="K1660" s="2"/>
      <c r="L1660" s="10"/>
      <c r="M1660" s="9"/>
      <c r="N1660" s="2"/>
      <c r="O1660" s="2"/>
      <c r="P1660" s="2"/>
      <c r="Q1660" s="50"/>
      <c r="R1660" s="50"/>
      <c r="S1660" s="2">
        <f>IFERROR(VLOOKUP(A1660,IMPORT_DESISTENCIA!$A$2:$Q2273,14,0),"NÃO")</f>
        <v>0</v>
      </c>
      <c r="T1660" s="35"/>
    </row>
    <row r="1661" spans="1:20" ht="45" customHeight="1" x14ac:dyDescent="0.25">
      <c r="A1661" s="2" t="str">
        <f t="shared" si="1"/>
        <v/>
      </c>
      <c r="B1661" s="2"/>
      <c r="C1661" s="43"/>
      <c r="D1661" s="2"/>
      <c r="E1661" s="2"/>
      <c r="F1661" s="2"/>
      <c r="G1661" s="11"/>
      <c r="H1661" s="11"/>
      <c r="I1661" s="2"/>
      <c r="J1661" s="2"/>
      <c r="K1661" s="2"/>
      <c r="L1661" s="10"/>
      <c r="M1661" s="9"/>
      <c r="N1661" s="2"/>
      <c r="O1661" s="2"/>
      <c r="P1661" s="2"/>
      <c r="Q1661" s="50"/>
      <c r="R1661" s="50"/>
      <c r="S1661" s="2">
        <f>IFERROR(VLOOKUP(A1661,IMPORT_DESISTENCIA!$A$2:$Q2273,14,0),"NÃO")</f>
        <v>0</v>
      </c>
      <c r="T1661" s="35"/>
    </row>
    <row r="1662" spans="1:20" ht="45" customHeight="1" x14ac:dyDescent="0.25">
      <c r="A1662" s="2" t="str">
        <f t="shared" si="1"/>
        <v/>
      </c>
      <c r="B1662" s="2"/>
      <c r="C1662" s="43"/>
      <c r="D1662" s="2"/>
      <c r="E1662" s="2"/>
      <c r="F1662" s="2"/>
      <c r="G1662" s="11"/>
      <c r="H1662" s="11"/>
      <c r="I1662" s="2"/>
      <c r="J1662" s="2"/>
      <c r="K1662" s="2"/>
      <c r="L1662" s="10"/>
      <c r="M1662" s="9"/>
      <c r="N1662" s="2"/>
      <c r="O1662" s="2"/>
      <c r="P1662" s="2"/>
      <c r="Q1662" s="50"/>
      <c r="R1662" s="50"/>
      <c r="S1662" s="2">
        <f>IFERROR(VLOOKUP(A1662,IMPORT_DESISTENCIA!$A$2:$Q2273,14,0),"NÃO")</f>
        <v>0</v>
      </c>
      <c r="T1662" s="35"/>
    </row>
    <row r="1663" spans="1:20" ht="45" customHeight="1" x14ac:dyDescent="0.25">
      <c r="A1663" s="2" t="str">
        <f t="shared" si="1"/>
        <v/>
      </c>
      <c r="B1663" s="2"/>
      <c r="C1663" s="43"/>
      <c r="D1663" s="2"/>
      <c r="E1663" s="2"/>
      <c r="F1663" s="2"/>
      <c r="G1663" s="11"/>
      <c r="H1663" s="11"/>
      <c r="I1663" s="2"/>
      <c r="J1663" s="2"/>
      <c r="K1663" s="2"/>
      <c r="L1663" s="10"/>
      <c r="M1663" s="9"/>
      <c r="N1663" s="2"/>
      <c r="O1663" s="2"/>
      <c r="P1663" s="2"/>
      <c r="Q1663" s="50"/>
      <c r="R1663" s="50"/>
      <c r="S1663" s="2">
        <f>IFERROR(VLOOKUP(A1663,IMPORT_DESISTENCIA!$A$2:$Q2273,14,0),"NÃO")</f>
        <v>0</v>
      </c>
      <c r="T1663" s="35"/>
    </row>
    <row r="1664" spans="1:20" ht="45" customHeight="1" x14ac:dyDescent="0.25">
      <c r="A1664" s="2" t="str">
        <f t="shared" si="1"/>
        <v/>
      </c>
      <c r="B1664" s="2"/>
      <c r="C1664" s="43"/>
      <c r="D1664" s="2"/>
      <c r="E1664" s="2"/>
      <c r="F1664" s="2"/>
      <c r="G1664" s="11"/>
      <c r="H1664" s="11"/>
      <c r="I1664" s="2"/>
      <c r="J1664" s="2"/>
      <c r="K1664" s="2"/>
      <c r="L1664" s="10"/>
      <c r="M1664" s="9"/>
      <c r="N1664" s="2"/>
      <c r="O1664" s="2"/>
      <c r="P1664" s="2"/>
      <c r="Q1664" s="50"/>
      <c r="R1664" s="50"/>
      <c r="S1664" s="2">
        <f>IFERROR(VLOOKUP(A1664,IMPORT_DESISTENCIA!$A$2:$Q2273,14,0),"NÃO")</f>
        <v>0</v>
      </c>
      <c r="T1664" s="35"/>
    </row>
    <row r="1665" spans="1:20" ht="45" customHeight="1" x14ac:dyDescent="0.25">
      <c r="A1665" s="2" t="str">
        <f t="shared" si="1"/>
        <v/>
      </c>
      <c r="B1665" s="2"/>
      <c r="C1665" s="43"/>
      <c r="D1665" s="2"/>
      <c r="E1665" s="2"/>
      <c r="F1665" s="2"/>
      <c r="G1665" s="11"/>
      <c r="H1665" s="11"/>
      <c r="I1665" s="2"/>
      <c r="J1665" s="2"/>
      <c r="K1665" s="2"/>
      <c r="L1665" s="10"/>
      <c r="M1665" s="9"/>
      <c r="N1665" s="2"/>
      <c r="O1665" s="2"/>
      <c r="P1665" s="2"/>
      <c r="Q1665" s="50"/>
      <c r="R1665" s="50"/>
      <c r="S1665" s="2">
        <f>IFERROR(VLOOKUP(A1665,IMPORT_DESISTENCIA!$A$2:$Q2273,14,0),"NÃO")</f>
        <v>0</v>
      </c>
      <c r="T1665" s="35"/>
    </row>
    <row r="1666" spans="1:20" ht="45" customHeight="1" x14ac:dyDescent="0.25">
      <c r="A1666" s="2" t="str">
        <f t="shared" si="1"/>
        <v/>
      </c>
      <c r="B1666" s="2"/>
      <c r="C1666" s="43"/>
      <c r="D1666" s="2"/>
      <c r="E1666" s="2"/>
      <c r="F1666" s="2"/>
      <c r="G1666" s="11"/>
      <c r="H1666" s="11"/>
      <c r="I1666" s="2"/>
      <c r="J1666" s="2"/>
      <c r="K1666" s="2"/>
      <c r="L1666" s="10"/>
      <c r="M1666" s="9"/>
      <c r="N1666" s="2"/>
      <c r="O1666" s="2"/>
      <c r="P1666" s="2"/>
      <c r="Q1666" s="50"/>
      <c r="R1666" s="50"/>
      <c r="S1666" s="2">
        <f>IFERROR(VLOOKUP(A1666,IMPORT_DESISTENCIA!$A$2:$Q2273,14,0),"NÃO")</f>
        <v>0</v>
      </c>
      <c r="T1666" s="35"/>
    </row>
    <row r="1667" spans="1:20" ht="45" customHeight="1" x14ac:dyDescent="0.25">
      <c r="A1667" s="2" t="str">
        <f t="shared" si="1"/>
        <v/>
      </c>
      <c r="B1667" s="2"/>
      <c r="C1667" s="43"/>
      <c r="D1667" s="2"/>
      <c r="E1667" s="2"/>
      <c r="F1667" s="2"/>
      <c r="G1667" s="11"/>
      <c r="H1667" s="11"/>
      <c r="I1667" s="2"/>
      <c r="J1667" s="2"/>
      <c r="K1667" s="2"/>
      <c r="L1667" s="10"/>
      <c r="M1667" s="9"/>
      <c r="N1667" s="2"/>
      <c r="O1667" s="2"/>
      <c r="P1667" s="2"/>
      <c r="Q1667" s="50"/>
      <c r="R1667" s="50"/>
      <c r="S1667" s="2">
        <f>IFERROR(VLOOKUP(A1667,IMPORT_DESISTENCIA!$A$2:$Q2273,14,0),"NÃO")</f>
        <v>0</v>
      </c>
      <c r="T1667" s="35"/>
    </row>
    <row r="1668" spans="1:20" ht="45" customHeight="1" x14ac:dyDescent="0.25">
      <c r="A1668" s="2" t="str">
        <f t="shared" si="1"/>
        <v/>
      </c>
      <c r="B1668" s="2"/>
      <c r="C1668" s="43"/>
      <c r="D1668" s="2"/>
      <c r="E1668" s="2"/>
      <c r="F1668" s="2"/>
      <c r="G1668" s="11"/>
      <c r="H1668" s="11"/>
      <c r="I1668" s="2"/>
      <c r="J1668" s="2"/>
      <c r="K1668" s="2"/>
      <c r="L1668" s="10"/>
      <c r="M1668" s="9"/>
      <c r="N1668" s="2"/>
      <c r="O1668" s="2"/>
      <c r="P1668" s="2"/>
      <c r="Q1668" s="50"/>
      <c r="R1668" s="50"/>
      <c r="S1668" s="2">
        <f>IFERROR(VLOOKUP(A1668,IMPORT_DESISTENCIA!$A$2:$Q2273,14,0),"NÃO")</f>
        <v>0</v>
      </c>
      <c r="T1668" s="35"/>
    </row>
    <row r="1669" spans="1:20" ht="45" customHeight="1" x14ac:dyDescent="0.25">
      <c r="A1669" s="2" t="str">
        <f t="shared" si="1"/>
        <v/>
      </c>
      <c r="B1669" s="2"/>
      <c r="C1669" s="43"/>
      <c r="D1669" s="2"/>
      <c r="E1669" s="2"/>
      <c r="F1669" s="2"/>
      <c r="G1669" s="11"/>
      <c r="H1669" s="11"/>
      <c r="I1669" s="2"/>
      <c r="J1669" s="2"/>
      <c r="K1669" s="2"/>
      <c r="L1669" s="10"/>
      <c r="M1669" s="9"/>
      <c r="N1669" s="2"/>
      <c r="O1669" s="2"/>
      <c r="P1669" s="2"/>
      <c r="Q1669" s="50"/>
      <c r="R1669" s="50"/>
      <c r="S1669" s="2">
        <f>IFERROR(VLOOKUP(A1669,IMPORT_DESISTENCIA!$A$2:$Q2273,14,0),"NÃO")</f>
        <v>0</v>
      </c>
      <c r="T1669" s="35"/>
    </row>
    <row r="1670" spans="1:20" ht="45" customHeight="1" x14ac:dyDescent="0.25">
      <c r="A1670" s="2" t="str">
        <f t="shared" si="1"/>
        <v/>
      </c>
      <c r="B1670" s="2"/>
      <c r="C1670" s="43"/>
      <c r="D1670" s="2"/>
      <c r="E1670" s="2"/>
      <c r="F1670" s="2"/>
      <c r="G1670" s="11"/>
      <c r="H1670" s="11"/>
      <c r="I1670" s="2"/>
      <c r="J1670" s="2"/>
      <c r="K1670" s="2"/>
      <c r="L1670" s="10"/>
      <c r="M1670" s="9"/>
      <c r="N1670" s="2"/>
      <c r="O1670" s="2"/>
      <c r="P1670" s="2"/>
      <c r="Q1670" s="50"/>
      <c r="R1670" s="50"/>
      <c r="S1670" s="2">
        <f>IFERROR(VLOOKUP(A1670,IMPORT_DESISTENCIA!$A$2:$Q2273,14,0),"NÃO")</f>
        <v>0</v>
      </c>
      <c r="T1670" s="35"/>
    </row>
    <row r="1671" spans="1:20" ht="45" customHeight="1" x14ac:dyDescent="0.25">
      <c r="A1671" s="2" t="str">
        <f t="shared" si="1"/>
        <v/>
      </c>
      <c r="B1671" s="2"/>
      <c r="C1671" s="43"/>
      <c r="D1671" s="2"/>
      <c r="E1671" s="2"/>
      <c r="F1671" s="2"/>
      <c r="G1671" s="11"/>
      <c r="H1671" s="11"/>
      <c r="I1671" s="2"/>
      <c r="J1671" s="2"/>
      <c r="K1671" s="2"/>
      <c r="L1671" s="10"/>
      <c r="M1671" s="9"/>
      <c r="N1671" s="2"/>
      <c r="O1671" s="2"/>
      <c r="P1671" s="2"/>
      <c r="Q1671" s="50"/>
      <c r="R1671" s="50"/>
      <c r="S1671" s="2">
        <f>IFERROR(VLOOKUP(A1671,IMPORT_DESISTENCIA!$A$2:$Q2273,14,0),"NÃO")</f>
        <v>0</v>
      </c>
      <c r="T1671" s="35"/>
    </row>
    <row r="1672" spans="1:20" ht="45" customHeight="1" x14ac:dyDescent="0.25">
      <c r="A1672" s="2" t="str">
        <f t="shared" si="1"/>
        <v/>
      </c>
      <c r="B1672" s="2"/>
      <c r="C1672" s="43"/>
      <c r="D1672" s="2"/>
      <c r="E1672" s="2"/>
      <c r="F1672" s="2"/>
      <c r="G1672" s="11"/>
      <c r="H1672" s="11"/>
      <c r="I1672" s="2"/>
      <c r="J1672" s="2"/>
      <c r="K1672" s="2"/>
      <c r="L1672" s="10"/>
      <c r="M1672" s="9"/>
      <c r="N1672" s="2"/>
      <c r="O1672" s="2"/>
      <c r="P1672" s="2"/>
      <c r="Q1672" s="50"/>
      <c r="R1672" s="50"/>
      <c r="S1672" s="2">
        <f>IFERROR(VLOOKUP(A1672,IMPORT_DESISTENCIA!$A$2:$Q2273,14,0),"NÃO")</f>
        <v>0</v>
      </c>
      <c r="T1672" s="35"/>
    </row>
    <row r="1673" spans="1:20" ht="45" customHeight="1" x14ac:dyDescent="0.25">
      <c r="A1673" s="2" t="str">
        <f t="shared" si="1"/>
        <v/>
      </c>
      <c r="B1673" s="2"/>
      <c r="C1673" s="43"/>
      <c r="D1673" s="2"/>
      <c r="E1673" s="2"/>
      <c r="F1673" s="2"/>
      <c r="G1673" s="11"/>
      <c r="H1673" s="11"/>
      <c r="I1673" s="2"/>
      <c r="J1673" s="2"/>
      <c r="K1673" s="2"/>
      <c r="L1673" s="10"/>
      <c r="M1673" s="9"/>
      <c r="N1673" s="2"/>
      <c r="O1673" s="2"/>
      <c r="P1673" s="2"/>
      <c r="Q1673" s="50"/>
      <c r="R1673" s="50"/>
      <c r="S1673" s="2">
        <f>IFERROR(VLOOKUP(A1673,IMPORT_DESISTENCIA!$A$2:$Q2273,14,0),"NÃO")</f>
        <v>0</v>
      </c>
      <c r="T1673" s="35"/>
    </row>
    <row r="1674" spans="1:20" ht="45" customHeight="1" x14ac:dyDescent="0.25">
      <c r="A1674" s="2" t="str">
        <f t="shared" si="1"/>
        <v/>
      </c>
      <c r="B1674" s="2"/>
      <c r="C1674" s="43"/>
      <c r="D1674" s="2"/>
      <c r="E1674" s="2"/>
      <c r="F1674" s="2"/>
      <c r="G1674" s="11"/>
      <c r="H1674" s="11"/>
      <c r="I1674" s="2"/>
      <c r="J1674" s="2"/>
      <c r="K1674" s="2"/>
      <c r="L1674" s="10"/>
      <c r="M1674" s="9"/>
      <c r="N1674" s="2"/>
      <c r="O1674" s="2"/>
      <c r="P1674" s="2"/>
      <c r="Q1674" s="50"/>
      <c r="R1674" s="50"/>
      <c r="S1674" s="2">
        <f>IFERROR(VLOOKUP(A1674,IMPORT_DESISTENCIA!$A$2:$Q2273,14,0),"NÃO")</f>
        <v>0</v>
      </c>
      <c r="T1674" s="35"/>
    </row>
    <row r="1675" spans="1:20" ht="45" customHeight="1" x14ac:dyDescent="0.25">
      <c r="A1675" s="2" t="str">
        <f t="shared" si="1"/>
        <v/>
      </c>
      <c r="B1675" s="2"/>
      <c r="C1675" s="43"/>
      <c r="D1675" s="2"/>
      <c r="E1675" s="2"/>
      <c r="F1675" s="2"/>
      <c r="G1675" s="11"/>
      <c r="H1675" s="11"/>
      <c r="I1675" s="2"/>
      <c r="J1675" s="2"/>
      <c r="K1675" s="2"/>
      <c r="L1675" s="10"/>
      <c r="M1675" s="9"/>
      <c r="N1675" s="2"/>
      <c r="O1675" s="2"/>
      <c r="P1675" s="2"/>
      <c r="Q1675" s="50"/>
      <c r="R1675" s="50"/>
      <c r="S1675" s="2">
        <f>IFERROR(VLOOKUP(A1675,IMPORT_DESISTENCIA!$A$2:$Q2273,14,0),"NÃO")</f>
        <v>0</v>
      </c>
      <c r="T1675" s="35"/>
    </row>
    <row r="1676" spans="1:20" ht="45" customHeight="1" x14ac:dyDescent="0.25">
      <c r="A1676" s="2" t="str">
        <f t="shared" si="1"/>
        <v/>
      </c>
      <c r="B1676" s="2"/>
      <c r="C1676" s="43"/>
      <c r="D1676" s="2"/>
      <c r="E1676" s="2"/>
      <c r="F1676" s="2"/>
      <c r="G1676" s="11"/>
      <c r="H1676" s="11"/>
      <c r="I1676" s="2"/>
      <c r="J1676" s="2"/>
      <c r="K1676" s="2"/>
      <c r="L1676" s="10"/>
      <c r="M1676" s="9"/>
      <c r="N1676" s="2"/>
      <c r="O1676" s="2"/>
      <c r="P1676" s="2"/>
      <c r="Q1676" s="50"/>
      <c r="R1676" s="50"/>
      <c r="S1676" s="2">
        <f>IFERROR(VLOOKUP(A1676,IMPORT_DESISTENCIA!$A$2:$Q2273,14,0),"NÃO")</f>
        <v>0</v>
      </c>
      <c r="T1676" s="35"/>
    </row>
    <row r="1677" spans="1:20" ht="45" customHeight="1" x14ac:dyDescent="0.25">
      <c r="A1677" s="2" t="str">
        <f t="shared" si="1"/>
        <v/>
      </c>
      <c r="B1677" s="2"/>
      <c r="C1677" s="43"/>
      <c r="D1677" s="2"/>
      <c r="E1677" s="2"/>
      <c r="F1677" s="2"/>
      <c r="G1677" s="11"/>
      <c r="H1677" s="11"/>
      <c r="I1677" s="2"/>
      <c r="J1677" s="2"/>
      <c r="K1677" s="2"/>
      <c r="L1677" s="10"/>
      <c r="M1677" s="9"/>
      <c r="N1677" s="2"/>
      <c r="O1677" s="2"/>
      <c r="P1677" s="2"/>
      <c r="Q1677" s="50"/>
      <c r="R1677" s="50"/>
      <c r="S1677" s="2">
        <f>IFERROR(VLOOKUP(A1677,IMPORT_DESISTENCIA!$A$2:$Q2273,14,0),"NÃO")</f>
        <v>0</v>
      </c>
      <c r="T1677" s="35"/>
    </row>
    <row r="1678" spans="1:20" ht="45" customHeight="1" x14ac:dyDescent="0.25">
      <c r="A1678" s="2" t="str">
        <f t="shared" si="1"/>
        <v/>
      </c>
      <c r="B1678" s="2"/>
      <c r="C1678" s="43"/>
      <c r="D1678" s="2"/>
      <c r="E1678" s="2"/>
      <c r="F1678" s="2"/>
      <c r="G1678" s="11"/>
      <c r="H1678" s="11"/>
      <c r="I1678" s="2"/>
      <c r="J1678" s="2"/>
      <c r="K1678" s="2"/>
      <c r="L1678" s="10"/>
      <c r="M1678" s="9"/>
      <c r="N1678" s="2"/>
      <c r="O1678" s="2"/>
      <c r="P1678" s="2"/>
      <c r="Q1678" s="50"/>
      <c r="R1678" s="50"/>
      <c r="S1678" s="2">
        <f>IFERROR(VLOOKUP(A1678,IMPORT_DESISTENCIA!$A$2:$Q2273,14,0),"NÃO")</f>
        <v>0</v>
      </c>
      <c r="T1678" s="35"/>
    </row>
    <row r="1679" spans="1:20" ht="45" customHeight="1" x14ac:dyDescent="0.25">
      <c r="A1679" s="2" t="str">
        <f t="shared" si="1"/>
        <v/>
      </c>
      <c r="B1679" s="2"/>
      <c r="C1679" s="43"/>
      <c r="D1679" s="2"/>
      <c r="E1679" s="2"/>
      <c r="F1679" s="2"/>
      <c r="G1679" s="11"/>
      <c r="H1679" s="11"/>
      <c r="I1679" s="2"/>
      <c r="J1679" s="2"/>
      <c r="K1679" s="2"/>
      <c r="L1679" s="10"/>
      <c r="M1679" s="9"/>
      <c r="N1679" s="2"/>
      <c r="O1679" s="2"/>
      <c r="P1679" s="2"/>
      <c r="Q1679" s="50"/>
      <c r="R1679" s="50"/>
      <c r="S1679" s="2">
        <f>IFERROR(VLOOKUP(A1679,IMPORT_DESISTENCIA!$A$2:$Q2273,14,0),"NÃO")</f>
        <v>0</v>
      </c>
      <c r="T1679" s="35"/>
    </row>
    <row r="1680" spans="1:20" ht="45" customHeight="1" x14ac:dyDescent="0.25">
      <c r="A1680" s="2" t="str">
        <f t="shared" si="1"/>
        <v/>
      </c>
      <c r="B1680" s="2"/>
      <c r="C1680" s="43"/>
      <c r="D1680" s="2"/>
      <c r="E1680" s="2"/>
      <c r="F1680" s="2"/>
      <c r="G1680" s="11"/>
      <c r="H1680" s="11"/>
      <c r="I1680" s="2"/>
      <c r="J1680" s="2"/>
      <c r="K1680" s="2"/>
      <c r="L1680" s="10"/>
      <c r="M1680" s="9"/>
      <c r="N1680" s="2"/>
      <c r="O1680" s="2"/>
      <c r="P1680" s="2"/>
      <c r="Q1680" s="50"/>
      <c r="R1680" s="50"/>
      <c r="S1680" s="2">
        <f>IFERROR(VLOOKUP(A1680,IMPORT_DESISTENCIA!$A$2:$Q2273,14,0),"NÃO")</f>
        <v>0</v>
      </c>
      <c r="T1680" s="35"/>
    </row>
    <row r="1681" spans="1:20" ht="45" customHeight="1" x14ac:dyDescent="0.25">
      <c r="A1681" s="2" t="str">
        <f t="shared" si="1"/>
        <v/>
      </c>
      <c r="B1681" s="2"/>
      <c r="C1681" s="43"/>
      <c r="D1681" s="2"/>
      <c r="E1681" s="2"/>
      <c r="F1681" s="2"/>
      <c r="G1681" s="11"/>
      <c r="H1681" s="11"/>
      <c r="I1681" s="2"/>
      <c r="J1681" s="2"/>
      <c r="K1681" s="2"/>
      <c r="L1681" s="10"/>
      <c r="M1681" s="9"/>
      <c r="N1681" s="2"/>
      <c r="O1681" s="2"/>
      <c r="P1681" s="2"/>
      <c r="Q1681" s="50"/>
      <c r="R1681" s="50"/>
      <c r="S1681" s="2">
        <f>IFERROR(VLOOKUP(A1681,IMPORT_DESISTENCIA!$A$2:$Q2273,14,0),"NÃO")</f>
        <v>0</v>
      </c>
      <c r="T1681" s="35"/>
    </row>
    <row r="1682" spans="1:20" ht="45" customHeight="1" x14ac:dyDescent="0.25">
      <c r="A1682" s="2" t="str">
        <f t="shared" si="1"/>
        <v/>
      </c>
      <c r="B1682" s="2"/>
      <c r="C1682" s="43"/>
      <c r="D1682" s="2"/>
      <c r="E1682" s="2"/>
      <c r="F1682" s="2"/>
      <c r="G1682" s="11"/>
      <c r="H1682" s="11"/>
      <c r="I1682" s="2"/>
      <c r="J1682" s="2"/>
      <c r="K1682" s="2"/>
      <c r="L1682" s="10"/>
      <c r="M1682" s="9"/>
      <c r="N1682" s="2"/>
      <c r="O1682" s="2"/>
      <c r="P1682" s="2"/>
      <c r="Q1682" s="50"/>
      <c r="R1682" s="50"/>
      <c r="S1682" s="2">
        <f>IFERROR(VLOOKUP(A1682,IMPORT_DESISTENCIA!$A$2:$Q2273,14,0),"NÃO")</f>
        <v>0</v>
      </c>
      <c r="T1682" s="35"/>
    </row>
    <row r="1683" spans="1:20" ht="45" customHeight="1" x14ac:dyDescent="0.25">
      <c r="A1683" s="2" t="str">
        <f t="shared" si="1"/>
        <v/>
      </c>
      <c r="B1683" s="2"/>
      <c r="C1683" s="43"/>
      <c r="D1683" s="2"/>
      <c r="E1683" s="2"/>
      <c r="F1683" s="2"/>
      <c r="G1683" s="11"/>
      <c r="H1683" s="11"/>
      <c r="I1683" s="2"/>
      <c r="J1683" s="2"/>
      <c r="K1683" s="2"/>
      <c r="L1683" s="10"/>
      <c r="M1683" s="9"/>
      <c r="N1683" s="2"/>
      <c r="O1683" s="2"/>
      <c r="P1683" s="2"/>
      <c r="Q1683" s="50"/>
      <c r="R1683" s="50"/>
      <c r="S1683" s="2">
        <f>IFERROR(VLOOKUP(A1683,IMPORT_DESISTENCIA!$A$2:$Q2273,14,0),"NÃO")</f>
        <v>0</v>
      </c>
      <c r="T1683" s="35"/>
    </row>
    <row r="1684" spans="1:20" ht="45" customHeight="1" x14ac:dyDescent="0.25">
      <c r="A1684" s="2" t="str">
        <f t="shared" si="1"/>
        <v/>
      </c>
      <c r="B1684" s="2"/>
      <c r="C1684" s="43"/>
      <c r="D1684" s="2"/>
      <c r="E1684" s="2"/>
      <c r="F1684" s="2"/>
      <c r="G1684" s="11"/>
      <c r="H1684" s="11"/>
      <c r="I1684" s="2"/>
      <c r="J1684" s="2"/>
      <c r="K1684" s="2"/>
      <c r="L1684" s="10"/>
      <c r="M1684" s="9"/>
      <c r="N1684" s="2"/>
      <c r="O1684" s="2"/>
      <c r="P1684" s="2"/>
      <c r="Q1684" s="50"/>
      <c r="R1684" s="50"/>
      <c r="S1684" s="2">
        <f>IFERROR(VLOOKUP(A1684,IMPORT_DESISTENCIA!$A$2:$Q2273,14,0),"NÃO")</f>
        <v>0</v>
      </c>
      <c r="T1684" s="35"/>
    </row>
    <row r="1685" spans="1:20" ht="45" customHeight="1" x14ac:dyDescent="0.25">
      <c r="A1685" s="2" t="str">
        <f t="shared" si="1"/>
        <v/>
      </c>
      <c r="B1685" s="2"/>
      <c r="C1685" s="43"/>
      <c r="D1685" s="2"/>
      <c r="E1685" s="2"/>
      <c r="F1685" s="2"/>
      <c r="G1685" s="11"/>
      <c r="H1685" s="11"/>
      <c r="I1685" s="2"/>
      <c r="J1685" s="2"/>
      <c r="K1685" s="2"/>
      <c r="L1685" s="10"/>
      <c r="M1685" s="9"/>
      <c r="N1685" s="2"/>
      <c r="O1685" s="2"/>
      <c r="P1685" s="2"/>
      <c r="Q1685" s="50"/>
      <c r="R1685" s="50"/>
      <c r="S1685" s="2">
        <f>IFERROR(VLOOKUP(A1685,IMPORT_DESISTENCIA!$A$2:$Q2273,14,0),"NÃO")</f>
        <v>0</v>
      </c>
      <c r="T1685" s="35"/>
    </row>
    <row r="1686" spans="1:20" ht="45" customHeight="1" x14ac:dyDescent="0.25">
      <c r="A1686" s="2" t="str">
        <f t="shared" si="1"/>
        <v/>
      </c>
      <c r="B1686" s="2"/>
      <c r="C1686" s="43"/>
      <c r="D1686" s="2"/>
      <c r="E1686" s="2"/>
      <c r="F1686" s="2"/>
      <c r="G1686" s="11"/>
      <c r="H1686" s="11"/>
      <c r="I1686" s="2"/>
      <c r="J1686" s="2"/>
      <c r="K1686" s="2"/>
      <c r="L1686" s="10"/>
      <c r="M1686" s="9"/>
      <c r="N1686" s="2"/>
      <c r="O1686" s="2"/>
      <c r="P1686" s="2"/>
      <c r="Q1686" s="50"/>
      <c r="R1686" s="50"/>
      <c r="S1686" s="2">
        <f>IFERROR(VLOOKUP(A1686,IMPORT_DESISTENCIA!$A$2:$Q2273,14,0),"NÃO")</f>
        <v>0</v>
      </c>
      <c r="T1686" s="35"/>
    </row>
    <row r="1687" spans="1:20" ht="45" customHeight="1" x14ac:dyDescent="0.25">
      <c r="A1687" s="2" t="str">
        <f t="shared" si="1"/>
        <v/>
      </c>
      <c r="B1687" s="2"/>
      <c r="C1687" s="43"/>
      <c r="D1687" s="2"/>
      <c r="E1687" s="2"/>
      <c r="F1687" s="2"/>
      <c r="G1687" s="11"/>
      <c r="H1687" s="11"/>
      <c r="I1687" s="2"/>
      <c r="J1687" s="2"/>
      <c r="K1687" s="2"/>
      <c r="L1687" s="10"/>
      <c r="M1687" s="9"/>
      <c r="N1687" s="2"/>
      <c r="O1687" s="2"/>
      <c r="P1687" s="2"/>
      <c r="Q1687" s="50"/>
      <c r="R1687" s="50"/>
      <c r="S1687" s="2">
        <f>IFERROR(VLOOKUP(A1687,IMPORT_DESISTENCIA!$A$2:$Q2273,14,0),"NÃO")</f>
        <v>0</v>
      </c>
      <c r="T1687" s="35"/>
    </row>
    <row r="1688" spans="1:20" ht="45" customHeight="1" x14ac:dyDescent="0.25">
      <c r="A1688" s="2" t="str">
        <f t="shared" si="1"/>
        <v/>
      </c>
      <c r="B1688" s="2"/>
      <c r="C1688" s="43"/>
      <c r="D1688" s="2"/>
      <c r="E1688" s="2"/>
      <c r="F1688" s="2"/>
      <c r="G1688" s="11"/>
      <c r="H1688" s="11"/>
      <c r="I1688" s="2"/>
      <c r="J1688" s="2"/>
      <c r="K1688" s="2"/>
      <c r="L1688" s="10"/>
      <c r="M1688" s="9"/>
      <c r="N1688" s="2"/>
      <c r="O1688" s="2"/>
      <c r="P1688" s="2"/>
      <c r="Q1688" s="50"/>
      <c r="R1688" s="50"/>
      <c r="S1688" s="2">
        <f>IFERROR(VLOOKUP(A1688,IMPORT_DESISTENCIA!$A$2:$Q2273,14,0),"NÃO")</f>
        <v>0</v>
      </c>
      <c r="T1688" s="35"/>
    </row>
    <row r="1689" spans="1:20" ht="45" customHeight="1" x14ac:dyDescent="0.25">
      <c r="A1689" s="2" t="str">
        <f t="shared" si="1"/>
        <v/>
      </c>
      <c r="B1689" s="2"/>
      <c r="C1689" s="43"/>
      <c r="D1689" s="2"/>
      <c r="E1689" s="2"/>
      <c r="F1689" s="2"/>
      <c r="G1689" s="11"/>
      <c r="H1689" s="11"/>
      <c r="I1689" s="2"/>
      <c r="J1689" s="2"/>
      <c r="K1689" s="2"/>
      <c r="L1689" s="10"/>
      <c r="M1689" s="9"/>
      <c r="N1689" s="2"/>
      <c r="O1689" s="2"/>
      <c r="P1689" s="2"/>
      <c r="Q1689" s="50"/>
      <c r="R1689" s="50"/>
      <c r="S1689" s="2">
        <f>IFERROR(VLOOKUP(A1689,IMPORT_DESISTENCIA!$A$2:$Q2273,14,0),"NÃO")</f>
        <v>0</v>
      </c>
      <c r="T1689" s="35"/>
    </row>
    <row r="1690" spans="1:20" ht="45" customHeight="1" x14ac:dyDescent="0.25">
      <c r="A1690" s="2" t="str">
        <f t="shared" si="1"/>
        <v/>
      </c>
      <c r="B1690" s="2"/>
      <c r="C1690" s="43"/>
      <c r="D1690" s="2"/>
      <c r="E1690" s="2"/>
      <c r="F1690" s="2"/>
      <c r="G1690" s="11"/>
      <c r="H1690" s="11"/>
      <c r="I1690" s="2"/>
      <c r="J1690" s="2"/>
      <c r="K1690" s="2"/>
      <c r="L1690" s="10"/>
      <c r="M1690" s="9"/>
      <c r="N1690" s="2"/>
      <c r="O1690" s="2"/>
      <c r="P1690" s="2"/>
      <c r="Q1690" s="50"/>
      <c r="R1690" s="50"/>
      <c r="S1690" s="2">
        <f>IFERROR(VLOOKUP(A1690,IMPORT_DESISTENCIA!$A$2:$Q2273,14,0),"NÃO")</f>
        <v>0</v>
      </c>
      <c r="T1690" s="35"/>
    </row>
    <row r="1691" spans="1:20" ht="45" customHeight="1" x14ac:dyDescent="0.25">
      <c r="A1691" s="2" t="str">
        <f t="shared" si="1"/>
        <v/>
      </c>
      <c r="B1691" s="2"/>
      <c r="C1691" s="43"/>
      <c r="D1691" s="2"/>
      <c r="E1691" s="2"/>
      <c r="F1691" s="2"/>
      <c r="G1691" s="11"/>
      <c r="H1691" s="11"/>
      <c r="I1691" s="2"/>
      <c r="J1691" s="2"/>
      <c r="K1691" s="2"/>
      <c r="L1691" s="10"/>
      <c r="M1691" s="9"/>
      <c r="N1691" s="2"/>
      <c r="O1691" s="2"/>
      <c r="P1691" s="2"/>
      <c r="Q1691" s="50"/>
      <c r="R1691" s="50"/>
      <c r="S1691" s="2">
        <f>IFERROR(VLOOKUP(A1691,IMPORT_DESISTENCIA!$A$2:$Q2273,14,0),"NÃO")</f>
        <v>0</v>
      </c>
      <c r="T1691" s="35"/>
    </row>
    <row r="1692" spans="1:20" ht="45" customHeight="1" x14ac:dyDescent="0.25">
      <c r="A1692" s="2" t="str">
        <f t="shared" si="1"/>
        <v/>
      </c>
      <c r="B1692" s="2"/>
      <c r="C1692" s="43"/>
      <c r="D1692" s="2"/>
      <c r="E1692" s="2"/>
      <c r="F1692" s="2"/>
      <c r="G1692" s="11"/>
      <c r="H1692" s="11"/>
      <c r="I1692" s="2"/>
      <c r="J1692" s="2"/>
      <c r="K1692" s="2"/>
      <c r="L1692" s="10"/>
      <c r="M1692" s="9"/>
      <c r="N1692" s="2"/>
      <c r="O1692" s="2"/>
      <c r="P1692" s="2"/>
      <c r="Q1692" s="50"/>
      <c r="R1692" s="50"/>
      <c r="S1692" s="2">
        <f>IFERROR(VLOOKUP(A1692,IMPORT_DESISTENCIA!$A$2:$Q2273,14,0),"NÃO")</f>
        <v>0</v>
      </c>
      <c r="T1692" s="35"/>
    </row>
    <row r="1693" spans="1:20" ht="45" customHeight="1" x14ac:dyDescent="0.25">
      <c r="A1693" s="2" t="str">
        <f t="shared" si="1"/>
        <v/>
      </c>
      <c r="B1693" s="2"/>
      <c r="C1693" s="43"/>
      <c r="D1693" s="2"/>
      <c r="E1693" s="2"/>
      <c r="F1693" s="2"/>
      <c r="G1693" s="11"/>
      <c r="H1693" s="11"/>
      <c r="I1693" s="2"/>
      <c r="J1693" s="2"/>
      <c r="K1693" s="2"/>
      <c r="L1693" s="10"/>
      <c r="M1693" s="9"/>
      <c r="N1693" s="2"/>
      <c r="O1693" s="2"/>
      <c r="P1693" s="2"/>
      <c r="Q1693" s="50"/>
      <c r="R1693" s="50"/>
      <c r="S1693" s="2">
        <f>IFERROR(VLOOKUP(A1693,IMPORT_DESISTENCIA!$A$2:$Q2273,14,0),"NÃO")</f>
        <v>0</v>
      </c>
      <c r="T1693" s="35"/>
    </row>
    <row r="1694" spans="1:20" ht="45" customHeight="1" x14ac:dyDescent="0.25">
      <c r="A1694" s="2" t="str">
        <f t="shared" si="1"/>
        <v/>
      </c>
      <c r="B1694" s="2"/>
      <c r="C1694" s="43"/>
      <c r="D1694" s="2"/>
      <c r="E1694" s="2"/>
      <c r="F1694" s="2"/>
      <c r="G1694" s="11"/>
      <c r="H1694" s="11"/>
      <c r="I1694" s="2"/>
      <c r="J1694" s="2"/>
      <c r="K1694" s="2"/>
      <c r="L1694" s="10"/>
      <c r="M1694" s="9"/>
      <c r="N1694" s="2"/>
      <c r="O1694" s="2"/>
      <c r="P1694" s="2"/>
      <c r="Q1694" s="50"/>
      <c r="R1694" s="50"/>
      <c r="S1694" s="2">
        <f>IFERROR(VLOOKUP(A1694,IMPORT_DESISTENCIA!$A$2:$Q2273,14,0),"NÃO")</f>
        <v>0</v>
      </c>
      <c r="T1694" s="35"/>
    </row>
    <row r="1695" spans="1:20" ht="45" customHeight="1" x14ac:dyDescent="0.25">
      <c r="A1695" s="2" t="str">
        <f t="shared" si="1"/>
        <v/>
      </c>
      <c r="B1695" s="2"/>
      <c r="C1695" s="43"/>
      <c r="D1695" s="2"/>
      <c r="E1695" s="2"/>
      <c r="F1695" s="2"/>
      <c r="G1695" s="11"/>
      <c r="H1695" s="11"/>
      <c r="I1695" s="2"/>
      <c r="J1695" s="2"/>
      <c r="K1695" s="2"/>
      <c r="L1695" s="10"/>
      <c r="M1695" s="9"/>
      <c r="N1695" s="2"/>
      <c r="O1695" s="2"/>
      <c r="P1695" s="2"/>
      <c r="Q1695" s="50"/>
      <c r="R1695" s="50"/>
      <c r="S1695" s="2">
        <f>IFERROR(VLOOKUP(A1695,IMPORT_DESISTENCIA!$A$2:$Q2273,14,0),"NÃO")</f>
        <v>0</v>
      </c>
      <c r="T1695" s="35"/>
    </row>
    <row r="1696" spans="1:20" ht="45" customHeight="1" x14ac:dyDescent="0.25">
      <c r="A1696" s="2" t="str">
        <f t="shared" si="1"/>
        <v/>
      </c>
      <c r="B1696" s="2"/>
      <c r="C1696" s="43"/>
      <c r="D1696" s="2"/>
      <c r="E1696" s="2"/>
      <c r="F1696" s="2"/>
      <c r="G1696" s="11"/>
      <c r="H1696" s="11"/>
      <c r="I1696" s="2"/>
      <c r="J1696" s="2"/>
      <c r="K1696" s="2"/>
      <c r="L1696" s="10"/>
      <c r="M1696" s="9"/>
      <c r="N1696" s="2"/>
      <c r="O1696" s="2"/>
      <c r="P1696" s="2"/>
      <c r="Q1696" s="50"/>
      <c r="R1696" s="50"/>
      <c r="S1696" s="2">
        <f>IFERROR(VLOOKUP(A1696,IMPORT_DESISTENCIA!$A$2:$Q2273,14,0),"NÃO")</f>
        <v>0</v>
      </c>
      <c r="T1696" s="35"/>
    </row>
    <row r="1697" spans="1:20" ht="45" customHeight="1" x14ac:dyDescent="0.25">
      <c r="A1697" s="2" t="str">
        <f t="shared" si="1"/>
        <v/>
      </c>
      <c r="B1697" s="2"/>
      <c r="C1697" s="43"/>
      <c r="D1697" s="2"/>
      <c r="E1697" s="2"/>
      <c r="F1697" s="2"/>
      <c r="G1697" s="11"/>
      <c r="H1697" s="11"/>
      <c r="I1697" s="2"/>
      <c r="J1697" s="2"/>
      <c r="K1697" s="2"/>
      <c r="L1697" s="10"/>
      <c r="M1697" s="9"/>
      <c r="N1697" s="2"/>
      <c r="O1697" s="2"/>
      <c r="P1697" s="2"/>
      <c r="Q1697" s="50"/>
      <c r="R1697" s="50"/>
      <c r="S1697" s="2">
        <f>IFERROR(VLOOKUP(A1697,IMPORT_DESISTENCIA!$A$2:$Q2273,14,0),"NÃO")</f>
        <v>0</v>
      </c>
      <c r="T1697" s="35"/>
    </row>
    <row r="1698" spans="1:20" ht="45" customHeight="1" x14ac:dyDescent="0.25">
      <c r="A1698" s="2" t="str">
        <f t="shared" si="1"/>
        <v/>
      </c>
      <c r="B1698" s="2"/>
      <c r="C1698" s="43"/>
      <c r="D1698" s="2"/>
      <c r="E1698" s="2"/>
      <c r="F1698" s="2"/>
      <c r="G1698" s="11"/>
      <c r="H1698" s="11"/>
      <c r="I1698" s="2"/>
      <c r="J1698" s="2"/>
      <c r="K1698" s="2"/>
      <c r="L1698" s="10"/>
      <c r="M1698" s="9"/>
      <c r="N1698" s="2"/>
      <c r="O1698" s="2"/>
      <c r="P1698" s="2"/>
      <c r="Q1698" s="50"/>
      <c r="R1698" s="50"/>
      <c r="S1698" s="2">
        <f>IFERROR(VLOOKUP(A1698,IMPORT_DESISTENCIA!$A$2:$Q2273,14,0),"NÃO")</f>
        <v>0</v>
      </c>
      <c r="T1698" s="35"/>
    </row>
    <row r="1699" spans="1:20" ht="45" customHeight="1" x14ac:dyDescent="0.25">
      <c r="A1699" s="2" t="str">
        <f t="shared" si="1"/>
        <v/>
      </c>
      <c r="B1699" s="2"/>
      <c r="C1699" s="43"/>
      <c r="D1699" s="2"/>
      <c r="E1699" s="2"/>
      <c r="F1699" s="2"/>
      <c r="G1699" s="11"/>
      <c r="H1699" s="11"/>
      <c r="I1699" s="2"/>
      <c r="J1699" s="2"/>
      <c r="K1699" s="2"/>
      <c r="L1699" s="10"/>
      <c r="M1699" s="9"/>
      <c r="N1699" s="2"/>
      <c r="O1699" s="2"/>
      <c r="P1699" s="2"/>
      <c r="Q1699" s="50"/>
      <c r="R1699" s="50"/>
      <c r="S1699" s="2">
        <f>IFERROR(VLOOKUP(A1699,IMPORT_DESISTENCIA!$A$2:$Q2273,14,0),"NÃO")</f>
        <v>0</v>
      </c>
      <c r="T1699" s="35"/>
    </row>
    <row r="1700" spans="1:20" ht="45" customHeight="1" x14ac:dyDescent="0.25">
      <c r="A1700" s="2" t="str">
        <f t="shared" si="1"/>
        <v/>
      </c>
      <c r="B1700" s="2"/>
      <c r="C1700" s="43"/>
      <c r="D1700" s="2"/>
      <c r="E1700" s="2"/>
      <c r="F1700" s="2"/>
      <c r="G1700" s="11"/>
      <c r="H1700" s="11"/>
      <c r="I1700" s="2"/>
      <c r="J1700" s="2"/>
      <c r="K1700" s="2"/>
      <c r="L1700" s="10"/>
      <c r="M1700" s="9"/>
      <c r="N1700" s="2"/>
      <c r="O1700" s="2"/>
      <c r="P1700" s="2"/>
      <c r="Q1700" s="50"/>
      <c r="R1700" s="50"/>
      <c r="S1700" s="2">
        <f>IFERROR(VLOOKUP(A1700,IMPORT_DESISTENCIA!$A$2:$Q2273,14,0),"NÃO")</f>
        <v>0</v>
      </c>
      <c r="T1700" s="35"/>
    </row>
    <row r="1701" spans="1:20" ht="45" customHeight="1" x14ac:dyDescent="0.25">
      <c r="A1701" s="2" t="str">
        <f t="shared" si="1"/>
        <v/>
      </c>
      <c r="B1701" s="2"/>
      <c r="C1701" s="43"/>
      <c r="D1701" s="2"/>
      <c r="E1701" s="2"/>
      <c r="F1701" s="2"/>
      <c r="G1701" s="11"/>
      <c r="H1701" s="11"/>
      <c r="I1701" s="2"/>
      <c r="J1701" s="2"/>
      <c r="K1701" s="2"/>
      <c r="L1701" s="10"/>
      <c r="M1701" s="9"/>
      <c r="N1701" s="2"/>
      <c r="O1701" s="2"/>
      <c r="P1701" s="2"/>
      <c r="Q1701" s="50"/>
      <c r="R1701" s="50"/>
      <c r="S1701" s="2">
        <f>IFERROR(VLOOKUP(A1701,IMPORT_DESISTENCIA!$A$2:$Q2273,14,0),"NÃO")</f>
        <v>0</v>
      </c>
      <c r="T1701" s="35"/>
    </row>
    <row r="1702" spans="1:20" ht="45" customHeight="1" x14ac:dyDescent="0.25">
      <c r="A1702" s="2" t="str">
        <f t="shared" si="1"/>
        <v/>
      </c>
      <c r="B1702" s="2"/>
      <c r="C1702" s="43"/>
      <c r="D1702" s="2"/>
      <c r="E1702" s="2"/>
      <c r="F1702" s="2"/>
      <c r="G1702" s="11"/>
      <c r="H1702" s="11"/>
      <c r="I1702" s="2"/>
      <c r="J1702" s="2"/>
      <c r="K1702" s="2"/>
      <c r="L1702" s="10"/>
      <c r="M1702" s="9"/>
      <c r="N1702" s="2"/>
      <c r="O1702" s="2"/>
      <c r="P1702" s="2"/>
      <c r="Q1702" s="50"/>
      <c r="R1702" s="50"/>
      <c r="S1702" s="2">
        <f>IFERROR(VLOOKUP(A1702,IMPORT_DESISTENCIA!$A$2:$Q2273,14,0),"NÃO")</f>
        <v>0</v>
      </c>
      <c r="T1702" s="35"/>
    </row>
    <row r="1703" spans="1:20" ht="45" customHeight="1" x14ac:dyDescent="0.25">
      <c r="A1703" s="2" t="str">
        <f t="shared" si="1"/>
        <v/>
      </c>
      <c r="B1703" s="2"/>
      <c r="C1703" s="43"/>
      <c r="D1703" s="2"/>
      <c r="E1703" s="2"/>
      <c r="F1703" s="2"/>
      <c r="G1703" s="11"/>
      <c r="H1703" s="11"/>
      <c r="I1703" s="2"/>
      <c r="J1703" s="2"/>
      <c r="K1703" s="2"/>
      <c r="L1703" s="10"/>
      <c r="M1703" s="9"/>
      <c r="N1703" s="2"/>
      <c r="O1703" s="2"/>
      <c r="P1703" s="2"/>
      <c r="Q1703" s="50"/>
      <c r="R1703" s="50"/>
      <c r="S1703" s="2">
        <f>IFERROR(VLOOKUP(A1703,IMPORT_DESISTENCIA!$A$2:$Q2273,14,0),"NÃO")</f>
        <v>0</v>
      </c>
      <c r="T1703" s="35"/>
    </row>
    <row r="1704" spans="1:20" ht="45" customHeight="1" x14ac:dyDescent="0.25">
      <c r="A1704" s="2" t="str">
        <f t="shared" si="1"/>
        <v/>
      </c>
      <c r="B1704" s="2"/>
      <c r="C1704" s="43"/>
      <c r="D1704" s="2"/>
      <c r="E1704" s="2"/>
      <c r="F1704" s="2"/>
      <c r="G1704" s="11"/>
      <c r="H1704" s="11"/>
      <c r="I1704" s="2"/>
      <c r="J1704" s="2"/>
      <c r="K1704" s="2"/>
      <c r="L1704" s="10"/>
      <c r="M1704" s="9"/>
      <c r="N1704" s="2"/>
      <c r="O1704" s="2"/>
      <c r="P1704" s="2"/>
      <c r="Q1704" s="50"/>
      <c r="R1704" s="50"/>
      <c r="S1704" s="2">
        <f>IFERROR(VLOOKUP(A1704,IMPORT_DESISTENCIA!$A$2:$Q2273,14,0),"NÃO")</f>
        <v>0</v>
      </c>
      <c r="T1704" s="35"/>
    </row>
    <row r="1705" spans="1:20" ht="45" customHeight="1" x14ac:dyDescent="0.25">
      <c r="A1705" s="2" t="str">
        <f t="shared" si="1"/>
        <v/>
      </c>
      <c r="B1705" s="2"/>
      <c r="C1705" s="43"/>
      <c r="D1705" s="2"/>
      <c r="E1705" s="2"/>
      <c r="F1705" s="2"/>
      <c r="G1705" s="11"/>
      <c r="H1705" s="11"/>
      <c r="I1705" s="2"/>
      <c r="J1705" s="2"/>
      <c r="K1705" s="2"/>
      <c r="L1705" s="10"/>
      <c r="M1705" s="9"/>
      <c r="N1705" s="2"/>
      <c r="O1705" s="2"/>
      <c r="P1705" s="2"/>
      <c r="Q1705" s="50"/>
      <c r="R1705" s="50"/>
      <c r="S1705" s="2">
        <f>IFERROR(VLOOKUP(A1705,IMPORT_DESISTENCIA!$A$2:$Q2273,14,0),"NÃO")</f>
        <v>0</v>
      </c>
      <c r="T1705" s="35"/>
    </row>
    <row r="1706" spans="1:20" ht="45" customHeight="1" x14ac:dyDescent="0.25">
      <c r="A1706" s="2" t="str">
        <f t="shared" si="1"/>
        <v/>
      </c>
      <c r="B1706" s="2"/>
      <c r="C1706" s="43"/>
      <c r="D1706" s="2"/>
      <c r="E1706" s="2"/>
      <c r="F1706" s="2"/>
      <c r="G1706" s="11"/>
      <c r="H1706" s="11"/>
      <c r="I1706" s="2"/>
      <c r="J1706" s="2"/>
      <c r="K1706" s="2"/>
      <c r="L1706" s="10"/>
      <c r="M1706" s="9"/>
      <c r="N1706" s="2"/>
      <c r="O1706" s="2"/>
      <c r="P1706" s="2"/>
      <c r="Q1706" s="50"/>
      <c r="R1706" s="50"/>
      <c r="S1706" s="2">
        <f>IFERROR(VLOOKUP(A1706,IMPORT_DESISTENCIA!$A$2:$Q2273,14,0),"NÃO")</f>
        <v>0</v>
      </c>
      <c r="T1706" s="35"/>
    </row>
    <row r="1707" spans="1:20" ht="45" customHeight="1" x14ac:dyDescent="0.25">
      <c r="A1707" s="2" t="str">
        <f t="shared" si="1"/>
        <v/>
      </c>
      <c r="B1707" s="2"/>
      <c r="C1707" s="43"/>
      <c r="D1707" s="2"/>
      <c r="E1707" s="2"/>
      <c r="F1707" s="2"/>
      <c r="G1707" s="11"/>
      <c r="H1707" s="11"/>
      <c r="I1707" s="2"/>
      <c r="J1707" s="2"/>
      <c r="K1707" s="2"/>
      <c r="L1707" s="10"/>
      <c r="M1707" s="9"/>
      <c r="N1707" s="2"/>
      <c r="O1707" s="2"/>
      <c r="P1707" s="2"/>
      <c r="Q1707" s="50"/>
      <c r="R1707" s="50"/>
      <c r="S1707" s="2">
        <f>IFERROR(VLOOKUP(A1707,IMPORT_DESISTENCIA!$A$2:$Q2273,14,0),"NÃO")</f>
        <v>0</v>
      </c>
      <c r="T1707" s="35"/>
    </row>
    <row r="1708" spans="1:20" ht="45" customHeight="1" x14ac:dyDescent="0.25">
      <c r="A1708" s="2" t="str">
        <f t="shared" si="1"/>
        <v/>
      </c>
      <c r="B1708" s="2"/>
      <c r="C1708" s="43"/>
      <c r="D1708" s="2"/>
      <c r="E1708" s="2"/>
      <c r="F1708" s="2"/>
      <c r="G1708" s="11"/>
      <c r="H1708" s="11"/>
      <c r="I1708" s="2"/>
      <c r="J1708" s="2"/>
      <c r="K1708" s="2"/>
      <c r="L1708" s="10"/>
      <c r="M1708" s="9"/>
      <c r="N1708" s="2"/>
      <c r="O1708" s="2"/>
      <c r="P1708" s="2"/>
      <c r="Q1708" s="50"/>
      <c r="R1708" s="50"/>
      <c r="S1708" s="2">
        <f>IFERROR(VLOOKUP(A1708,IMPORT_DESISTENCIA!$A$2:$Q2273,14,0),"NÃO")</f>
        <v>0</v>
      </c>
      <c r="T1708" s="35"/>
    </row>
    <row r="1709" spans="1:20" ht="45" customHeight="1" x14ac:dyDescent="0.25">
      <c r="A1709" s="2" t="str">
        <f t="shared" si="1"/>
        <v/>
      </c>
      <c r="B1709" s="2"/>
      <c r="C1709" s="43"/>
      <c r="D1709" s="2"/>
      <c r="E1709" s="2"/>
      <c r="F1709" s="2"/>
      <c r="G1709" s="11"/>
      <c r="H1709" s="11"/>
      <c r="I1709" s="2"/>
      <c r="J1709" s="2"/>
      <c r="K1709" s="2"/>
      <c r="L1709" s="10"/>
      <c r="M1709" s="9"/>
      <c r="N1709" s="2"/>
      <c r="O1709" s="2"/>
      <c r="P1709" s="2"/>
      <c r="Q1709" s="50"/>
      <c r="R1709" s="50"/>
      <c r="S1709" s="2">
        <f>IFERROR(VLOOKUP(A1709,IMPORT_DESISTENCIA!$A$2:$Q2273,14,0),"NÃO")</f>
        <v>0</v>
      </c>
      <c r="T1709" s="35"/>
    </row>
    <row r="1710" spans="1:20" ht="45" customHeight="1" x14ac:dyDescent="0.25">
      <c r="A1710" s="2" t="str">
        <f t="shared" si="1"/>
        <v/>
      </c>
      <c r="B1710" s="2"/>
      <c r="C1710" s="43"/>
      <c r="D1710" s="2"/>
      <c r="E1710" s="2"/>
      <c r="F1710" s="2"/>
      <c r="G1710" s="11"/>
      <c r="H1710" s="11"/>
      <c r="I1710" s="2"/>
      <c r="J1710" s="2"/>
      <c r="K1710" s="2"/>
      <c r="L1710" s="10"/>
      <c r="M1710" s="9"/>
      <c r="N1710" s="2"/>
      <c r="O1710" s="2"/>
      <c r="P1710" s="2"/>
      <c r="Q1710" s="50"/>
      <c r="R1710" s="50"/>
      <c r="S1710" s="2">
        <f>IFERROR(VLOOKUP(A1710,IMPORT_DESISTENCIA!$A$2:$Q2273,14,0),"NÃO")</f>
        <v>0</v>
      </c>
      <c r="T1710" s="35"/>
    </row>
    <row r="1711" spans="1:20" ht="45" customHeight="1" x14ac:dyDescent="0.25">
      <c r="A1711" s="2" t="str">
        <f t="shared" si="1"/>
        <v/>
      </c>
      <c r="B1711" s="2"/>
      <c r="C1711" s="43"/>
      <c r="D1711" s="2"/>
      <c r="E1711" s="2"/>
      <c r="F1711" s="2"/>
      <c r="G1711" s="11"/>
      <c r="H1711" s="11"/>
      <c r="I1711" s="2"/>
      <c r="J1711" s="2"/>
      <c r="K1711" s="2"/>
      <c r="L1711" s="10"/>
      <c r="M1711" s="9"/>
      <c r="N1711" s="2"/>
      <c r="O1711" s="2"/>
      <c r="P1711" s="2"/>
      <c r="Q1711" s="50"/>
      <c r="R1711" s="50"/>
      <c r="S1711" s="2">
        <f>IFERROR(VLOOKUP(A1711,IMPORT_DESISTENCIA!$A$2:$Q2273,14,0),"NÃO")</f>
        <v>0</v>
      </c>
      <c r="T1711" s="35"/>
    </row>
    <row r="1712" spans="1:20" ht="45" customHeight="1" x14ac:dyDescent="0.25">
      <c r="A1712" s="2" t="str">
        <f t="shared" si="1"/>
        <v/>
      </c>
      <c r="B1712" s="2"/>
      <c r="C1712" s="43"/>
      <c r="D1712" s="2"/>
      <c r="E1712" s="2"/>
      <c r="F1712" s="2"/>
      <c r="G1712" s="11"/>
      <c r="H1712" s="11"/>
      <c r="I1712" s="2"/>
      <c r="J1712" s="2"/>
      <c r="K1712" s="2"/>
      <c r="L1712" s="10"/>
      <c r="M1712" s="9"/>
      <c r="N1712" s="2"/>
      <c r="O1712" s="2"/>
      <c r="P1712" s="2"/>
      <c r="Q1712" s="50"/>
      <c r="R1712" s="50"/>
      <c r="S1712" s="2">
        <f>IFERROR(VLOOKUP(A1712,IMPORT_DESISTENCIA!$A$2:$Q2273,14,0),"NÃO")</f>
        <v>0</v>
      </c>
      <c r="T1712" s="35"/>
    </row>
    <row r="1713" spans="1:20" ht="45" customHeight="1" x14ac:dyDescent="0.25">
      <c r="A1713" s="2" t="str">
        <f t="shared" si="1"/>
        <v/>
      </c>
      <c r="B1713" s="2"/>
      <c r="C1713" s="43"/>
      <c r="D1713" s="2"/>
      <c r="E1713" s="2"/>
      <c r="F1713" s="2"/>
      <c r="G1713" s="11"/>
      <c r="H1713" s="11"/>
      <c r="I1713" s="2"/>
      <c r="J1713" s="2"/>
      <c r="K1713" s="2"/>
      <c r="L1713" s="10"/>
      <c r="M1713" s="9"/>
      <c r="N1713" s="2"/>
      <c r="O1713" s="2"/>
      <c r="P1713" s="2"/>
      <c r="Q1713" s="50"/>
      <c r="R1713" s="50"/>
      <c r="S1713" s="2">
        <f>IFERROR(VLOOKUP(A1713,IMPORT_DESISTENCIA!$A$2:$Q2273,14,0),"NÃO")</f>
        <v>0</v>
      </c>
      <c r="T1713" s="35"/>
    </row>
    <row r="1714" spans="1:20" ht="45" customHeight="1" x14ac:dyDescent="0.25">
      <c r="A1714" s="2" t="str">
        <f t="shared" si="1"/>
        <v/>
      </c>
      <c r="B1714" s="2"/>
      <c r="C1714" s="43"/>
      <c r="D1714" s="2"/>
      <c r="E1714" s="2"/>
      <c r="F1714" s="2"/>
      <c r="G1714" s="11"/>
      <c r="H1714" s="11"/>
      <c r="I1714" s="2"/>
      <c r="J1714" s="2"/>
      <c r="K1714" s="2"/>
      <c r="L1714" s="10"/>
      <c r="M1714" s="9"/>
      <c r="N1714" s="2"/>
      <c r="O1714" s="2"/>
      <c r="P1714" s="2"/>
      <c r="Q1714" s="50"/>
      <c r="R1714" s="50"/>
      <c r="S1714" s="2">
        <f>IFERROR(VLOOKUP(A1714,IMPORT_DESISTENCIA!$A$2:$Q2273,14,0),"NÃO")</f>
        <v>0</v>
      </c>
      <c r="T1714" s="35"/>
    </row>
    <row r="1715" spans="1:20" ht="45" customHeight="1" x14ac:dyDescent="0.25">
      <c r="A1715" s="2" t="str">
        <f t="shared" si="1"/>
        <v/>
      </c>
      <c r="B1715" s="2"/>
      <c r="C1715" s="43"/>
      <c r="D1715" s="2"/>
      <c r="E1715" s="2"/>
      <c r="F1715" s="2"/>
      <c r="G1715" s="11"/>
      <c r="H1715" s="11"/>
      <c r="I1715" s="2"/>
      <c r="J1715" s="2"/>
      <c r="K1715" s="2"/>
      <c r="L1715" s="10"/>
      <c r="M1715" s="9"/>
      <c r="N1715" s="2"/>
      <c r="O1715" s="2"/>
      <c r="P1715" s="2"/>
      <c r="Q1715" s="50"/>
      <c r="R1715" s="50"/>
      <c r="S1715" s="2">
        <f>IFERROR(VLOOKUP(A1715,IMPORT_DESISTENCIA!$A$2:$Q2273,14,0),"NÃO")</f>
        <v>0</v>
      </c>
      <c r="T1715" s="35"/>
    </row>
    <row r="1716" spans="1:20" ht="45" customHeight="1" x14ac:dyDescent="0.25">
      <c r="A1716" s="2" t="str">
        <f t="shared" si="1"/>
        <v/>
      </c>
      <c r="B1716" s="2"/>
      <c r="C1716" s="43"/>
      <c r="D1716" s="2"/>
      <c r="E1716" s="2"/>
      <c r="F1716" s="2"/>
      <c r="G1716" s="11"/>
      <c r="H1716" s="11"/>
      <c r="I1716" s="2"/>
      <c r="J1716" s="2"/>
      <c r="K1716" s="2"/>
      <c r="L1716" s="10"/>
      <c r="M1716" s="9"/>
      <c r="N1716" s="2"/>
      <c r="O1716" s="2"/>
      <c r="P1716" s="2"/>
      <c r="Q1716" s="50"/>
      <c r="R1716" s="50"/>
      <c r="S1716" s="2">
        <f>IFERROR(VLOOKUP(A1716,IMPORT_DESISTENCIA!$A$2:$Q2273,14,0),"NÃO")</f>
        <v>0</v>
      </c>
      <c r="T1716" s="35"/>
    </row>
    <row r="1717" spans="1:20" ht="45" customHeight="1" x14ac:dyDescent="0.25">
      <c r="A1717" s="2" t="str">
        <f t="shared" si="1"/>
        <v/>
      </c>
      <c r="B1717" s="2"/>
      <c r="C1717" s="43"/>
      <c r="D1717" s="2"/>
      <c r="E1717" s="2"/>
      <c r="F1717" s="2"/>
      <c r="G1717" s="11"/>
      <c r="H1717" s="11"/>
      <c r="I1717" s="2"/>
      <c r="J1717" s="2"/>
      <c r="K1717" s="2"/>
      <c r="L1717" s="10"/>
      <c r="M1717" s="9"/>
      <c r="N1717" s="2"/>
      <c r="O1717" s="2"/>
      <c r="P1717" s="2"/>
      <c r="Q1717" s="50"/>
      <c r="R1717" s="50"/>
      <c r="S1717" s="2">
        <f>IFERROR(VLOOKUP(A1717,IMPORT_DESISTENCIA!$A$2:$Q2273,14,0),"NÃO")</f>
        <v>0</v>
      </c>
      <c r="T1717" s="35"/>
    </row>
    <row r="1718" spans="1:20" ht="45" customHeight="1" x14ac:dyDescent="0.25">
      <c r="A1718" s="2" t="str">
        <f t="shared" si="1"/>
        <v/>
      </c>
      <c r="B1718" s="2"/>
      <c r="C1718" s="43"/>
      <c r="D1718" s="2"/>
      <c r="E1718" s="2"/>
      <c r="F1718" s="2"/>
      <c r="G1718" s="11"/>
      <c r="H1718" s="11"/>
      <c r="I1718" s="2"/>
      <c r="J1718" s="2"/>
      <c r="K1718" s="2"/>
      <c r="L1718" s="10"/>
      <c r="M1718" s="9"/>
      <c r="N1718" s="2"/>
      <c r="O1718" s="2"/>
      <c r="P1718" s="2"/>
      <c r="Q1718" s="50"/>
      <c r="R1718" s="50"/>
      <c r="S1718" s="2">
        <f>IFERROR(VLOOKUP(A1718,IMPORT_DESISTENCIA!$A$2:$Q2273,14,0),"NÃO")</f>
        <v>0</v>
      </c>
      <c r="T1718" s="35"/>
    </row>
    <row r="1719" spans="1:20" ht="45" customHeight="1" x14ac:dyDescent="0.25">
      <c r="A1719" s="2" t="str">
        <f t="shared" si="1"/>
        <v/>
      </c>
      <c r="B1719" s="2"/>
      <c r="C1719" s="43"/>
      <c r="D1719" s="2"/>
      <c r="E1719" s="2"/>
      <c r="F1719" s="2"/>
      <c r="G1719" s="11"/>
      <c r="H1719" s="11"/>
      <c r="I1719" s="2"/>
      <c r="J1719" s="2"/>
      <c r="K1719" s="2"/>
      <c r="L1719" s="10"/>
      <c r="M1719" s="9"/>
      <c r="N1719" s="2"/>
      <c r="O1719" s="2"/>
      <c r="P1719" s="2"/>
      <c r="Q1719" s="50"/>
      <c r="R1719" s="50"/>
      <c r="S1719" s="2">
        <f>IFERROR(VLOOKUP(A1719,IMPORT_DESISTENCIA!$A$2:$Q2273,14,0),"NÃO")</f>
        <v>0</v>
      </c>
      <c r="T1719" s="35"/>
    </row>
    <row r="1720" spans="1:20" ht="45" customHeight="1" x14ac:dyDescent="0.25">
      <c r="A1720" s="2" t="str">
        <f t="shared" si="1"/>
        <v/>
      </c>
      <c r="B1720" s="2"/>
      <c r="C1720" s="43"/>
      <c r="D1720" s="2"/>
      <c r="E1720" s="2"/>
      <c r="F1720" s="2"/>
      <c r="G1720" s="11"/>
      <c r="H1720" s="11"/>
      <c r="I1720" s="2"/>
      <c r="J1720" s="2"/>
      <c r="K1720" s="2"/>
      <c r="L1720" s="10"/>
      <c r="M1720" s="9"/>
      <c r="N1720" s="2"/>
      <c r="O1720" s="2"/>
      <c r="P1720" s="2"/>
      <c r="Q1720" s="50"/>
      <c r="R1720" s="50"/>
      <c r="S1720" s="2">
        <f>IFERROR(VLOOKUP(A1720,IMPORT_DESISTENCIA!$A$2:$Q2273,14,0),"NÃO")</f>
        <v>0</v>
      </c>
      <c r="T1720" s="35"/>
    </row>
    <row r="1721" spans="1:20" ht="45" customHeight="1" x14ac:dyDescent="0.25">
      <c r="A1721" s="2" t="str">
        <f t="shared" si="1"/>
        <v/>
      </c>
      <c r="B1721" s="2"/>
      <c r="C1721" s="43"/>
      <c r="D1721" s="2"/>
      <c r="E1721" s="2"/>
      <c r="F1721" s="2"/>
      <c r="G1721" s="11"/>
      <c r="H1721" s="11"/>
      <c r="I1721" s="2"/>
      <c r="J1721" s="2"/>
      <c r="K1721" s="2"/>
      <c r="L1721" s="10"/>
      <c r="M1721" s="9"/>
      <c r="N1721" s="2"/>
      <c r="O1721" s="2"/>
      <c r="P1721" s="2"/>
      <c r="Q1721" s="50"/>
      <c r="R1721" s="50"/>
      <c r="S1721" s="2">
        <f>IFERROR(VLOOKUP(A1721,IMPORT_DESISTENCIA!$A$2:$Q2273,14,0),"NÃO")</f>
        <v>0</v>
      </c>
      <c r="T1721" s="35"/>
    </row>
    <row r="1722" spans="1:20" ht="45" customHeight="1" x14ac:dyDescent="0.25">
      <c r="A1722" s="2" t="str">
        <f t="shared" si="1"/>
        <v/>
      </c>
      <c r="B1722" s="2"/>
      <c r="C1722" s="43"/>
      <c r="D1722" s="2"/>
      <c r="E1722" s="2"/>
      <c r="F1722" s="2"/>
      <c r="G1722" s="11"/>
      <c r="H1722" s="11"/>
      <c r="I1722" s="2"/>
      <c r="J1722" s="2"/>
      <c r="K1722" s="2"/>
      <c r="L1722" s="10"/>
      <c r="M1722" s="9"/>
      <c r="N1722" s="2"/>
      <c r="O1722" s="2"/>
      <c r="P1722" s="2"/>
      <c r="Q1722" s="50"/>
      <c r="R1722" s="50"/>
      <c r="S1722" s="2">
        <f>IFERROR(VLOOKUP(A1722,IMPORT_DESISTENCIA!$A$2:$Q2273,14,0),"NÃO")</f>
        <v>0</v>
      </c>
      <c r="T1722" s="35"/>
    </row>
    <row r="1723" spans="1:20" ht="45" customHeight="1" x14ac:dyDescent="0.25">
      <c r="A1723" s="2" t="str">
        <f t="shared" si="1"/>
        <v/>
      </c>
      <c r="B1723" s="2"/>
      <c r="C1723" s="43"/>
      <c r="D1723" s="2"/>
      <c r="E1723" s="2"/>
      <c r="F1723" s="2"/>
      <c r="G1723" s="11"/>
      <c r="H1723" s="11"/>
      <c r="I1723" s="2"/>
      <c r="J1723" s="2"/>
      <c r="K1723" s="2"/>
      <c r="L1723" s="10"/>
      <c r="M1723" s="9"/>
      <c r="N1723" s="2"/>
      <c r="O1723" s="2"/>
      <c r="P1723" s="2"/>
      <c r="Q1723" s="50"/>
      <c r="R1723" s="50"/>
      <c r="S1723" s="2">
        <f>IFERROR(VLOOKUP(A1723,IMPORT_DESISTENCIA!$A$2:$Q2273,14,0),"NÃO")</f>
        <v>0</v>
      </c>
      <c r="T1723" s="35"/>
    </row>
    <row r="1724" spans="1:20" ht="45" customHeight="1" x14ac:dyDescent="0.25">
      <c r="A1724" s="2" t="str">
        <f t="shared" si="1"/>
        <v/>
      </c>
      <c r="B1724" s="2"/>
      <c r="C1724" s="43"/>
      <c r="D1724" s="2"/>
      <c r="E1724" s="2"/>
      <c r="F1724" s="2"/>
      <c r="G1724" s="11"/>
      <c r="H1724" s="11"/>
      <c r="I1724" s="2"/>
      <c r="J1724" s="2"/>
      <c r="K1724" s="2"/>
      <c r="L1724" s="10"/>
      <c r="M1724" s="9"/>
      <c r="N1724" s="2"/>
      <c r="O1724" s="2"/>
      <c r="P1724" s="2"/>
      <c r="Q1724" s="50"/>
      <c r="R1724" s="50"/>
      <c r="S1724" s="2">
        <f>IFERROR(VLOOKUP(A1724,IMPORT_DESISTENCIA!$A$2:$Q2273,14,0),"NÃO")</f>
        <v>0</v>
      </c>
      <c r="T1724" s="35"/>
    </row>
    <row r="1725" spans="1:20" ht="45" customHeight="1" x14ac:dyDescent="0.25">
      <c r="A1725" s="2" t="str">
        <f t="shared" si="1"/>
        <v/>
      </c>
      <c r="B1725" s="2"/>
      <c r="C1725" s="43"/>
      <c r="D1725" s="2"/>
      <c r="E1725" s="2"/>
      <c r="F1725" s="2"/>
      <c r="G1725" s="11"/>
      <c r="H1725" s="11"/>
      <c r="I1725" s="2"/>
      <c r="J1725" s="2"/>
      <c r="K1725" s="2"/>
      <c r="L1725" s="10"/>
      <c r="M1725" s="9"/>
      <c r="N1725" s="2"/>
      <c r="O1725" s="2"/>
      <c r="P1725" s="2"/>
      <c r="Q1725" s="50"/>
      <c r="R1725" s="50"/>
      <c r="S1725" s="2">
        <f>IFERROR(VLOOKUP(A1725,IMPORT_DESISTENCIA!$A$2:$Q2273,14,0),"NÃO")</f>
        <v>0</v>
      </c>
      <c r="T1725" s="35"/>
    </row>
    <row r="1726" spans="1:20" ht="45" customHeight="1" x14ac:dyDescent="0.25">
      <c r="A1726" s="2" t="str">
        <f t="shared" si="1"/>
        <v/>
      </c>
      <c r="B1726" s="2"/>
      <c r="C1726" s="43"/>
      <c r="D1726" s="2"/>
      <c r="E1726" s="2"/>
      <c r="F1726" s="2"/>
      <c r="G1726" s="11"/>
      <c r="H1726" s="11"/>
      <c r="I1726" s="2"/>
      <c r="J1726" s="2"/>
      <c r="K1726" s="2"/>
      <c r="L1726" s="10"/>
      <c r="M1726" s="9"/>
      <c r="N1726" s="2"/>
      <c r="O1726" s="2"/>
      <c r="P1726" s="2"/>
      <c r="Q1726" s="50"/>
      <c r="R1726" s="50"/>
      <c r="S1726" s="2">
        <f>IFERROR(VLOOKUP(A1726,IMPORT_DESISTENCIA!$A$2:$Q2273,14,0),"NÃO")</f>
        <v>0</v>
      </c>
      <c r="T1726" s="35"/>
    </row>
    <row r="1727" spans="1:20" ht="45" customHeight="1" x14ac:dyDescent="0.25">
      <c r="A1727" s="2" t="str">
        <f t="shared" si="1"/>
        <v/>
      </c>
      <c r="B1727" s="2"/>
      <c r="C1727" s="43"/>
      <c r="D1727" s="2"/>
      <c r="E1727" s="2"/>
      <c r="F1727" s="2"/>
      <c r="G1727" s="11"/>
      <c r="H1727" s="11"/>
      <c r="I1727" s="2"/>
      <c r="J1727" s="2"/>
      <c r="K1727" s="2"/>
      <c r="L1727" s="10"/>
      <c r="M1727" s="9"/>
      <c r="N1727" s="2"/>
      <c r="O1727" s="2"/>
      <c r="P1727" s="2"/>
      <c r="Q1727" s="50"/>
      <c r="R1727" s="50"/>
      <c r="S1727" s="2">
        <f>IFERROR(VLOOKUP(A1727,IMPORT_DESISTENCIA!$A$2:$Q2273,14,0),"NÃO")</f>
        <v>0</v>
      </c>
      <c r="T1727" s="35"/>
    </row>
    <row r="1728" spans="1:20" ht="45" customHeight="1" x14ac:dyDescent="0.25">
      <c r="A1728" s="2" t="str">
        <f t="shared" si="1"/>
        <v/>
      </c>
      <c r="B1728" s="2"/>
      <c r="C1728" s="43"/>
      <c r="D1728" s="2"/>
      <c r="E1728" s="2"/>
      <c r="F1728" s="2"/>
      <c r="G1728" s="11"/>
      <c r="H1728" s="11"/>
      <c r="I1728" s="2"/>
      <c r="J1728" s="2"/>
      <c r="K1728" s="2"/>
      <c r="L1728" s="10"/>
      <c r="M1728" s="9"/>
      <c r="N1728" s="2"/>
      <c r="O1728" s="2"/>
      <c r="P1728" s="2"/>
      <c r="Q1728" s="50"/>
      <c r="R1728" s="50"/>
      <c r="S1728" s="2">
        <f>IFERROR(VLOOKUP(A1728,IMPORT_DESISTENCIA!$A$2:$Q2273,14,0),"NÃO")</f>
        <v>0</v>
      </c>
      <c r="T1728" s="35"/>
    </row>
    <row r="1729" spans="1:20" ht="45" customHeight="1" x14ac:dyDescent="0.25">
      <c r="A1729" s="2" t="str">
        <f t="shared" si="1"/>
        <v/>
      </c>
      <c r="B1729" s="2"/>
      <c r="C1729" s="43"/>
      <c r="D1729" s="2"/>
      <c r="E1729" s="2"/>
      <c r="F1729" s="2"/>
      <c r="G1729" s="11"/>
      <c r="H1729" s="11"/>
      <c r="I1729" s="2"/>
      <c r="J1729" s="2"/>
      <c r="K1729" s="2"/>
      <c r="L1729" s="10"/>
      <c r="M1729" s="9"/>
      <c r="N1729" s="2"/>
      <c r="O1729" s="2"/>
      <c r="P1729" s="2"/>
      <c r="Q1729" s="50"/>
      <c r="R1729" s="50"/>
      <c r="S1729" s="2">
        <f>IFERROR(VLOOKUP(A1729,IMPORT_DESISTENCIA!$A$2:$Q2273,14,0),"NÃO")</f>
        <v>0</v>
      </c>
      <c r="T1729" s="35"/>
    </row>
    <row r="1730" spans="1:20" ht="45" customHeight="1" x14ac:dyDescent="0.25">
      <c r="A1730" s="2" t="str">
        <f t="shared" si="1"/>
        <v/>
      </c>
      <c r="B1730" s="2"/>
      <c r="C1730" s="43"/>
      <c r="D1730" s="2"/>
      <c r="E1730" s="2"/>
      <c r="F1730" s="2"/>
      <c r="G1730" s="11"/>
      <c r="H1730" s="11"/>
      <c r="I1730" s="2"/>
      <c r="J1730" s="2"/>
      <c r="K1730" s="2"/>
      <c r="L1730" s="10"/>
      <c r="M1730" s="9"/>
      <c r="N1730" s="2"/>
      <c r="O1730" s="2"/>
      <c r="P1730" s="2"/>
      <c r="Q1730" s="50"/>
      <c r="R1730" s="50"/>
      <c r="S1730" s="2">
        <f>IFERROR(VLOOKUP(A1730,IMPORT_DESISTENCIA!$A$2:$Q2273,14,0),"NÃO")</f>
        <v>0</v>
      </c>
      <c r="T1730" s="35"/>
    </row>
    <row r="1731" spans="1:20" ht="45" customHeight="1" x14ac:dyDescent="0.25">
      <c r="A1731" s="2" t="str">
        <f t="shared" si="1"/>
        <v/>
      </c>
      <c r="B1731" s="2"/>
      <c r="C1731" s="43"/>
      <c r="D1731" s="2"/>
      <c r="E1731" s="2"/>
      <c r="F1731" s="2"/>
      <c r="G1731" s="11"/>
      <c r="H1731" s="11"/>
      <c r="I1731" s="2"/>
      <c r="J1731" s="2"/>
      <c r="K1731" s="2"/>
      <c r="L1731" s="10"/>
      <c r="M1731" s="9"/>
      <c r="N1731" s="2"/>
      <c r="O1731" s="2"/>
      <c r="P1731" s="2"/>
      <c r="Q1731" s="50"/>
      <c r="R1731" s="50"/>
      <c r="S1731" s="2">
        <f>IFERROR(VLOOKUP(A1731,IMPORT_DESISTENCIA!$A$2:$Q2273,14,0),"NÃO")</f>
        <v>0</v>
      </c>
      <c r="T1731" s="35"/>
    </row>
    <row r="1732" spans="1:20" ht="45" customHeight="1" x14ac:dyDescent="0.25">
      <c r="A1732" s="2" t="str">
        <f t="shared" si="1"/>
        <v/>
      </c>
      <c r="B1732" s="2"/>
      <c r="C1732" s="43"/>
      <c r="D1732" s="2"/>
      <c r="E1732" s="2"/>
      <c r="F1732" s="2"/>
      <c r="G1732" s="11"/>
      <c r="H1732" s="11"/>
      <c r="I1732" s="2"/>
      <c r="J1732" s="2"/>
      <c r="K1732" s="2"/>
      <c r="L1732" s="10"/>
      <c r="M1732" s="9"/>
      <c r="N1732" s="2"/>
      <c r="O1732" s="2"/>
      <c r="P1732" s="2"/>
      <c r="Q1732" s="50"/>
      <c r="R1732" s="50"/>
      <c r="S1732" s="2">
        <f>IFERROR(VLOOKUP(A1732,IMPORT_DESISTENCIA!$A$2:$Q2273,14,0),"NÃO")</f>
        <v>0</v>
      </c>
      <c r="T1732" s="35"/>
    </row>
    <row r="1733" spans="1:20" ht="45" customHeight="1" x14ac:dyDescent="0.25">
      <c r="A1733" s="2" t="str">
        <f t="shared" si="1"/>
        <v/>
      </c>
      <c r="B1733" s="2"/>
      <c r="C1733" s="43"/>
      <c r="D1733" s="2"/>
      <c r="E1733" s="2"/>
      <c r="F1733" s="2"/>
      <c r="G1733" s="11"/>
      <c r="H1733" s="11"/>
      <c r="I1733" s="2"/>
      <c r="J1733" s="2"/>
      <c r="K1733" s="2"/>
      <c r="L1733" s="10"/>
      <c r="M1733" s="9"/>
      <c r="N1733" s="2"/>
      <c r="O1733" s="2"/>
      <c r="P1733" s="2"/>
      <c r="Q1733" s="50"/>
      <c r="R1733" s="50"/>
      <c r="S1733" s="2">
        <f>IFERROR(VLOOKUP(A1733,IMPORT_DESISTENCIA!$A$2:$Q2273,14,0),"NÃO")</f>
        <v>0</v>
      </c>
      <c r="T1733" s="35"/>
    </row>
    <row r="1734" spans="1:20" ht="45" customHeight="1" x14ac:dyDescent="0.25">
      <c r="A1734" s="2" t="str">
        <f t="shared" si="1"/>
        <v/>
      </c>
      <c r="B1734" s="2"/>
      <c r="C1734" s="43"/>
      <c r="D1734" s="2"/>
      <c r="E1734" s="2"/>
      <c r="F1734" s="2"/>
      <c r="G1734" s="11"/>
      <c r="H1734" s="11"/>
      <c r="I1734" s="2"/>
      <c r="J1734" s="2"/>
      <c r="K1734" s="2"/>
      <c r="L1734" s="10"/>
      <c r="M1734" s="9"/>
      <c r="N1734" s="2"/>
      <c r="O1734" s="2"/>
      <c r="P1734" s="2"/>
      <c r="Q1734" s="50"/>
      <c r="R1734" s="50"/>
      <c r="S1734" s="2">
        <f>IFERROR(VLOOKUP(A1734,IMPORT_DESISTENCIA!$A$2:$Q2273,14,0),"NÃO")</f>
        <v>0</v>
      </c>
      <c r="T1734" s="35"/>
    </row>
    <row r="1735" spans="1:20" ht="45" customHeight="1" x14ac:dyDescent="0.25">
      <c r="A1735" s="2" t="str">
        <f t="shared" si="1"/>
        <v/>
      </c>
      <c r="B1735" s="2"/>
      <c r="C1735" s="43"/>
      <c r="D1735" s="2"/>
      <c r="E1735" s="2"/>
      <c r="F1735" s="2"/>
      <c r="G1735" s="11"/>
      <c r="H1735" s="11"/>
      <c r="I1735" s="2"/>
      <c r="J1735" s="2"/>
      <c r="K1735" s="2"/>
      <c r="L1735" s="10"/>
      <c r="M1735" s="9"/>
      <c r="N1735" s="2"/>
      <c r="O1735" s="2"/>
      <c r="P1735" s="2"/>
      <c r="Q1735" s="50"/>
      <c r="R1735" s="50"/>
      <c r="S1735" s="2">
        <f>IFERROR(VLOOKUP(A1735,IMPORT_DESISTENCIA!$A$2:$Q2273,14,0),"NÃO")</f>
        <v>0</v>
      </c>
      <c r="T1735" s="35"/>
    </row>
    <row r="1736" spans="1:20" ht="45" customHeight="1" x14ac:dyDescent="0.25">
      <c r="A1736" s="2" t="str">
        <f t="shared" si="1"/>
        <v/>
      </c>
      <c r="B1736" s="2"/>
      <c r="C1736" s="43"/>
      <c r="D1736" s="2"/>
      <c r="E1736" s="2"/>
      <c r="F1736" s="2"/>
      <c r="G1736" s="11"/>
      <c r="H1736" s="11"/>
      <c r="I1736" s="2"/>
      <c r="J1736" s="2"/>
      <c r="K1736" s="2"/>
      <c r="L1736" s="10"/>
      <c r="M1736" s="9"/>
      <c r="N1736" s="2"/>
      <c r="O1736" s="2"/>
      <c r="P1736" s="2"/>
      <c r="Q1736" s="50"/>
      <c r="R1736" s="50"/>
      <c r="S1736" s="2">
        <f>IFERROR(VLOOKUP(A1736,IMPORT_DESISTENCIA!$A$2:$Q2273,14,0),"NÃO")</f>
        <v>0</v>
      </c>
      <c r="T1736" s="35"/>
    </row>
    <row r="1737" spans="1:20" ht="45" customHeight="1" x14ac:dyDescent="0.25">
      <c r="A1737" s="2" t="str">
        <f t="shared" si="1"/>
        <v/>
      </c>
      <c r="B1737" s="2"/>
      <c r="C1737" s="43"/>
      <c r="D1737" s="2"/>
      <c r="E1737" s="2"/>
      <c r="F1737" s="2"/>
      <c r="G1737" s="11"/>
      <c r="H1737" s="11"/>
      <c r="I1737" s="2"/>
      <c r="J1737" s="2"/>
      <c r="K1737" s="2"/>
      <c r="L1737" s="10"/>
      <c r="M1737" s="9"/>
      <c r="N1737" s="2"/>
      <c r="O1737" s="2"/>
      <c r="P1737" s="2"/>
      <c r="Q1737" s="50"/>
      <c r="R1737" s="50"/>
      <c r="S1737" s="2">
        <f>IFERROR(VLOOKUP(A1737,IMPORT_DESISTENCIA!$A$2:$Q2273,14,0),"NÃO")</f>
        <v>0</v>
      </c>
      <c r="T1737" s="35"/>
    </row>
    <row r="1738" spans="1:20" ht="45" customHeight="1" x14ac:dyDescent="0.25">
      <c r="A1738" s="2" t="str">
        <f t="shared" si="1"/>
        <v/>
      </c>
      <c r="B1738" s="2"/>
      <c r="C1738" s="43"/>
      <c r="D1738" s="2"/>
      <c r="E1738" s="2"/>
      <c r="F1738" s="2"/>
      <c r="G1738" s="11"/>
      <c r="H1738" s="11"/>
      <c r="I1738" s="2"/>
      <c r="J1738" s="2"/>
      <c r="K1738" s="2"/>
      <c r="L1738" s="10"/>
      <c r="M1738" s="9"/>
      <c r="N1738" s="2"/>
      <c r="O1738" s="2"/>
      <c r="P1738" s="2"/>
      <c r="Q1738" s="50"/>
      <c r="R1738" s="50"/>
      <c r="S1738" s="2">
        <f>IFERROR(VLOOKUP(A1738,IMPORT_DESISTENCIA!$A$2:$Q2273,14,0),"NÃO")</f>
        <v>0</v>
      </c>
      <c r="T1738" s="35"/>
    </row>
    <row r="1739" spans="1:20" ht="45" customHeight="1" x14ac:dyDescent="0.25">
      <c r="A1739" s="2" t="str">
        <f t="shared" si="1"/>
        <v/>
      </c>
      <c r="B1739" s="2"/>
      <c r="C1739" s="43"/>
      <c r="D1739" s="2"/>
      <c r="E1739" s="2"/>
      <c r="F1739" s="2"/>
      <c r="G1739" s="11"/>
      <c r="H1739" s="11"/>
      <c r="I1739" s="2"/>
      <c r="J1739" s="2"/>
      <c r="K1739" s="2"/>
      <c r="L1739" s="10"/>
      <c r="M1739" s="9"/>
      <c r="N1739" s="2"/>
      <c r="O1739" s="2"/>
      <c r="P1739" s="2"/>
      <c r="Q1739" s="50"/>
      <c r="R1739" s="50"/>
      <c r="S1739" s="2">
        <f>IFERROR(VLOOKUP(A1739,IMPORT_DESISTENCIA!$A$2:$Q2273,14,0),"NÃO")</f>
        <v>0</v>
      </c>
      <c r="T1739" s="35"/>
    </row>
    <row r="1740" spans="1:20" ht="45" customHeight="1" x14ac:dyDescent="0.25">
      <c r="A1740" s="2" t="str">
        <f t="shared" si="1"/>
        <v/>
      </c>
      <c r="B1740" s="2"/>
      <c r="C1740" s="43"/>
      <c r="D1740" s="2"/>
      <c r="E1740" s="2"/>
      <c r="F1740" s="2"/>
      <c r="G1740" s="11"/>
      <c r="H1740" s="11"/>
      <c r="I1740" s="2"/>
      <c r="J1740" s="2"/>
      <c r="K1740" s="2"/>
      <c r="L1740" s="10"/>
      <c r="M1740" s="9"/>
      <c r="N1740" s="2"/>
      <c r="O1740" s="2"/>
      <c r="P1740" s="2"/>
      <c r="Q1740" s="50"/>
      <c r="R1740" s="50"/>
      <c r="S1740" s="2">
        <f>IFERROR(VLOOKUP(A1740,IMPORT_DESISTENCIA!$A$2:$Q2273,14,0),"NÃO")</f>
        <v>0</v>
      </c>
      <c r="T1740" s="35"/>
    </row>
    <row r="1741" spans="1:20" ht="45" customHeight="1" x14ac:dyDescent="0.25">
      <c r="A1741" s="2" t="str">
        <f t="shared" si="1"/>
        <v/>
      </c>
      <c r="B1741" s="2"/>
      <c r="C1741" s="43"/>
      <c r="D1741" s="2"/>
      <c r="E1741" s="2"/>
      <c r="F1741" s="2"/>
      <c r="G1741" s="11"/>
      <c r="H1741" s="11"/>
      <c r="I1741" s="2"/>
      <c r="J1741" s="2"/>
      <c r="K1741" s="2"/>
      <c r="L1741" s="10"/>
      <c r="M1741" s="9"/>
      <c r="N1741" s="2"/>
      <c r="O1741" s="2"/>
      <c r="P1741" s="2"/>
      <c r="Q1741" s="50"/>
      <c r="R1741" s="50"/>
      <c r="S1741" s="2">
        <f>IFERROR(VLOOKUP(A1741,IMPORT_DESISTENCIA!$A$2:$Q2273,14,0),"NÃO")</f>
        <v>0</v>
      </c>
      <c r="T1741" s="35"/>
    </row>
    <row r="1742" spans="1:20" ht="45" customHeight="1" x14ac:dyDescent="0.25">
      <c r="A1742" s="2" t="str">
        <f t="shared" si="1"/>
        <v/>
      </c>
      <c r="B1742" s="2"/>
      <c r="C1742" s="43"/>
      <c r="D1742" s="2"/>
      <c r="E1742" s="2"/>
      <c r="F1742" s="2"/>
      <c r="G1742" s="11"/>
      <c r="H1742" s="11"/>
      <c r="I1742" s="2"/>
      <c r="J1742" s="2"/>
      <c r="K1742" s="2"/>
      <c r="L1742" s="10"/>
      <c r="M1742" s="9"/>
      <c r="N1742" s="2"/>
      <c r="O1742" s="2"/>
      <c r="P1742" s="2"/>
      <c r="Q1742" s="50"/>
      <c r="R1742" s="50"/>
      <c r="S1742" s="2">
        <f>IFERROR(VLOOKUP(A1742,IMPORT_DESISTENCIA!$A$2:$Q2273,14,0),"NÃO")</f>
        <v>0</v>
      </c>
      <c r="T1742" s="35"/>
    </row>
    <row r="1743" spans="1:20" ht="45" customHeight="1" x14ac:dyDescent="0.25">
      <c r="A1743" s="2" t="str">
        <f t="shared" si="1"/>
        <v/>
      </c>
      <c r="B1743" s="2"/>
      <c r="C1743" s="43"/>
      <c r="D1743" s="2"/>
      <c r="E1743" s="2"/>
      <c r="F1743" s="2"/>
      <c r="G1743" s="11"/>
      <c r="H1743" s="11"/>
      <c r="I1743" s="2"/>
      <c r="J1743" s="2"/>
      <c r="K1743" s="2"/>
      <c r="L1743" s="10"/>
      <c r="M1743" s="9"/>
      <c r="N1743" s="2"/>
      <c r="O1743" s="2"/>
      <c r="P1743" s="2"/>
      <c r="Q1743" s="50"/>
      <c r="R1743" s="50"/>
      <c r="S1743" s="2">
        <f>IFERROR(VLOOKUP(A1743,IMPORT_DESISTENCIA!$A$2:$Q2273,14,0),"NÃO")</f>
        <v>0</v>
      </c>
      <c r="T1743" s="35"/>
    </row>
    <row r="1744" spans="1:20" ht="45" customHeight="1" x14ac:dyDescent="0.25">
      <c r="A1744" s="2" t="str">
        <f t="shared" si="1"/>
        <v/>
      </c>
      <c r="B1744" s="2"/>
      <c r="C1744" s="43"/>
      <c r="D1744" s="2"/>
      <c r="E1744" s="2"/>
      <c r="F1744" s="2"/>
      <c r="G1744" s="11"/>
      <c r="H1744" s="11"/>
      <c r="I1744" s="2"/>
      <c r="J1744" s="2"/>
      <c r="K1744" s="2"/>
      <c r="L1744" s="10"/>
      <c r="M1744" s="9"/>
      <c r="N1744" s="2"/>
      <c r="O1744" s="2"/>
      <c r="P1744" s="2"/>
      <c r="Q1744" s="50"/>
      <c r="R1744" s="50"/>
      <c r="S1744" s="2">
        <f>IFERROR(VLOOKUP(A1744,IMPORT_DESISTENCIA!$A$2:$Q2273,14,0),"NÃO")</f>
        <v>0</v>
      </c>
      <c r="T1744" s="35"/>
    </row>
    <row r="1745" spans="1:20" ht="45" customHeight="1" x14ac:dyDescent="0.25">
      <c r="A1745" s="2" t="str">
        <f t="shared" si="1"/>
        <v/>
      </c>
      <c r="B1745" s="2"/>
      <c r="C1745" s="43"/>
      <c r="D1745" s="2"/>
      <c r="E1745" s="2"/>
      <c r="F1745" s="2"/>
      <c r="G1745" s="11"/>
      <c r="H1745" s="11"/>
      <c r="I1745" s="2"/>
      <c r="J1745" s="2"/>
      <c r="K1745" s="2"/>
      <c r="L1745" s="10"/>
      <c r="M1745" s="9"/>
      <c r="N1745" s="2"/>
      <c r="O1745" s="2"/>
      <c r="P1745" s="2"/>
      <c r="Q1745" s="50"/>
      <c r="R1745" s="50"/>
      <c r="S1745" s="2">
        <f>IFERROR(VLOOKUP(A1745,IMPORT_DESISTENCIA!$A$2:$Q2273,14,0),"NÃO")</f>
        <v>0</v>
      </c>
      <c r="T1745" s="35"/>
    </row>
    <row r="1746" spans="1:20" ht="45" customHeight="1" x14ac:dyDescent="0.25">
      <c r="A1746" s="2" t="str">
        <f t="shared" si="1"/>
        <v/>
      </c>
      <c r="B1746" s="2"/>
      <c r="C1746" s="43"/>
      <c r="D1746" s="2"/>
      <c r="E1746" s="2"/>
      <c r="F1746" s="2"/>
      <c r="G1746" s="11"/>
      <c r="H1746" s="11"/>
      <c r="I1746" s="2"/>
      <c r="J1746" s="2"/>
      <c r="K1746" s="2"/>
      <c r="L1746" s="10"/>
      <c r="M1746" s="9"/>
      <c r="N1746" s="2"/>
      <c r="O1746" s="2"/>
      <c r="P1746" s="2"/>
      <c r="Q1746" s="50"/>
      <c r="R1746" s="50"/>
      <c r="S1746" s="2">
        <f>IFERROR(VLOOKUP(A1746,IMPORT_DESISTENCIA!$A$2:$Q2273,14,0),"NÃO")</f>
        <v>0</v>
      </c>
      <c r="T1746" s="35"/>
    </row>
    <row r="1747" spans="1:20" ht="45" customHeight="1" x14ac:dyDescent="0.25">
      <c r="A1747" s="2" t="str">
        <f t="shared" si="1"/>
        <v/>
      </c>
      <c r="B1747" s="2"/>
      <c r="C1747" s="43"/>
      <c r="D1747" s="2"/>
      <c r="E1747" s="2"/>
      <c r="F1747" s="2"/>
      <c r="G1747" s="11"/>
      <c r="H1747" s="11"/>
      <c r="I1747" s="2"/>
      <c r="J1747" s="2"/>
      <c r="K1747" s="2"/>
      <c r="L1747" s="10"/>
      <c r="M1747" s="9"/>
      <c r="N1747" s="2"/>
      <c r="O1747" s="2"/>
      <c r="P1747" s="2"/>
      <c r="Q1747" s="50"/>
      <c r="R1747" s="50"/>
      <c r="S1747" s="2">
        <f>IFERROR(VLOOKUP(A1747,IMPORT_DESISTENCIA!$A$2:$Q2273,14,0),"NÃO")</f>
        <v>0</v>
      </c>
      <c r="T1747" s="35"/>
    </row>
    <row r="1748" spans="1:20" ht="45" customHeight="1" x14ac:dyDescent="0.25">
      <c r="A1748" s="2" t="str">
        <f t="shared" si="1"/>
        <v/>
      </c>
      <c r="B1748" s="2"/>
      <c r="C1748" s="43"/>
      <c r="D1748" s="2"/>
      <c r="E1748" s="2"/>
      <c r="F1748" s="2"/>
      <c r="G1748" s="11"/>
      <c r="H1748" s="11"/>
      <c r="I1748" s="2"/>
      <c r="J1748" s="2"/>
      <c r="K1748" s="2"/>
      <c r="L1748" s="10"/>
      <c r="M1748" s="9"/>
      <c r="N1748" s="2"/>
      <c r="O1748" s="2"/>
      <c r="P1748" s="2"/>
      <c r="Q1748" s="50"/>
      <c r="R1748" s="50"/>
      <c r="S1748" s="2">
        <f>IFERROR(VLOOKUP(A1748,IMPORT_DESISTENCIA!$A$2:$Q2273,14,0),"NÃO")</f>
        <v>0</v>
      </c>
      <c r="T1748" s="35"/>
    </row>
    <row r="1749" spans="1:20" ht="45" customHeight="1" x14ac:dyDescent="0.25">
      <c r="A1749" s="2" t="str">
        <f t="shared" si="1"/>
        <v/>
      </c>
      <c r="B1749" s="2"/>
      <c r="C1749" s="43"/>
      <c r="D1749" s="2"/>
      <c r="E1749" s="2"/>
      <c r="F1749" s="2"/>
      <c r="G1749" s="11"/>
      <c r="H1749" s="11"/>
      <c r="I1749" s="2"/>
      <c r="J1749" s="2"/>
      <c r="K1749" s="2"/>
      <c r="L1749" s="10"/>
      <c r="M1749" s="9"/>
      <c r="N1749" s="2"/>
      <c r="O1749" s="2"/>
      <c r="P1749" s="2"/>
      <c r="Q1749" s="50"/>
      <c r="R1749" s="50"/>
      <c r="S1749" s="2">
        <f>IFERROR(VLOOKUP(A1749,IMPORT_DESISTENCIA!$A$2:$Q2273,14,0),"NÃO")</f>
        <v>0</v>
      </c>
      <c r="T1749" s="35"/>
    </row>
    <row r="1750" spans="1:20" ht="45" customHeight="1" x14ac:dyDescent="0.25">
      <c r="A1750" s="2" t="str">
        <f t="shared" si="1"/>
        <v/>
      </c>
      <c r="B1750" s="2"/>
      <c r="C1750" s="43"/>
      <c r="D1750" s="2"/>
      <c r="E1750" s="2"/>
      <c r="F1750" s="2"/>
      <c r="G1750" s="11"/>
      <c r="H1750" s="11"/>
      <c r="I1750" s="2"/>
      <c r="J1750" s="2"/>
      <c r="K1750" s="2"/>
      <c r="L1750" s="10"/>
      <c r="M1750" s="9"/>
      <c r="N1750" s="2"/>
      <c r="O1750" s="2"/>
      <c r="P1750" s="2"/>
      <c r="Q1750" s="50"/>
      <c r="R1750" s="50"/>
      <c r="S1750" s="2">
        <f>IFERROR(VLOOKUP(A1750,IMPORT_DESISTENCIA!$A$2:$Q2273,14,0),"NÃO")</f>
        <v>0</v>
      </c>
      <c r="T1750" s="35"/>
    </row>
    <row r="1751" spans="1:20" ht="45" customHeight="1" x14ac:dyDescent="0.25">
      <c r="A1751" s="2" t="str">
        <f t="shared" si="1"/>
        <v/>
      </c>
      <c r="B1751" s="2"/>
      <c r="C1751" s="43"/>
      <c r="D1751" s="2"/>
      <c r="E1751" s="2"/>
      <c r="F1751" s="2"/>
      <c r="G1751" s="11"/>
      <c r="H1751" s="11"/>
      <c r="I1751" s="2"/>
      <c r="J1751" s="2"/>
      <c r="K1751" s="2"/>
      <c r="L1751" s="10"/>
      <c r="M1751" s="9"/>
      <c r="N1751" s="2"/>
      <c r="O1751" s="2"/>
      <c r="P1751" s="2"/>
      <c r="Q1751" s="50"/>
      <c r="R1751" s="50"/>
      <c r="S1751" s="2">
        <f>IFERROR(VLOOKUP(A1751,IMPORT_DESISTENCIA!$A$2:$Q2273,14,0),"NÃO")</f>
        <v>0</v>
      </c>
      <c r="T1751" s="35"/>
    </row>
    <row r="1752" spans="1:20" ht="45" customHeight="1" x14ac:dyDescent="0.25">
      <c r="A1752" s="2" t="str">
        <f t="shared" si="1"/>
        <v/>
      </c>
      <c r="B1752" s="2"/>
      <c r="C1752" s="43"/>
      <c r="D1752" s="2"/>
      <c r="E1752" s="2"/>
      <c r="F1752" s="2"/>
      <c r="G1752" s="11"/>
      <c r="H1752" s="11"/>
      <c r="I1752" s="2"/>
      <c r="J1752" s="2"/>
      <c r="K1752" s="2"/>
      <c r="L1752" s="10"/>
      <c r="M1752" s="9"/>
      <c r="N1752" s="2"/>
      <c r="O1752" s="2"/>
      <c r="P1752" s="2"/>
      <c r="Q1752" s="50"/>
      <c r="R1752" s="50"/>
      <c r="S1752" s="2">
        <f>IFERROR(VLOOKUP(A1752,IMPORT_DESISTENCIA!$A$2:$Q2273,14,0),"NÃO")</f>
        <v>0</v>
      </c>
      <c r="T1752" s="35"/>
    </row>
    <row r="1753" spans="1:20" ht="45" customHeight="1" x14ac:dyDescent="0.25">
      <c r="A1753" s="2" t="str">
        <f t="shared" si="1"/>
        <v/>
      </c>
      <c r="B1753" s="2"/>
      <c r="C1753" s="43"/>
      <c r="D1753" s="2"/>
      <c r="E1753" s="2"/>
      <c r="F1753" s="2"/>
      <c r="G1753" s="11"/>
      <c r="H1753" s="11"/>
      <c r="I1753" s="2"/>
      <c r="J1753" s="2"/>
      <c r="K1753" s="2"/>
      <c r="L1753" s="10"/>
      <c r="M1753" s="9"/>
      <c r="N1753" s="2"/>
      <c r="O1753" s="2"/>
      <c r="P1753" s="2"/>
      <c r="Q1753" s="50"/>
      <c r="R1753" s="50"/>
      <c r="S1753" s="2">
        <f>IFERROR(VLOOKUP(A1753,IMPORT_DESISTENCIA!$A$2:$Q2273,14,0),"NÃO")</f>
        <v>0</v>
      </c>
      <c r="T1753" s="35"/>
    </row>
    <row r="1754" spans="1:20" ht="45" customHeight="1" x14ac:dyDescent="0.25">
      <c r="A1754" s="2" t="str">
        <f t="shared" si="1"/>
        <v/>
      </c>
      <c r="B1754" s="2"/>
      <c r="C1754" s="43"/>
      <c r="D1754" s="2"/>
      <c r="E1754" s="2"/>
      <c r="F1754" s="2"/>
      <c r="G1754" s="11"/>
      <c r="H1754" s="11"/>
      <c r="I1754" s="2"/>
      <c r="J1754" s="2"/>
      <c r="K1754" s="2"/>
      <c r="L1754" s="10"/>
      <c r="M1754" s="9"/>
      <c r="N1754" s="2"/>
      <c r="O1754" s="2"/>
      <c r="P1754" s="2"/>
      <c r="Q1754" s="50"/>
      <c r="R1754" s="50"/>
      <c r="S1754" s="2">
        <f>IFERROR(VLOOKUP(A1754,IMPORT_DESISTENCIA!$A$2:$Q2273,14,0),"NÃO")</f>
        <v>0</v>
      </c>
      <c r="T1754" s="35"/>
    </row>
    <row r="1755" spans="1:20" ht="45" customHeight="1" x14ac:dyDescent="0.25">
      <c r="A1755" s="2" t="str">
        <f t="shared" si="1"/>
        <v/>
      </c>
      <c r="B1755" s="2"/>
      <c r="C1755" s="43"/>
      <c r="D1755" s="2"/>
      <c r="E1755" s="2"/>
      <c r="F1755" s="2"/>
      <c r="G1755" s="11"/>
      <c r="H1755" s="11"/>
      <c r="I1755" s="2"/>
      <c r="J1755" s="2"/>
      <c r="K1755" s="2"/>
      <c r="L1755" s="10"/>
      <c r="M1755" s="9"/>
      <c r="N1755" s="2"/>
      <c r="O1755" s="2"/>
      <c r="P1755" s="2"/>
      <c r="Q1755" s="50"/>
      <c r="R1755" s="50"/>
      <c r="S1755" s="2">
        <f>IFERROR(VLOOKUP(A1755,IMPORT_DESISTENCIA!$A$2:$Q2273,14,0),"NÃO")</f>
        <v>0</v>
      </c>
      <c r="T1755" s="35"/>
    </row>
    <row r="1756" spans="1:20" ht="45" customHeight="1" x14ac:dyDescent="0.25">
      <c r="A1756" s="2" t="str">
        <f t="shared" si="1"/>
        <v/>
      </c>
      <c r="B1756" s="2"/>
      <c r="C1756" s="43"/>
      <c r="D1756" s="2"/>
      <c r="E1756" s="2"/>
      <c r="F1756" s="2"/>
      <c r="G1756" s="11"/>
      <c r="H1756" s="11"/>
      <c r="I1756" s="2"/>
      <c r="J1756" s="2"/>
      <c r="K1756" s="2"/>
      <c r="L1756" s="10"/>
      <c r="M1756" s="9"/>
      <c r="N1756" s="2"/>
      <c r="O1756" s="2"/>
      <c r="P1756" s="2"/>
      <c r="Q1756" s="50"/>
      <c r="R1756" s="50"/>
      <c r="S1756" s="2">
        <f>IFERROR(VLOOKUP(A1756,IMPORT_DESISTENCIA!$A$2:$Q2273,14,0),"NÃO")</f>
        <v>0</v>
      </c>
      <c r="T1756" s="35"/>
    </row>
    <row r="1757" spans="1:20" ht="45" customHeight="1" x14ac:dyDescent="0.25">
      <c r="A1757" s="2" t="str">
        <f t="shared" si="1"/>
        <v/>
      </c>
      <c r="B1757" s="2"/>
      <c r="C1757" s="43"/>
      <c r="D1757" s="2"/>
      <c r="E1757" s="2"/>
      <c r="F1757" s="2"/>
      <c r="G1757" s="11"/>
      <c r="H1757" s="11"/>
      <c r="I1757" s="2"/>
      <c r="J1757" s="2"/>
      <c r="K1757" s="2"/>
      <c r="L1757" s="10"/>
      <c r="M1757" s="9"/>
      <c r="N1757" s="2"/>
      <c r="O1757" s="2"/>
      <c r="P1757" s="2"/>
      <c r="Q1757" s="50"/>
      <c r="R1757" s="50"/>
      <c r="S1757" s="2">
        <f>IFERROR(VLOOKUP(A1757,IMPORT_DESISTENCIA!$A$2:$Q2273,14,0),"NÃO")</f>
        <v>0</v>
      </c>
      <c r="T1757" s="35"/>
    </row>
    <row r="1758" spans="1:20" ht="45" customHeight="1" x14ac:dyDescent="0.25">
      <c r="A1758" s="2" t="str">
        <f t="shared" si="1"/>
        <v/>
      </c>
      <c r="B1758" s="2"/>
      <c r="C1758" s="43"/>
      <c r="D1758" s="2"/>
      <c r="E1758" s="2"/>
      <c r="F1758" s="2"/>
      <c r="G1758" s="11"/>
      <c r="H1758" s="11"/>
      <c r="I1758" s="2"/>
      <c r="J1758" s="2"/>
      <c r="K1758" s="2"/>
      <c r="L1758" s="10"/>
      <c r="M1758" s="9"/>
      <c r="N1758" s="2"/>
      <c r="O1758" s="2"/>
      <c r="P1758" s="2"/>
      <c r="Q1758" s="50"/>
      <c r="R1758" s="50"/>
      <c r="S1758" s="2">
        <f>IFERROR(VLOOKUP(A1758,IMPORT_DESISTENCIA!$A$2:$Q2273,14,0),"NÃO")</f>
        <v>0</v>
      </c>
      <c r="T1758" s="35"/>
    </row>
    <row r="1759" spans="1:20" ht="45" customHeight="1" x14ac:dyDescent="0.25">
      <c r="A1759" s="2" t="str">
        <f t="shared" si="1"/>
        <v/>
      </c>
      <c r="B1759" s="2"/>
      <c r="C1759" s="43"/>
      <c r="D1759" s="2"/>
      <c r="E1759" s="2"/>
      <c r="F1759" s="2"/>
      <c r="G1759" s="11"/>
      <c r="H1759" s="11"/>
      <c r="I1759" s="2"/>
      <c r="J1759" s="2"/>
      <c r="K1759" s="2"/>
      <c r="L1759" s="10"/>
      <c r="M1759" s="9"/>
      <c r="N1759" s="2"/>
      <c r="O1759" s="2"/>
      <c r="P1759" s="2"/>
      <c r="Q1759" s="50"/>
      <c r="R1759" s="50"/>
      <c r="S1759" s="2">
        <f>IFERROR(VLOOKUP(A1759,IMPORT_DESISTENCIA!$A$2:$Q2273,14,0),"NÃO")</f>
        <v>0</v>
      </c>
      <c r="T1759" s="35"/>
    </row>
    <row r="1760" spans="1:20" ht="45" customHeight="1" x14ac:dyDescent="0.25">
      <c r="A1760" s="2" t="str">
        <f t="shared" si="1"/>
        <v/>
      </c>
      <c r="B1760" s="2"/>
      <c r="C1760" s="43"/>
      <c r="D1760" s="2"/>
      <c r="E1760" s="2"/>
      <c r="F1760" s="2"/>
      <c r="G1760" s="11"/>
      <c r="H1760" s="11"/>
      <c r="I1760" s="2"/>
      <c r="J1760" s="2"/>
      <c r="K1760" s="2"/>
      <c r="L1760" s="10"/>
      <c r="M1760" s="9"/>
      <c r="N1760" s="2"/>
      <c r="O1760" s="2"/>
      <c r="P1760" s="2"/>
      <c r="Q1760" s="50"/>
      <c r="R1760" s="50"/>
      <c r="S1760" s="2">
        <f>IFERROR(VLOOKUP(A1760,IMPORT_DESISTENCIA!$A$2:$Q2273,14,0),"NÃO")</f>
        <v>0</v>
      </c>
      <c r="T1760" s="35"/>
    </row>
    <row r="1761" spans="1:20" ht="45" customHeight="1" x14ac:dyDescent="0.25">
      <c r="A1761" s="2" t="str">
        <f t="shared" si="1"/>
        <v/>
      </c>
      <c r="B1761" s="2"/>
      <c r="C1761" s="43"/>
      <c r="D1761" s="2"/>
      <c r="E1761" s="2"/>
      <c r="F1761" s="2"/>
      <c r="G1761" s="11"/>
      <c r="H1761" s="11"/>
      <c r="I1761" s="2"/>
      <c r="J1761" s="2"/>
      <c r="K1761" s="2"/>
      <c r="L1761" s="10"/>
      <c r="M1761" s="9"/>
      <c r="N1761" s="2"/>
      <c r="O1761" s="2"/>
      <c r="P1761" s="2"/>
      <c r="Q1761" s="50"/>
      <c r="R1761" s="50"/>
      <c r="S1761" s="2">
        <f>IFERROR(VLOOKUP(A1761,IMPORT_DESISTENCIA!$A$2:$Q2273,14,0),"NÃO")</f>
        <v>0</v>
      </c>
      <c r="T1761" s="35"/>
    </row>
    <row r="1762" spans="1:20" ht="45" customHeight="1" x14ac:dyDescent="0.25">
      <c r="A1762" s="2" t="str">
        <f t="shared" si="1"/>
        <v/>
      </c>
      <c r="B1762" s="2"/>
      <c r="C1762" s="43"/>
      <c r="D1762" s="2"/>
      <c r="E1762" s="2"/>
      <c r="F1762" s="2"/>
      <c r="G1762" s="11"/>
      <c r="H1762" s="11"/>
      <c r="I1762" s="2"/>
      <c r="J1762" s="2"/>
      <c r="K1762" s="2"/>
      <c r="L1762" s="10"/>
      <c r="M1762" s="9"/>
      <c r="N1762" s="2"/>
      <c r="O1762" s="2"/>
      <c r="P1762" s="2"/>
      <c r="Q1762" s="50"/>
      <c r="R1762" s="50"/>
      <c r="S1762" s="2">
        <f>IFERROR(VLOOKUP(A1762,IMPORT_DESISTENCIA!$A$2:$Q2273,14,0),"NÃO")</f>
        <v>0</v>
      </c>
      <c r="T1762" s="35"/>
    </row>
    <row r="1763" spans="1:20" ht="45" customHeight="1" x14ac:dyDescent="0.25">
      <c r="A1763" s="2" t="str">
        <f t="shared" si="1"/>
        <v/>
      </c>
      <c r="B1763" s="2"/>
      <c r="C1763" s="43"/>
      <c r="D1763" s="2"/>
      <c r="E1763" s="2"/>
      <c r="F1763" s="2"/>
      <c r="G1763" s="11"/>
      <c r="H1763" s="11"/>
      <c r="I1763" s="2"/>
      <c r="J1763" s="2"/>
      <c r="K1763" s="2"/>
      <c r="L1763" s="10"/>
      <c r="M1763" s="9"/>
      <c r="N1763" s="2"/>
      <c r="O1763" s="2"/>
      <c r="P1763" s="2"/>
      <c r="Q1763" s="50"/>
      <c r="R1763" s="50"/>
      <c r="S1763" s="2">
        <f>IFERROR(VLOOKUP(A1763,IMPORT_DESISTENCIA!$A$2:$Q2273,14,0),"NÃO")</f>
        <v>0</v>
      </c>
      <c r="T1763" s="35"/>
    </row>
    <row r="1764" spans="1:20" ht="45" customHeight="1" x14ac:dyDescent="0.25">
      <c r="A1764" s="2" t="str">
        <f t="shared" si="1"/>
        <v/>
      </c>
      <c r="B1764" s="2"/>
      <c r="C1764" s="43"/>
      <c r="D1764" s="2"/>
      <c r="E1764" s="2"/>
      <c r="F1764" s="2"/>
      <c r="G1764" s="11"/>
      <c r="H1764" s="11"/>
      <c r="I1764" s="2"/>
      <c r="J1764" s="2"/>
      <c r="K1764" s="2"/>
      <c r="L1764" s="10"/>
      <c r="M1764" s="9"/>
      <c r="N1764" s="2"/>
      <c r="O1764" s="2"/>
      <c r="P1764" s="2"/>
      <c r="Q1764" s="50"/>
      <c r="R1764" s="50"/>
      <c r="S1764" s="2">
        <f>IFERROR(VLOOKUP(A1764,IMPORT_DESISTENCIA!$A$2:$Q2273,14,0),"NÃO")</f>
        <v>0</v>
      </c>
      <c r="T1764" s="35"/>
    </row>
    <row r="1765" spans="1:20" ht="45" customHeight="1" x14ac:dyDescent="0.25">
      <c r="A1765" s="2" t="str">
        <f t="shared" si="1"/>
        <v/>
      </c>
      <c r="B1765" s="2"/>
      <c r="C1765" s="43"/>
      <c r="D1765" s="2"/>
      <c r="E1765" s="2"/>
      <c r="F1765" s="2"/>
      <c r="G1765" s="11"/>
      <c r="H1765" s="11"/>
      <c r="I1765" s="2"/>
      <c r="J1765" s="2"/>
      <c r="K1765" s="2"/>
      <c r="L1765" s="10"/>
      <c r="M1765" s="9"/>
      <c r="N1765" s="2"/>
      <c r="O1765" s="2"/>
      <c r="P1765" s="2"/>
      <c r="Q1765" s="50"/>
      <c r="R1765" s="50"/>
      <c r="S1765" s="2">
        <f>IFERROR(VLOOKUP(A1765,IMPORT_DESISTENCIA!$A$2:$Q2273,14,0),"NÃO")</f>
        <v>0</v>
      </c>
      <c r="T1765" s="35"/>
    </row>
    <row r="1766" spans="1:20" ht="45" customHeight="1" x14ac:dyDescent="0.25">
      <c r="A1766" s="2" t="str">
        <f t="shared" si="1"/>
        <v/>
      </c>
      <c r="B1766" s="2"/>
      <c r="C1766" s="43"/>
      <c r="D1766" s="2"/>
      <c r="E1766" s="2"/>
      <c r="F1766" s="2"/>
      <c r="G1766" s="11"/>
      <c r="H1766" s="11"/>
      <c r="I1766" s="2"/>
      <c r="J1766" s="2"/>
      <c r="K1766" s="2"/>
      <c r="L1766" s="10"/>
      <c r="M1766" s="9"/>
      <c r="N1766" s="2"/>
      <c r="O1766" s="2"/>
      <c r="P1766" s="2"/>
      <c r="Q1766" s="50"/>
      <c r="R1766" s="50"/>
      <c r="S1766" s="2">
        <f>IFERROR(VLOOKUP(A1766,IMPORT_DESISTENCIA!$A$2:$Q2273,14,0),"NÃO")</f>
        <v>0</v>
      </c>
      <c r="T1766" s="35"/>
    </row>
    <row r="1767" spans="1:20" ht="45" customHeight="1" x14ac:dyDescent="0.25">
      <c r="A1767" s="2" t="str">
        <f t="shared" si="1"/>
        <v/>
      </c>
      <c r="B1767" s="2"/>
      <c r="C1767" s="43"/>
      <c r="D1767" s="2"/>
      <c r="E1767" s="2"/>
      <c r="F1767" s="2"/>
      <c r="G1767" s="11"/>
      <c r="H1767" s="11"/>
      <c r="I1767" s="2"/>
      <c r="J1767" s="2"/>
      <c r="K1767" s="2"/>
      <c r="L1767" s="10"/>
      <c r="M1767" s="9"/>
      <c r="N1767" s="2"/>
      <c r="O1767" s="2"/>
      <c r="P1767" s="2"/>
      <c r="Q1767" s="50"/>
      <c r="R1767" s="50"/>
      <c r="S1767" s="2">
        <f>IFERROR(VLOOKUP(A1767,IMPORT_DESISTENCIA!$A$2:$Q2273,14,0),"NÃO")</f>
        <v>0</v>
      </c>
      <c r="T1767" s="35"/>
    </row>
    <row r="1768" spans="1:20" ht="45" customHeight="1" x14ac:dyDescent="0.25">
      <c r="A1768" s="2" t="str">
        <f t="shared" si="1"/>
        <v/>
      </c>
      <c r="B1768" s="2"/>
      <c r="C1768" s="43"/>
      <c r="D1768" s="2"/>
      <c r="E1768" s="2"/>
      <c r="F1768" s="2"/>
      <c r="G1768" s="11"/>
      <c r="H1768" s="11"/>
      <c r="I1768" s="2"/>
      <c r="J1768" s="2"/>
      <c r="K1768" s="2"/>
      <c r="L1768" s="10"/>
      <c r="M1768" s="9"/>
      <c r="N1768" s="2"/>
      <c r="O1768" s="2"/>
      <c r="P1768" s="2"/>
      <c r="Q1768" s="50"/>
      <c r="R1768" s="50"/>
      <c r="S1768" s="2">
        <f>IFERROR(VLOOKUP(A1768,IMPORT_DESISTENCIA!$A$2:$Q2273,14,0),"NÃO")</f>
        <v>0</v>
      </c>
      <c r="T1768" s="35"/>
    </row>
    <row r="1769" spans="1:20" ht="45" customHeight="1" x14ac:dyDescent="0.25">
      <c r="A1769" s="2" t="str">
        <f t="shared" si="1"/>
        <v/>
      </c>
      <c r="B1769" s="2"/>
      <c r="C1769" s="43"/>
      <c r="D1769" s="2"/>
      <c r="E1769" s="2"/>
      <c r="F1769" s="2"/>
      <c r="G1769" s="11"/>
      <c r="H1769" s="11"/>
      <c r="I1769" s="2"/>
      <c r="J1769" s="2"/>
      <c r="K1769" s="2"/>
      <c r="L1769" s="10"/>
      <c r="M1769" s="9"/>
      <c r="N1769" s="2"/>
      <c r="O1769" s="2"/>
      <c r="P1769" s="2"/>
      <c r="Q1769" s="50"/>
      <c r="R1769" s="50"/>
      <c r="S1769" s="2">
        <f>IFERROR(VLOOKUP(A1769,IMPORT_DESISTENCIA!$A$2:$Q2273,14,0),"NÃO")</f>
        <v>0</v>
      </c>
      <c r="T1769" s="35"/>
    </row>
    <row r="1770" spans="1:20" ht="45" customHeight="1" x14ac:dyDescent="0.25">
      <c r="A1770" s="2" t="str">
        <f t="shared" si="1"/>
        <v/>
      </c>
      <c r="B1770" s="2"/>
      <c r="C1770" s="43"/>
      <c r="D1770" s="2"/>
      <c r="E1770" s="2"/>
      <c r="F1770" s="2"/>
      <c r="G1770" s="11"/>
      <c r="H1770" s="11"/>
      <c r="I1770" s="2"/>
      <c r="J1770" s="2"/>
      <c r="K1770" s="2"/>
      <c r="L1770" s="10"/>
      <c r="M1770" s="9"/>
      <c r="N1770" s="2"/>
      <c r="O1770" s="2"/>
      <c r="P1770" s="2"/>
      <c r="Q1770" s="50"/>
      <c r="R1770" s="50"/>
      <c r="S1770" s="2">
        <f>IFERROR(VLOOKUP(A1770,IMPORT_DESISTENCIA!$A$2:$Q2273,14,0),"NÃO")</f>
        <v>0</v>
      </c>
      <c r="T1770" s="35"/>
    </row>
    <row r="1771" spans="1:20" ht="45" customHeight="1" x14ac:dyDescent="0.25">
      <c r="A1771" s="2" t="str">
        <f t="shared" si="1"/>
        <v/>
      </c>
      <c r="B1771" s="2"/>
      <c r="C1771" s="43"/>
      <c r="D1771" s="2"/>
      <c r="E1771" s="2"/>
      <c r="F1771" s="2"/>
      <c r="G1771" s="11"/>
      <c r="H1771" s="11"/>
      <c r="I1771" s="2"/>
      <c r="J1771" s="2"/>
      <c r="K1771" s="2"/>
      <c r="L1771" s="10"/>
      <c r="M1771" s="9"/>
      <c r="N1771" s="2"/>
      <c r="O1771" s="2"/>
      <c r="P1771" s="2"/>
      <c r="Q1771" s="50"/>
      <c r="R1771" s="50"/>
      <c r="S1771" s="2">
        <f>IFERROR(VLOOKUP(A1771,IMPORT_DESISTENCIA!$A$2:$Q2273,14,0),"NÃO")</f>
        <v>0</v>
      </c>
      <c r="T1771" s="35"/>
    </row>
    <row r="1772" spans="1:20" ht="45" customHeight="1" x14ac:dyDescent="0.25">
      <c r="A1772" s="2" t="str">
        <f t="shared" si="1"/>
        <v/>
      </c>
      <c r="B1772" s="2"/>
      <c r="C1772" s="43"/>
      <c r="D1772" s="2"/>
      <c r="E1772" s="2"/>
      <c r="F1772" s="2"/>
      <c r="G1772" s="11"/>
      <c r="H1772" s="11"/>
      <c r="I1772" s="2"/>
      <c r="J1772" s="2"/>
      <c r="K1772" s="2"/>
      <c r="L1772" s="10"/>
      <c r="M1772" s="9"/>
      <c r="N1772" s="2"/>
      <c r="O1772" s="2"/>
      <c r="P1772" s="2"/>
      <c r="Q1772" s="50"/>
      <c r="R1772" s="50"/>
      <c r="S1772" s="2">
        <f>IFERROR(VLOOKUP(A1772,IMPORT_DESISTENCIA!$A$2:$Q2273,14,0),"NÃO")</f>
        <v>0</v>
      </c>
      <c r="T1772" s="35"/>
    </row>
    <row r="1773" spans="1:20" ht="45" customHeight="1" x14ac:dyDescent="0.25">
      <c r="A1773" s="2" t="str">
        <f t="shared" si="1"/>
        <v/>
      </c>
      <c r="B1773" s="2"/>
      <c r="C1773" s="43"/>
      <c r="D1773" s="2"/>
      <c r="E1773" s="2"/>
      <c r="F1773" s="2"/>
      <c r="G1773" s="11"/>
      <c r="H1773" s="11"/>
      <c r="I1773" s="2"/>
      <c r="J1773" s="2"/>
      <c r="K1773" s="2"/>
      <c r="L1773" s="10"/>
      <c r="M1773" s="9"/>
      <c r="N1773" s="2"/>
      <c r="O1773" s="2"/>
      <c r="P1773" s="2"/>
      <c r="Q1773" s="50"/>
      <c r="R1773" s="50"/>
      <c r="S1773" s="2">
        <f>IFERROR(VLOOKUP(A1773,IMPORT_DESISTENCIA!$A$2:$Q2273,14,0),"NÃO")</f>
        <v>0</v>
      </c>
      <c r="T1773" s="35"/>
    </row>
    <row r="1774" spans="1:20" ht="45" customHeight="1" x14ac:dyDescent="0.25">
      <c r="A1774" s="2" t="str">
        <f t="shared" si="1"/>
        <v/>
      </c>
      <c r="B1774" s="2"/>
      <c r="C1774" s="43"/>
      <c r="D1774" s="2"/>
      <c r="E1774" s="2"/>
      <c r="F1774" s="2"/>
      <c r="G1774" s="11"/>
      <c r="H1774" s="11"/>
      <c r="I1774" s="2"/>
      <c r="J1774" s="2"/>
      <c r="K1774" s="2"/>
      <c r="L1774" s="10"/>
      <c r="M1774" s="9"/>
      <c r="N1774" s="2"/>
      <c r="O1774" s="2"/>
      <c r="P1774" s="2"/>
      <c r="Q1774" s="50"/>
      <c r="R1774" s="50"/>
      <c r="S1774" s="2">
        <f>IFERROR(VLOOKUP(A1774,IMPORT_DESISTENCIA!$A$2:$Q2273,14,0),"NÃO")</f>
        <v>0</v>
      </c>
      <c r="T1774" s="35"/>
    </row>
    <row r="1775" spans="1:20" ht="45" customHeight="1" x14ac:dyDescent="0.25">
      <c r="A1775" s="2" t="str">
        <f t="shared" si="1"/>
        <v/>
      </c>
      <c r="B1775" s="2"/>
      <c r="C1775" s="43"/>
      <c r="D1775" s="2"/>
      <c r="E1775" s="2"/>
      <c r="F1775" s="2"/>
      <c r="G1775" s="11"/>
      <c r="H1775" s="11"/>
      <c r="I1775" s="2"/>
      <c r="J1775" s="2"/>
      <c r="K1775" s="2"/>
      <c r="L1775" s="10"/>
      <c r="M1775" s="9"/>
      <c r="N1775" s="2"/>
      <c r="O1775" s="2"/>
      <c r="P1775" s="2"/>
      <c r="Q1775" s="50"/>
      <c r="R1775" s="50"/>
      <c r="S1775" s="2">
        <f>IFERROR(VLOOKUP(A1775,IMPORT_DESISTENCIA!$A$2:$Q2273,14,0),"NÃO")</f>
        <v>0</v>
      </c>
      <c r="T1775" s="35"/>
    </row>
    <row r="1776" spans="1:20" ht="45" customHeight="1" x14ac:dyDescent="0.25">
      <c r="A1776" s="2" t="str">
        <f t="shared" si="1"/>
        <v/>
      </c>
      <c r="B1776" s="2"/>
      <c r="C1776" s="43"/>
      <c r="D1776" s="2"/>
      <c r="E1776" s="2"/>
      <c r="F1776" s="2"/>
      <c r="G1776" s="11"/>
      <c r="H1776" s="11"/>
      <c r="I1776" s="2"/>
      <c r="J1776" s="2"/>
      <c r="K1776" s="2"/>
      <c r="L1776" s="10"/>
      <c r="M1776" s="9"/>
      <c r="N1776" s="2"/>
      <c r="O1776" s="2"/>
      <c r="P1776" s="2"/>
      <c r="Q1776" s="50"/>
      <c r="R1776" s="50"/>
      <c r="S1776" s="2">
        <f>IFERROR(VLOOKUP(A1776,IMPORT_DESISTENCIA!$A$2:$Q2273,14,0),"NÃO")</f>
        <v>0</v>
      </c>
      <c r="T1776" s="35"/>
    </row>
    <row r="1777" spans="1:20" ht="45" customHeight="1" x14ac:dyDescent="0.25">
      <c r="A1777" s="2" t="str">
        <f t="shared" si="1"/>
        <v/>
      </c>
      <c r="B1777" s="2"/>
      <c r="C1777" s="43"/>
      <c r="D1777" s="2"/>
      <c r="E1777" s="2"/>
      <c r="F1777" s="2"/>
      <c r="G1777" s="11"/>
      <c r="H1777" s="11"/>
      <c r="I1777" s="2"/>
      <c r="J1777" s="2"/>
      <c r="K1777" s="2"/>
      <c r="L1777" s="10"/>
      <c r="M1777" s="9"/>
      <c r="N1777" s="2"/>
      <c r="O1777" s="2"/>
      <c r="P1777" s="2"/>
      <c r="Q1777" s="50"/>
      <c r="R1777" s="50"/>
      <c r="S1777" s="2">
        <f>IFERROR(VLOOKUP(A1777,IMPORT_DESISTENCIA!$A$2:$Q2273,14,0),"NÃO")</f>
        <v>0</v>
      </c>
      <c r="T1777" s="35"/>
    </row>
    <row r="1778" spans="1:20" ht="45" customHeight="1" x14ac:dyDescent="0.25">
      <c r="A1778" s="2" t="str">
        <f t="shared" si="1"/>
        <v/>
      </c>
      <c r="B1778" s="2"/>
      <c r="C1778" s="43"/>
      <c r="D1778" s="2"/>
      <c r="E1778" s="2"/>
      <c r="F1778" s="2"/>
      <c r="G1778" s="11"/>
      <c r="H1778" s="11"/>
      <c r="I1778" s="2"/>
      <c r="J1778" s="2"/>
      <c r="K1778" s="2"/>
      <c r="L1778" s="10"/>
      <c r="M1778" s="9"/>
      <c r="N1778" s="2"/>
      <c r="O1778" s="2"/>
      <c r="P1778" s="2"/>
      <c r="Q1778" s="50"/>
      <c r="R1778" s="50"/>
      <c r="S1778" s="2">
        <f>IFERROR(VLOOKUP(A1778,IMPORT_DESISTENCIA!$A$2:$Q2273,14,0),"NÃO")</f>
        <v>0</v>
      </c>
      <c r="T1778" s="35"/>
    </row>
    <row r="1779" spans="1:20" ht="45" customHeight="1" x14ac:dyDescent="0.25">
      <c r="A1779" s="2" t="str">
        <f t="shared" si="1"/>
        <v/>
      </c>
      <c r="B1779" s="2"/>
      <c r="C1779" s="43"/>
      <c r="D1779" s="2"/>
      <c r="E1779" s="2"/>
      <c r="F1779" s="2"/>
      <c r="G1779" s="11"/>
      <c r="H1779" s="11"/>
      <c r="I1779" s="2"/>
      <c r="J1779" s="2"/>
      <c r="K1779" s="2"/>
      <c r="L1779" s="10"/>
      <c r="M1779" s="9"/>
      <c r="N1779" s="2"/>
      <c r="O1779" s="2"/>
      <c r="P1779" s="2"/>
      <c r="Q1779" s="50"/>
      <c r="R1779" s="50"/>
      <c r="S1779" s="2">
        <f>IFERROR(VLOOKUP(A1779,IMPORT_DESISTENCIA!$A$2:$Q2273,14,0),"NÃO")</f>
        <v>0</v>
      </c>
      <c r="T1779" s="35"/>
    </row>
    <row r="1780" spans="1:20" ht="45" customHeight="1" x14ac:dyDescent="0.25">
      <c r="A1780" s="2" t="str">
        <f t="shared" si="1"/>
        <v/>
      </c>
      <c r="B1780" s="2"/>
      <c r="C1780" s="43"/>
      <c r="D1780" s="2"/>
      <c r="E1780" s="2"/>
      <c r="F1780" s="2"/>
      <c r="G1780" s="11"/>
      <c r="H1780" s="11"/>
      <c r="I1780" s="2"/>
      <c r="J1780" s="2"/>
      <c r="K1780" s="2"/>
      <c r="L1780" s="10"/>
      <c r="M1780" s="9"/>
      <c r="N1780" s="2"/>
      <c r="O1780" s="2"/>
      <c r="P1780" s="2"/>
      <c r="Q1780" s="50"/>
      <c r="R1780" s="50"/>
      <c r="S1780" s="2">
        <f>IFERROR(VLOOKUP(A1780,IMPORT_DESISTENCIA!$A$2:$Q2273,14,0),"NÃO")</f>
        <v>0</v>
      </c>
      <c r="T1780" s="35"/>
    </row>
    <row r="1781" spans="1:20" ht="45" customHeight="1" x14ac:dyDescent="0.25">
      <c r="A1781" s="2" t="str">
        <f t="shared" si="1"/>
        <v/>
      </c>
      <c r="B1781" s="2"/>
      <c r="C1781" s="43"/>
      <c r="D1781" s="2"/>
      <c r="E1781" s="2"/>
      <c r="F1781" s="2"/>
      <c r="G1781" s="11"/>
      <c r="H1781" s="11"/>
      <c r="I1781" s="2"/>
      <c r="J1781" s="2"/>
      <c r="K1781" s="2"/>
      <c r="L1781" s="10"/>
      <c r="M1781" s="9"/>
      <c r="N1781" s="2"/>
      <c r="O1781" s="2"/>
      <c r="P1781" s="2"/>
      <c r="Q1781" s="50"/>
      <c r="R1781" s="50"/>
      <c r="S1781" s="2">
        <f>IFERROR(VLOOKUP(A1781,IMPORT_DESISTENCIA!$A$2:$Q2273,14,0),"NÃO")</f>
        <v>0</v>
      </c>
      <c r="T1781" s="35"/>
    </row>
    <row r="1782" spans="1:20" ht="45" customHeight="1" x14ac:dyDescent="0.25">
      <c r="A1782" s="2" t="str">
        <f t="shared" si="1"/>
        <v/>
      </c>
      <c r="B1782" s="2"/>
      <c r="C1782" s="43"/>
      <c r="D1782" s="2"/>
      <c r="E1782" s="2"/>
      <c r="F1782" s="2"/>
      <c r="G1782" s="11"/>
      <c r="H1782" s="11"/>
      <c r="I1782" s="2"/>
      <c r="J1782" s="2"/>
      <c r="K1782" s="2"/>
      <c r="L1782" s="10"/>
      <c r="M1782" s="9"/>
      <c r="N1782" s="2"/>
      <c r="O1782" s="2"/>
      <c r="P1782" s="2"/>
      <c r="Q1782" s="50"/>
      <c r="R1782" s="50"/>
      <c r="S1782" s="2">
        <f>IFERROR(VLOOKUP(A1782,IMPORT_DESISTENCIA!$A$2:$Q2273,14,0),"NÃO")</f>
        <v>0</v>
      </c>
      <c r="T1782" s="35"/>
    </row>
    <row r="1783" spans="1:20" ht="45" customHeight="1" x14ac:dyDescent="0.25">
      <c r="A1783" s="2" t="str">
        <f t="shared" si="1"/>
        <v/>
      </c>
      <c r="B1783" s="2"/>
      <c r="C1783" s="43"/>
      <c r="D1783" s="2"/>
      <c r="E1783" s="2"/>
      <c r="F1783" s="2"/>
      <c r="G1783" s="11"/>
      <c r="H1783" s="11"/>
      <c r="I1783" s="2"/>
      <c r="J1783" s="2"/>
      <c r="K1783" s="2"/>
      <c r="L1783" s="10"/>
      <c r="M1783" s="9"/>
      <c r="N1783" s="2"/>
      <c r="O1783" s="2"/>
      <c r="P1783" s="2"/>
      <c r="Q1783" s="50"/>
      <c r="R1783" s="50"/>
      <c r="S1783" s="2">
        <f>IFERROR(VLOOKUP(A1783,IMPORT_DESISTENCIA!$A$2:$Q2273,14,0),"NÃO")</f>
        <v>0</v>
      </c>
      <c r="T1783" s="35"/>
    </row>
    <row r="1784" spans="1:20" ht="45" customHeight="1" x14ac:dyDescent="0.25">
      <c r="A1784" s="2" t="str">
        <f t="shared" si="1"/>
        <v/>
      </c>
      <c r="B1784" s="2"/>
      <c r="C1784" s="43"/>
      <c r="D1784" s="2"/>
      <c r="E1784" s="2"/>
      <c r="F1784" s="2"/>
      <c r="G1784" s="11"/>
      <c r="H1784" s="11"/>
      <c r="I1784" s="2"/>
      <c r="J1784" s="2"/>
      <c r="K1784" s="2"/>
      <c r="L1784" s="10"/>
      <c r="M1784" s="9"/>
      <c r="N1784" s="2"/>
      <c r="O1784" s="2"/>
      <c r="P1784" s="2"/>
      <c r="Q1784" s="50"/>
      <c r="R1784" s="50"/>
      <c r="S1784" s="2">
        <f>IFERROR(VLOOKUP(A1784,IMPORT_DESISTENCIA!$A$2:$Q2273,14,0),"NÃO")</f>
        <v>0</v>
      </c>
      <c r="T1784" s="35"/>
    </row>
    <row r="1785" spans="1:20" ht="45" customHeight="1" x14ac:dyDescent="0.25">
      <c r="A1785" s="2" t="str">
        <f t="shared" si="1"/>
        <v/>
      </c>
      <c r="B1785" s="2"/>
      <c r="C1785" s="43"/>
      <c r="D1785" s="2"/>
      <c r="E1785" s="2"/>
      <c r="F1785" s="2"/>
      <c r="G1785" s="11"/>
      <c r="H1785" s="11"/>
      <c r="I1785" s="2"/>
      <c r="J1785" s="2"/>
      <c r="K1785" s="2"/>
      <c r="L1785" s="10"/>
      <c r="M1785" s="9"/>
      <c r="N1785" s="2"/>
      <c r="O1785" s="2"/>
      <c r="P1785" s="2"/>
      <c r="Q1785" s="50"/>
      <c r="R1785" s="50"/>
      <c r="S1785" s="2">
        <f>IFERROR(VLOOKUP(A1785,IMPORT_DESISTENCIA!$A$2:$Q2273,14,0),"NÃO")</f>
        <v>0</v>
      </c>
      <c r="T1785" s="35"/>
    </row>
    <row r="1786" spans="1:20" ht="45" customHeight="1" x14ac:dyDescent="0.25">
      <c r="A1786" s="2" t="str">
        <f t="shared" si="1"/>
        <v/>
      </c>
      <c r="B1786" s="2"/>
      <c r="C1786" s="43"/>
      <c r="D1786" s="2"/>
      <c r="E1786" s="2"/>
      <c r="F1786" s="2"/>
      <c r="G1786" s="11"/>
      <c r="H1786" s="11"/>
      <c r="I1786" s="2"/>
      <c r="J1786" s="2"/>
      <c r="K1786" s="2"/>
      <c r="L1786" s="10"/>
      <c r="M1786" s="9"/>
      <c r="N1786" s="2"/>
      <c r="O1786" s="2"/>
      <c r="P1786" s="2"/>
      <c r="Q1786" s="50"/>
      <c r="R1786" s="50"/>
      <c r="S1786" s="2">
        <f>IFERROR(VLOOKUP(A1786,IMPORT_DESISTENCIA!$A$2:$Q2273,14,0),"NÃO")</f>
        <v>0</v>
      </c>
      <c r="T1786" s="35"/>
    </row>
    <row r="1787" spans="1:20" ht="45" customHeight="1" x14ac:dyDescent="0.25">
      <c r="A1787" s="2" t="str">
        <f t="shared" si="1"/>
        <v/>
      </c>
      <c r="B1787" s="2"/>
      <c r="C1787" s="43"/>
      <c r="D1787" s="2"/>
      <c r="E1787" s="2"/>
      <c r="F1787" s="2"/>
      <c r="G1787" s="11"/>
      <c r="H1787" s="11"/>
      <c r="I1787" s="2"/>
      <c r="J1787" s="2"/>
      <c r="K1787" s="2"/>
      <c r="L1787" s="10"/>
      <c r="M1787" s="9"/>
      <c r="N1787" s="2"/>
      <c r="O1787" s="2"/>
      <c r="P1787" s="2"/>
      <c r="Q1787" s="50"/>
      <c r="R1787" s="50"/>
      <c r="S1787" s="2">
        <f>IFERROR(VLOOKUP(A1787,IMPORT_DESISTENCIA!$A$2:$Q2273,14,0),"NÃO")</f>
        <v>0</v>
      </c>
      <c r="T1787" s="35"/>
    </row>
    <row r="1788" spans="1:20" ht="45" customHeight="1" x14ac:dyDescent="0.25">
      <c r="A1788" s="2" t="str">
        <f t="shared" si="1"/>
        <v/>
      </c>
      <c r="B1788" s="2"/>
      <c r="C1788" s="43"/>
      <c r="D1788" s="2"/>
      <c r="E1788" s="2"/>
      <c r="F1788" s="2"/>
      <c r="G1788" s="11"/>
      <c r="H1788" s="11"/>
      <c r="I1788" s="2"/>
      <c r="J1788" s="2"/>
      <c r="K1788" s="2"/>
      <c r="L1788" s="10"/>
      <c r="M1788" s="9"/>
      <c r="N1788" s="2"/>
      <c r="O1788" s="2"/>
      <c r="P1788" s="2"/>
      <c r="Q1788" s="50"/>
      <c r="R1788" s="50"/>
      <c r="S1788" s="2">
        <f>IFERROR(VLOOKUP(A1788,IMPORT_DESISTENCIA!$A$2:$Q2273,14,0),"NÃO")</f>
        <v>0</v>
      </c>
      <c r="T1788" s="35"/>
    </row>
    <row r="1789" spans="1:20" ht="45" customHeight="1" x14ac:dyDescent="0.25">
      <c r="A1789" s="2" t="str">
        <f t="shared" si="1"/>
        <v/>
      </c>
      <c r="B1789" s="2"/>
      <c r="C1789" s="43"/>
      <c r="D1789" s="2"/>
      <c r="E1789" s="2"/>
      <c r="F1789" s="2"/>
      <c r="G1789" s="11"/>
      <c r="H1789" s="11"/>
      <c r="I1789" s="2"/>
      <c r="J1789" s="2"/>
      <c r="K1789" s="2"/>
      <c r="L1789" s="10"/>
      <c r="M1789" s="9"/>
      <c r="N1789" s="2"/>
      <c r="O1789" s="2"/>
      <c r="P1789" s="2"/>
      <c r="Q1789" s="50"/>
      <c r="R1789" s="50"/>
      <c r="S1789" s="2">
        <f>IFERROR(VLOOKUP(A1789,IMPORT_DESISTENCIA!$A$2:$Q2273,14,0),"NÃO")</f>
        <v>0</v>
      </c>
      <c r="T1789" s="35"/>
    </row>
    <row r="1790" spans="1:20" ht="45" customHeight="1" x14ac:dyDescent="0.25">
      <c r="A1790" s="2" t="str">
        <f t="shared" si="1"/>
        <v/>
      </c>
      <c r="B1790" s="2"/>
      <c r="C1790" s="43"/>
      <c r="D1790" s="2"/>
      <c r="E1790" s="2"/>
      <c r="F1790" s="2"/>
      <c r="G1790" s="11"/>
      <c r="H1790" s="11"/>
      <c r="I1790" s="2"/>
      <c r="J1790" s="2"/>
      <c r="K1790" s="2"/>
      <c r="L1790" s="10"/>
      <c r="M1790" s="9"/>
      <c r="N1790" s="2"/>
      <c r="O1790" s="2"/>
      <c r="P1790" s="2"/>
      <c r="Q1790" s="50"/>
      <c r="R1790" s="50"/>
      <c r="S1790" s="2">
        <f>IFERROR(VLOOKUP(A1790,IMPORT_DESISTENCIA!$A$2:$Q2273,14,0),"NÃO")</f>
        <v>0</v>
      </c>
      <c r="T1790" s="35"/>
    </row>
    <row r="1791" spans="1:20" ht="45" customHeight="1" x14ac:dyDescent="0.25">
      <c r="A1791" s="2" t="str">
        <f t="shared" si="1"/>
        <v/>
      </c>
      <c r="B1791" s="2"/>
      <c r="C1791" s="43"/>
      <c r="D1791" s="2"/>
      <c r="E1791" s="2"/>
      <c r="F1791" s="2"/>
      <c r="G1791" s="11"/>
      <c r="H1791" s="11"/>
      <c r="I1791" s="2"/>
      <c r="J1791" s="2"/>
      <c r="K1791" s="2"/>
      <c r="L1791" s="10"/>
      <c r="M1791" s="9"/>
      <c r="N1791" s="2"/>
      <c r="O1791" s="2"/>
      <c r="P1791" s="2"/>
      <c r="Q1791" s="50"/>
      <c r="R1791" s="50"/>
      <c r="S1791" s="2">
        <f>IFERROR(VLOOKUP(A1791,IMPORT_DESISTENCIA!$A$2:$Q2273,14,0),"NÃO")</f>
        <v>0</v>
      </c>
      <c r="T1791" s="35"/>
    </row>
    <row r="1792" spans="1:20" ht="45" customHeight="1" x14ac:dyDescent="0.25">
      <c r="A1792" s="2" t="str">
        <f t="shared" si="1"/>
        <v/>
      </c>
      <c r="B1792" s="2"/>
      <c r="C1792" s="43"/>
      <c r="D1792" s="2"/>
      <c r="E1792" s="2"/>
      <c r="F1792" s="2"/>
      <c r="G1792" s="11"/>
      <c r="H1792" s="11"/>
      <c r="I1792" s="2"/>
      <c r="J1792" s="2"/>
      <c r="K1792" s="2"/>
      <c r="L1792" s="10"/>
      <c r="M1792" s="9"/>
      <c r="N1792" s="2"/>
      <c r="O1792" s="2"/>
      <c r="P1792" s="2"/>
      <c r="Q1792" s="50"/>
      <c r="R1792" s="50"/>
      <c r="S1792" s="2">
        <f>IFERROR(VLOOKUP(A1792,IMPORT_DESISTENCIA!$A$2:$Q2273,14,0),"NÃO")</f>
        <v>0</v>
      </c>
      <c r="T1792" s="35"/>
    </row>
    <row r="1793" spans="1:20" ht="45" customHeight="1" x14ac:dyDescent="0.25">
      <c r="A1793" s="2" t="str">
        <f t="shared" si="1"/>
        <v/>
      </c>
      <c r="B1793" s="2"/>
      <c r="C1793" s="43"/>
      <c r="D1793" s="2"/>
      <c r="E1793" s="2"/>
      <c r="F1793" s="2"/>
      <c r="G1793" s="11"/>
      <c r="H1793" s="11"/>
      <c r="I1793" s="2"/>
      <c r="J1793" s="2"/>
      <c r="K1793" s="2"/>
      <c r="L1793" s="10"/>
      <c r="M1793" s="9"/>
      <c r="N1793" s="2"/>
      <c r="O1793" s="2"/>
      <c r="P1793" s="2"/>
      <c r="Q1793" s="50"/>
      <c r="R1793" s="50"/>
      <c r="S1793" s="2">
        <f>IFERROR(VLOOKUP(A1793,IMPORT_DESISTENCIA!$A$2:$Q2273,14,0),"NÃO")</f>
        <v>0</v>
      </c>
      <c r="T1793" s="35"/>
    </row>
    <row r="1794" spans="1:20" ht="45" customHeight="1" x14ac:dyDescent="0.25">
      <c r="A1794" s="2" t="str">
        <f t="shared" si="1"/>
        <v/>
      </c>
      <c r="B1794" s="2"/>
      <c r="C1794" s="43"/>
      <c r="D1794" s="2"/>
      <c r="E1794" s="2"/>
      <c r="F1794" s="2"/>
      <c r="G1794" s="11"/>
      <c r="H1794" s="11"/>
      <c r="I1794" s="2"/>
      <c r="J1794" s="2"/>
      <c r="K1794" s="2"/>
      <c r="L1794" s="10"/>
      <c r="M1794" s="9"/>
      <c r="N1794" s="2"/>
      <c r="O1794" s="2"/>
      <c r="P1794" s="2"/>
      <c r="Q1794" s="50"/>
      <c r="R1794" s="50"/>
      <c r="S1794" s="2">
        <f>IFERROR(VLOOKUP(A1794,IMPORT_DESISTENCIA!$A$2:$Q2273,14,0),"NÃO")</f>
        <v>0</v>
      </c>
      <c r="T1794" s="35"/>
    </row>
    <row r="1795" spans="1:20" ht="45" customHeight="1" x14ac:dyDescent="0.25">
      <c r="A1795" s="2" t="str">
        <f t="shared" si="1"/>
        <v/>
      </c>
      <c r="B1795" s="2"/>
      <c r="C1795" s="43"/>
      <c r="D1795" s="2"/>
      <c r="E1795" s="2"/>
      <c r="F1795" s="2"/>
      <c r="G1795" s="11"/>
      <c r="H1795" s="11"/>
      <c r="I1795" s="2"/>
      <c r="J1795" s="2"/>
      <c r="K1795" s="2"/>
      <c r="L1795" s="10"/>
      <c r="M1795" s="9"/>
      <c r="N1795" s="2"/>
      <c r="O1795" s="2"/>
      <c r="P1795" s="2"/>
      <c r="Q1795" s="50"/>
      <c r="R1795" s="50"/>
      <c r="S1795" s="2">
        <f>IFERROR(VLOOKUP(A1795,IMPORT_DESISTENCIA!$A$2:$Q2273,14,0),"NÃO")</f>
        <v>0</v>
      </c>
      <c r="T1795" s="35"/>
    </row>
    <row r="1796" spans="1:20" ht="45" customHeight="1" x14ac:dyDescent="0.25">
      <c r="A1796" s="2" t="str">
        <f t="shared" si="1"/>
        <v/>
      </c>
      <c r="B1796" s="2"/>
      <c r="C1796" s="43"/>
      <c r="D1796" s="2"/>
      <c r="E1796" s="2"/>
      <c r="F1796" s="2"/>
      <c r="G1796" s="11"/>
      <c r="H1796" s="11"/>
      <c r="I1796" s="2"/>
      <c r="J1796" s="2"/>
      <c r="K1796" s="2"/>
      <c r="L1796" s="10"/>
      <c r="M1796" s="9"/>
      <c r="N1796" s="2"/>
      <c r="O1796" s="2"/>
      <c r="P1796" s="2"/>
      <c r="Q1796" s="50"/>
      <c r="R1796" s="50"/>
      <c r="S1796" s="2">
        <f>IFERROR(VLOOKUP(A1796,IMPORT_DESISTENCIA!$A$2:$Q2273,14,0),"NÃO")</f>
        <v>0</v>
      </c>
      <c r="T1796" s="35"/>
    </row>
    <row r="1797" spans="1:20" ht="45" customHeight="1" x14ac:dyDescent="0.25">
      <c r="A1797" s="2" t="str">
        <f t="shared" si="1"/>
        <v/>
      </c>
      <c r="B1797" s="2"/>
      <c r="C1797" s="43"/>
      <c r="D1797" s="2"/>
      <c r="E1797" s="2"/>
      <c r="F1797" s="2"/>
      <c r="G1797" s="11"/>
      <c r="H1797" s="11"/>
      <c r="I1797" s="2"/>
      <c r="J1797" s="2"/>
      <c r="K1797" s="2"/>
      <c r="L1797" s="10"/>
      <c r="M1797" s="9"/>
      <c r="N1797" s="2"/>
      <c r="O1797" s="2"/>
      <c r="P1797" s="2"/>
      <c r="Q1797" s="50"/>
      <c r="R1797" s="50"/>
      <c r="S1797" s="2">
        <f>IFERROR(VLOOKUP(A1797,IMPORT_DESISTENCIA!$A$2:$Q2273,14,0),"NÃO")</f>
        <v>0</v>
      </c>
      <c r="T1797" s="35"/>
    </row>
    <row r="1798" spans="1:20" ht="45" customHeight="1" x14ac:dyDescent="0.25">
      <c r="A1798" s="2" t="str">
        <f t="shared" si="1"/>
        <v/>
      </c>
      <c r="B1798" s="2"/>
      <c r="C1798" s="43"/>
      <c r="D1798" s="2"/>
      <c r="E1798" s="2"/>
      <c r="F1798" s="2"/>
      <c r="G1798" s="11"/>
      <c r="H1798" s="11"/>
      <c r="I1798" s="2"/>
      <c r="J1798" s="2"/>
      <c r="K1798" s="2"/>
      <c r="L1798" s="10"/>
      <c r="M1798" s="9"/>
      <c r="N1798" s="2"/>
      <c r="O1798" s="2"/>
      <c r="P1798" s="2"/>
      <c r="Q1798" s="50"/>
      <c r="R1798" s="50"/>
      <c r="S1798" s="2">
        <f>IFERROR(VLOOKUP(A1798,IMPORT_DESISTENCIA!$A$2:$Q2273,14,0),"NÃO")</f>
        <v>0</v>
      </c>
      <c r="T1798" s="35"/>
    </row>
    <row r="1799" spans="1:20" ht="45" customHeight="1" x14ac:dyDescent="0.25">
      <c r="A1799" s="2" t="str">
        <f t="shared" si="1"/>
        <v/>
      </c>
      <c r="B1799" s="2"/>
      <c r="C1799" s="43"/>
      <c r="D1799" s="2"/>
      <c r="E1799" s="2"/>
      <c r="F1799" s="2"/>
      <c r="G1799" s="11"/>
      <c r="H1799" s="11"/>
      <c r="I1799" s="2"/>
      <c r="J1799" s="2"/>
      <c r="K1799" s="2"/>
      <c r="L1799" s="10"/>
      <c r="M1799" s="9"/>
      <c r="N1799" s="2"/>
      <c r="O1799" s="2"/>
      <c r="P1799" s="2"/>
      <c r="Q1799" s="50"/>
      <c r="R1799" s="50"/>
      <c r="S1799" s="2">
        <f>IFERROR(VLOOKUP(A1799,IMPORT_DESISTENCIA!$A$2:$Q2273,14,0),"NÃO")</f>
        <v>0</v>
      </c>
      <c r="T1799" s="35"/>
    </row>
    <row r="1800" spans="1:20" ht="45" customHeight="1" x14ac:dyDescent="0.25">
      <c r="A1800" s="2" t="str">
        <f t="shared" si="1"/>
        <v/>
      </c>
      <c r="B1800" s="2"/>
      <c r="C1800" s="43"/>
      <c r="D1800" s="2"/>
      <c r="E1800" s="2"/>
      <c r="F1800" s="2"/>
      <c r="G1800" s="11"/>
      <c r="H1800" s="11"/>
      <c r="I1800" s="2"/>
      <c r="J1800" s="2"/>
      <c r="K1800" s="2"/>
      <c r="L1800" s="10"/>
      <c r="M1800" s="9"/>
      <c r="N1800" s="2"/>
      <c r="O1800" s="2"/>
      <c r="P1800" s="2"/>
      <c r="Q1800" s="50"/>
      <c r="R1800" s="50"/>
      <c r="S1800" s="2">
        <f>IFERROR(VLOOKUP(A1800,IMPORT_DESISTENCIA!$A$2:$Q2273,14,0),"NÃO")</f>
        <v>0</v>
      </c>
      <c r="T1800" s="35"/>
    </row>
    <row r="1801" spans="1:20" ht="45" customHeight="1" x14ac:dyDescent="0.25">
      <c r="A1801" s="2" t="str">
        <f t="shared" si="1"/>
        <v/>
      </c>
      <c r="B1801" s="2"/>
      <c r="C1801" s="43"/>
      <c r="D1801" s="2"/>
      <c r="E1801" s="2"/>
      <c r="F1801" s="2"/>
      <c r="G1801" s="11"/>
      <c r="H1801" s="11"/>
      <c r="I1801" s="2"/>
      <c r="J1801" s="2"/>
      <c r="K1801" s="2"/>
      <c r="L1801" s="10"/>
      <c r="M1801" s="9"/>
      <c r="N1801" s="2"/>
      <c r="O1801" s="2"/>
      <c r="P1801" s="2"/>
      <c r="Q1801" s="50"/>
      <c r="R1801" s="50"/>
      <c r="S1801" s="2">
        <f>IFERROR(VLOOKUP(A1801,IMPORT_DESISTENCIA!$A$2:$Q2273,14,0),"NÃO")</f>
        <v>0</v>
      </c>
      <c r="T1801" s="35"/>
    </row>
    <row r="1802" spans="1:20" ht="45" customHeight="1" x14ac:dyDescent="0.25">
      <c r="A1802" s="2" t="str">
        <f t="shared" si="1"/>
        <v/>
      </c>
      <c r="B1802" s="2"/>
      <c r="C1802" s="43"/>
      <c r="D1802" s="2"/>
      <c r="E1802" s="2"/>
      <c r="F1802" s="2"/>
      <c r="G1802" s="11"/>
      <c r="H1802" s="11"/>
      <c r="I1802" s="2"/>
      <c r="J1802" s="2"/>
      <c r="K1802" s="2"/>
      <c r="L1802" s="10"/>
      <c r="M1802" s="9"/>
      <c r="N1802" s="2"/>
      <c r="O1802" s="2"/>
      <c r="P1802" s="2"/>
      <c r="Q1802" s="50"/>
      <c r="R1802" s="50"/>
      <c r="S1802" s="2">
        <f>IFERROR(VLOOKUP(A1802,IMPORT_DESISTENCIA!$A$2:$Q2273,14,0),"NÃO")</f>
        <v>0</v>
      </c>
      <c r="T1802" s="35"/>
    </row>
    <row r="1803" spans="1:20" ht="45" customHeight="1" x14ac:dyDescent="0.25">
      <c r="A1803" s="2" t="str">
        <f t="shared" si="1"/>
        <v/>
      </c>
      <c r="B1803" s="2"/>
      <c r="C1803" s="43"/>
      <c r="D1803" s="2"/>
      <c r="E1803" s="2"/>
      <c r="F1803" s="2"/>
      <c r="G1803" s="11"/>
      <c r="H1803" s="11"/>
      <c r="I1803" s="2"/>
      <c r="J1803" s="2"/>
      <c r="K1803" s="2"/>
      <c r="L1803" s="10"/>
      <c r="M1803" s="9"/>
      <c r="N1803" s="2"/>
      <c r="O1803" s="2"/>
      <c r="P1803" s="2"/>
      <c r="Q1803" s="50"/>
      <c r="R1803" s="50"/>
      <c r="S1803" s="2">
        <f>IFERROR(VLOOKUP(A1803,IMPORT_DESISTENCIA!$A$2:$Q2273,14,0),"NÃO")</f>
        <v>0</v>
      </c>
      <c r="T1803" s="35"/>
    </row>
    <row r="1804" spans="1:20" ht="45" customHeight="1" x14ac:dyDescent="0.25">
      <c r="A1804" s="2" t="str">
        <f t="shared" si="1"/>
        <v/>
      </c>
      <c r="B1804" s="2"/>
      <c r="C1804" s="43"/>
      <c r="D1804" s="2"/>
      <c r="E1804" s="2"/>
      <c r="F1804" s="2"/>
      <c r="G1804" s="11"/>
      <c r="H1804" s="11"/>
      <c r="I1804" s="2"/>
      <c r="J1804" s="2"/>
      <c r="K1804" s="2"/>
      <c r="L1804" s="10"/>
      <c r="M1804" s="9"/>
      <c r="N1804" s="2"/>
      <c r="O1804" s="2"/>
      <c r="P1804" s="2"/>
      <c r="Q1804" s="50"/>
      <c r="R1804" s="50"/>
      <c r="S1804" s="2">
        <f>IFERROR(VLOOKUP(A1804,IMPORT_DESISTENCIA!$A$2:$Q2273,14,0),"NÃO")</f>
        <v>0</v>
      </c>
      <c r="T1804" s="35"/>
    </row>
    <row r="1805" spans="1:20" ht="45" customHeight="1" x14ac:dyDescent="0.25">
      <c r="A1805" s="2" t="str">
        <f t="shared" si="1"/>
        <v/>
      </c>
      <c r="B1805" s="2"/>
      <c r="C1805" s="43"/>
      <c r="D1805" s="2"/>
      <c r="E1805" s="2"/>
      <c r="F1805" s="2"/>
      <c r="G1805" s="11"/>
      <c r="H1805" s="11"/>
      <c r="I1805" s="2"/>
      <c r="J1805" s="2"/>
      <c r="K1805" s="2"/>
      <c r="L1805" s="10"/>
      <c r="M1805" s="9"/>
      <c r="N1805" s="2"/>
      <c r="O1805" s="2"/>
      <c r="P1805" s="2"/>
      <c r="Q1805" s="50"/>
      <c r="R1805" s="50"/>
      <c r="S1805" s="2">
        <f>IFERROR(VLOOKUP(A1805,IMPORT_DESISTENCIA!$A$2:$Q2273,14,0),"NÃO")</f>
        <v>0</v>
      </c>
      <c r="T1805" s="35"/>
    </row>
    <row r="1806" spans="1:20" ht="45" customHeight="1" x14ac:dyDescent="0.25">
      <c r="A1806" s="2" t="str">
        <f t="shared" si="1"/>
        <v/>
      </c>
      <c r="B1806" s="2"/>
      <c r="C1806" s="43"/>
      <c r="D1806" s="2"/>
      <c r="E1806" s="2"/>
      <c r="F1806" s="2"/>
      <c r="G1806" s="11"/>
      <c r="H1806" s="11"/>
      <c r="I1806" s="2"/>
      <c r="J1806" s="2"/>
      <c r="K1806" s="2"/>
      <c r="L1806" s="10"/>
      <c r="M1806" s="9"/>
      <c r="N1806" s="2"/>
      <c r="O1806" s="2"/>
      <c r="P1806" s="2"/>
      <c r="Q1806" s="50"/>
      <c r="R1806" s="50"/>
      <c r="S1806" s="2">
        <f>IFERROR(VLOOKUP(A1806,IMPORT_DESISTENCIA!$A$2:$Q2273,14,0),"NÃO")</f>
        <v>0</v>
      </c>
      <c r="T1806" s="35"/>
    </row>
    <row r="1807" spans="1:20" ht="45" customHeight="1" x14ac:dyDescent="0.25">
      <c r="A1807" s="2" t="str">
        <f t="shared" si="1"/>
        <v/>
      </c>
      <c r="B1807" s="2"/>
      <c r="C1807" s="43"/>
      <c r="D1807" s="2"/>
      <c r="E1807" s="2"/>
      <c r="F1807" s="2"/>
      <c r="G1807" s="11"/>
      <c r="H1807" s="11"/>
      <c r="I1807" s="2"/>
      <c r="J1807" s="2"/>
      <c r="K1807" s="2"/>
      <c r="L1807" s="10"/>
      <c r="M1807" s="9"/>
      <c r="N1807" s="2"/>
      <c r="O1807" s="2"/>
      <c r="P1807" s="2"/>
      <c r="Q1807" s="50"/>
      <c r="R1807" s="50"/>
      <c r="S1807" s="2">
        <f>IFERROR(VLOOKUP(A1807,IMPORT_DESISTENCIA!$A$2:$Q2273,14,0),"NÃO")</f>
        <v>0</v>
      </c>
      <c r="T1807" s="35"/>
    </row>
    <row r="1808" spans="1:20" ht="45" customHeight="1" x14ac:dyDescent="0.25">
      <c r="A1808" s="2" t="str">
        <f t="shared" si="1"/>
        <v/>
      </c>
      <c r="B1808" s="2"/>
      <c r="C1808" s="43"/>
      <c r="D1808" s="2"/>
      <c r="E1808" s="2"/>
      <c r="F1808" s="2"/>
      <c r="G1808" s="11"/>
      <c r="H1808" s="11"/>
      <c r="I1808" s="2"/>
      <c r="J1808" s="2"/>
      <c r="K1808" s="2"/>
      <c r="L1808" s="10"/>
      <c r="M1808" s="9"/>
      <c r="N1808" s="2"/>
      <c r="O1808" s="2"/>
      <c r="P1808" s="2"/>
      <c r="Q1808" s="50"/>
      <c r="R1808" s="50"/>
      <c r="S1808" s="2">
        <f>IFERROR(VLOOKUP(A1808,IMPORT_DESISTENCIA!$A$2:$Q2273,14,0),"NÃO")</f>
        <v>0</v>
      </c>
      <c r="T1808" s="35"/>
    </row>
    <row r="1809" spans="1:20" ht="45" customHeight="1" x14ac:dyDescent="0.25">
      <c r="A1809" s="2" t="str">
        <f t="shared" si="1"/>
        <v/>
      </c>
      <c r="B1809" s="2"/>
      <c r="C1809" s="43"/>
      <c r="D1809" s="2"/>
      <c r="E1809" s="2"/>
      <c r="F1809" s="2"/>
      <c r="G1809" s="11"/>
      <c r="H1809" s="11"/>
      <c r="I1809" s="2"/>
      <c r="J1809" s="2"/>
      <c r="K1809" s="2"/>
      <c r="L1809" s="10"/>
      <c r="M1809" s="9"/>
      <c r="N1809" s="2"/>
      <c r="O1809" s="2"/>
      <c r="P1809" s="2"/>
      <c r="Q1809" s="50"/>
      <c r="R1809" s="50"/>
      <c r="S1809" s="2">
        <f>IFERROR(VLOOKUP(A1809,IMPORT_DESISTENCIA!$A$2:$Q2273,14,0),"NÃO")</f>
        <v>0</v>
      </c>
      <c r="T1809" s="35"/>
    </row>
    <row r="1810" spans="1:20" ht="45" customHeight="1" x14ac:dyDescent="0.25">
      <c r="A1810" s="2" t="str">
        <f t="shared" si="1"/>
        <v/>
      </c>
      <c r="B1810" s="2"/>
      <c r="C1810" s="43"/>
      <c r="D1810" s="2"/>
      <c r="E1810" s="2"/>
      <c r="F1810" s="2"/>
      <c r="G1810" s="11"/>
      <c r="H1810" s="11"/>
      <c r="I1810" s="2"/>
      <c r="J1810" s="2"/>
      <c r="K1810" s="2"/>
      <c r="L1810" s="10"/>
      <c r="M1810" s="9"/>
      <c r="N1810" s="2"/>
      <c r="O1810" s="2"/>
      <c r="P1810" s="2"/>
      <c r="Q1810" s="50"/>
      <c r="R1810" s="50"/>
      <c r="S1810" s="2">
        <f>IFERROR(VLOOKUP(A1810,IMPORT_DESISTENCIA!$A$2:$Q2273,14,0),"NÃO")</f>
        <v>0</v>
      </c>
      <c r="T1810" s="35"/>
    </row>
    <row r="1811" spans="1:20" ht="45" customHeight="1" x14ac:dyDescent="0.25">
      <c r="A1811" s="2" t="str">
        <f t="shared" si="1"/>
        <v/>
      </c>
      <c r="B1811" s="2"/>
      <c r="C1811" s="43"/>
      <c r="D1811" s="2"/>
      <c r="E1811" s="2"/>
      <c r="F1811" s="2"/>
      <c r="G1811" s="11"/>
      <c r="H1811" s="11"/>
      <c r="I1811" s="2"/>
      <c r="J1811" s="2"/>
      <c r="K1811" s="2"/>
      <c r="L1811" s="10"/>
      <c r="M1811" s="9"/>
      <c r="N1811" s="2"/>
      <c r="O1811" s="2"/>
      <c r="P1811" s="2"/>
      <c r="Q1811" s="50"/>
      <c r="R1811" s="50"/>
      <c r="S1811" s="2">
        <f>IFERROR(VLOOKUP(A1811,IMPORT_DESISTENCIA!$A$2:$Q2273,14,0),"NÃO")</f>
        <v>0</v>
      </c>
      <c r="T1811" s="35"/>
    </row>
    <row r="1812" spans="1:20" ht="45" customHeight="1" x14ac:dyDescent="0.25">
      <c r="A1812" s="2" t="str">
        <f t="shared" si="1"/>
        <v/>
      </c>
      <c r="B1812" s="2"/>
      <c r="C1812" s="43"/>
      <c r="D1812" s="2"/>
      <c r="E1812" s="2"/>
      <c r="F1812" s="2"/>
      <c r="G1812" s="11"/>
      <c r="H1812" s="11"/>
      <c r="I1812" s="2"/>
      <c r="J1812" s="2"/>
      <c r="K1812" s="2"/>
      <c r="L1812" s="10"/>
      <c r="M1812" s="9"/>
      <c r="N1812" s="2"/>
      <c r="O1812" s="2"/>
      <c r="P1812" s="2"/>
      <c r="Q1812" s="50"/>
      <c r="R1812" s="50"/>
      <c r="S1812" s="2">
        <f>IFERROR(VLOOKUP(A1812,IMPORT_DESISTENCIA!$A$2:$Q2273,14,0),"NÃO")</f>
        <v>0</v>
      </c>
      <c r="T1812" s="35"/>
    </row>
    <row r="1813" spans="1:20" ht="45" customHeight="1" x14ac:dyDescent="0.25">
      <c r="A1813" s="2" t="str">
        <f t="shared" si="1"/>
        <v/>
      </c>
      <c r="B1813" s="2"/>
      <c r="C1813" s="43"/>
      <c r="D1813" s="2"/>
      <c r="E1813" s="2"/>
      <c r="F1813" s="2"/>
      <c r="G1813" s="11"/>
      <c r="H1813" s="11"/>
      <c r="I1813" s="2"/>
      <c r="J1813" s="2"/>
      <c r="K1813" s="2"/>
      <c r="L1813" s="10"/>
      <c r="M1813" s="9"/>
      <c r="N1813" s="2"/>
      <c r="O1813" s="2"/>
      <c r="P1813" s="2"/>
      <c r="Q1813" s="50"/>
      <c r="R1813" s="50"/>
      <c r="S1813" s="2">
        <f>IFERROR(VLOOKUP(A1813,IMPORT_DESISTENCIA!$A$2:$Q2273,14,0),"NÃO")</f>
        <v>0</v>
      </c>
      <c r="T1813" s="35"/>
    </row>
    <row r="1814" spans="1:20" ht="45" customHeight="1" x14ac:dyDescent="0.25">
      <c r="A1814" s="2" t="str">
        <f t="shared" si="1"/>
        <v/>
      </c>
      <c r="B1814" s="2"/>
      <c r="C1814" s="43"/>
      <c r="D1814" s="2"/>
      <c r="E1814" s="2"/>
      <c r="F1814" s="2"/>
      <c r="G1814" s="11"/>
      <c r="H1814" s="11"/>
      <c r="I1814" s="2"/>
      <c r="J1814" s="2"/>
      <c r="K1814" s="2"/>
      <c r="L1814" s="10"/>
      <c r="M1814" s="9"/>
      <c r="N1814" s="2"/>
      <c r="O1814" s="2"/>
      <c r="P1814" s="2"/>
      <c r="Q1814" s="50"/>
      <c r="R1814" s="50"/>
      <c r="S1814" s="2">
        <f>IFERROR(VLOOKUP(A1814,IMPORT_DESISTENCIA!$A$2:$Q2273,14,0),"NÃO")</f>
        <v>0</v>
      </c>
      <c r="T1814" s="35"/>
    </row>
    <row r="1815" spans="1:20" ht="45" customHeight="1" x14ac:dyDescent="0.25">
      <c r="A1815" s="2" t="str">
        <f t="shared" si="1"/>
        <v/>
      </c>
      <c r="B1815" s="2"/>
      <c r="C1815" s="43"/>
      <c r="D1815" s="2"/>
      <c r="E1815" s="2"/>
      <c r="F1815" s="2"/>
      <c r="G1815" s="11"/>
      <c r="H1815" s="11"/>
      <c r="I1815" s="2"/>
      <c r="J1815" s="2"/>
      <c r="K1815" s="2"/>
      <c r="L1815" s="10"/>
      <c r="M1815" s="9"/>
      <c r="N1815" s="2"/>
      <c r="O1815" s="2"/>
      <c r="P1815" s="2"/>
      <c r="Q1815" s="50"/>
      <c r="R1815" s="50"/>
      <c r="S1815" s="2">
        <f>IFERROR(VLOOKUP(A1815,IMPORT_DESISTENCIA!$A$2:$Q2273,14,0),"NÃO")</f>
        <v>0</v>
      </c>
      <c r="T1815" s="35"/>
    </row>
    <row r="1816" spans="1:20" ht="45" customHeight="1" x14ac:dyDescent="0.25">
      <c r="A1816" s="2" t="str">
        <f t="shared" si="1"/>
        <v/>
      </c>
      <c r="B1816" s="2"/>
      <c r="C1816" s="43"/>
      <c r="D1816" s="2"/>
      <c r="E1816" s="2"/>
      <c r="F1816" s="2"/>
      <c r="G1816" s="11"/>
      <c r="H1816" s="11"/>
      <c r="I1816" s="2"/>
      <c r="J1816" s="2"/>
      <c r="K1816" s="2"/>
      <c r="L1816" s="10"/>
      <c r="M1816" s="9"/>
      <c r="N1816" s="2"/>
      <c r="O1816" s="2"/>
      <c r="P1816" s="2"/>
      <c r="Q1816" s="50"/>
      <c r="R1816" s="50"/>
      <c r="S1816" s="2">
        <f>IFERROR(VLOOKUP(A1816,IMPORT_DESISTENCIA!$A$2:$Q2273,14,0),"NÃO")</f>
        <v>0</v>
      </c>
      <c r="T1816" s="35"/>
    </row>
    <row r="1817" spans="1:20" ht="45" customHeight="1" x14ac:dyDescent="0.25">
      <c r="A1817" s="2" t="str">
        <f t="shared" si="1"/>
        <v/>
      </c>
      <c r="B1817" s="2"/>
      <c r="C1817" s="43"/>
      <c r="D1817" s="2"/>
      <c r="E1817" s="2"/>
      <c r="F1817" s="2"/>
      <c r="G1817" s="11"/>
      <c r="H1817" s="11"/>
      <c r="I1817" s="2"/>
      <c r="J1817" s="2"/>
      <c r="K1817" s="2"/>
      <c r="L1817" s="10"/>
      <c r="M1817" s="9"/>
      <c r="N1817" s="2"/>
      <c r="O1817" s="2"/>
      <c r="P1817" s="2"/>
      <c r="Q1817" s="50"/>
      <c r="R1817" s="50"/>
      <c r="S1817" s="2">
        <f>IFERROR(VLOOKUP(A1817,IMPORT_DESISTENCIA!$A$2:$Q2273,14,0),"NÃO")</f>
        <v>0</v>
      </c>
      <c r="T1817" s="35"/>
    </row>
    <row r="1818" spans="1:20" ht="45" customHeight="1" x14ac:dyDescent="0.25">
      <c r="A1818" s="2" t="str">
        <f t="shared" si="1"/>
        <v/>
      </c>
      <c r="B1818" s="2"/>
      <c r="C1818" s="43"/>
      <c r="D1818" s="2"/>
      <c r="E1818" s="2"/>
      <c r="F1818" s="2"/>
      <c r="G1818" s="11"/>
      <c r="H1818" s="11"/>
      <c r="I1818" s="2"/>
      <c r="J1818" s="2"/>
      <c r="K1818" s="2"/>
      <c r="L1818" s="10"/>
      <c r="M1818" s="9"/>
      <c r="N1818" s="2"/>
      <c r="O1818" s="2"/>
      <c r="P1818" s="2"/>
      <c r="Q1818" s="50"/>
      <c r="R1818" s="50"/>
      <c r="S1818" s="2">
        <f>IFERROR(VLOOKUP(A1818,IMPORT_DESISTENCIA!$A$2:$Q2273,14,0),"NÃO")</f>
        <v>0</v>
      </c>
      <c r="T1818" s="35"/>
    </row>
    <row r="1819" spans="1:20" ht="45" customHeight="1" x14ac:dyDescent="0.25">
      <c r="A1819" s="2" t="str">
        <f t="shared" si="1"/>
        <v/>
      </c>
      <c r="B1819" s="2"/>
      <c r="C1819" s="43"/>
      <c r="D1819" s="2"/>
      <c r="E1819" s="2"/>
      <c r="F1819" s="2"/>
      <c r="G1819" s="11"/>
      <c r="H1819" s="11"/>
      <c r="I1819" s="2"/>
      <c r="J1819" s="2"/>
      <c r="K1819" s="2"/>
      <c r="L1819" s="10"/>
      <c r="M1819" s="9"/>
      <c r="N1819" s="2"/>
      <c r="O1819" s="2"/>
      <c r="P1819" s="2"/>
      <c r="Q1819" s="50"/>
      <c r="R1819" s="50"/>
      <c r="S1819" s="2">
        <f>IFERROR(VLOOKUP(A1819,IMPORT_DESISTENCIA!$A$2:$Q2273,14,0),"NÃO")</f>
        <v>0</v>
      </c>
      <c r="T1819" s="35"/>
    </row>
    <row r="1820" spans="1:20" ht="45" customHeight="1" x14ac:dyDescent="0.25">
      <c r="A1820" s="2" t="str">
        <f t="shared" si="1"/>
        <v/>
      </c>
      <c r="B1820" s="2"/>
      <c r="C1820" s="43"/>
      <c r="D1820" s="2"/>
      <c r="E1820" s="2"/>
      <c r="F1820" s="2"/>
      <c r="G1820" s="11"/>
      <c r="H1820" s="11"/>
      <c r="I1820" s="2"/>
      <c r="J1820" s="2"/>
      <c r="K1820" s="2"/>
      <c r="L1820" s="10"/>
      <c r="M1820" s="9"/>
      <c r="N1820" s="2"/>
      <c r="O1820" s="2"/>
      <c r="P1820" s="2"/>
      <c r="Q1820" s="50"/>
      <c r="R1820" s="50"/>
      <c r="S1820" s="2">
        <f>IFERROR(VLOOKUP(A1820,IMPORT_DESISTENCIA!$A$2:$Q2273,14,0),"NÃO")</f>
        <v>0</v>
      </c>
      <c r="T1820" s="35"/>
    </row>
    <row r="1821" spans="1:20" ht="45" customHeight="1" x14ac:dyDescent="0.25">
      <c r="A1821" s="2" t="str">
        <f t="shared" si="1"/>
        <v/>
      </c>
      <c r="B1821" s="2"/>
      <c r="C1821" s="43"/>
      <c r="D1821" s="2"/>
      <c r="E1821" s="2"/>
      <c r="F1821" s="2"/>
      <c r="G1821" s="11"/>
      <c r="H1821" s="11"/>
      <c r="I1821" s="2"/>
      <c r="J1821" s="2"/>
      <c r="K1821" s="2"/>
      <c r="L1821" s="10"/>
      <c r="M1821" s="9"/>
      <c r="N1821" s="2"/>
      <c r="O1821" s="2"/>
      <c r="P1821" s="2"/>
      <c r="Q1821" s="50"/>
      <c r="R1821" s="50"/>
      <c r="S1821" s="2">
        <f>IFERROR(VLOOKUP(A1821,IMPORT_DESISTENCIA!$A$2:$Q2273,14,0),"NÃO")</f>
        <v>0</v>
      </c>
      <c r="T1821" s="35"/>
    </row>
    <row r="1822" spans="1:20" ht="45" customHeight="1" x14ac:dyDescent="0.25">
      <c r="A1822" s="2" t="str">
        <f t="shared" si="1"/>
        <v/>
      </c>
      <c r="B1822" s="2"/>
      <c r="C1822" s="43"/>
      <c r="D1822" s="2"/>
      <c r="E1822" s="2"/>
      <c r="F1822" s="2"/>
      <c r="G1822" s="11"/>
      <c r="H1822" s="11"/>
      <c r="I1822" s="2"/>
      <c r="J1822" s="2"/>
      <c r="K1822" s="2"/>
      <c r="L1822" s="10"/>
      <c r="M1822" s="9"/>
      <c r="N1822" s="2"/>
      <c r="O1822" s="2"/>
      <c r="P1822" s="2"/>
      <c r="Q1822" s="50"/>
      <c r="R1822" s="50"/>
      <c r="S1822" s="2">
        <f>IFERROR(VLOOKUP(A1822,IMPORT_DESISTENCIA!$A$2:$Q2273,14,0),"NÃO")</f>
        <v>0</v>
      </c>
      <c r="T1822" s="35"/>
    </row>
    <row r="1823" spans="1:20" ht="45" customHeight="1" x14ac:dyDescent="0.25">
      <c r="A1823" s="2" t="str">
        <f t="shared" si="1"/>
        <v/>
      </c>
      <c r="B1823" s="2"/>
      <c r="C1823" s="43"/>
      <c r="D1823" s="2"/>
      <c r="E1823" s="2"/>
      <c r="F1823" s="2"/>
      <c r="G1823" s="11"/>
      <c r="H1823" s="11"/>
      <c r="I1823" s="2"/>
      <c r="J1823" s="2"/>
      <c r="K1823" s="2"/>
      <c r="L1823" s="10"/>
      <c r="M1823" s="9"/>
      <c r="N1823" s="2"/>
      <c r="O1823" s="2"/>
      <c r="P1823" s="2"/>
      <c r="Q1823" s="50"/>
      <c r="R1823" s="50"/>
      <c r="S1823" s="2">
        <f>IFERROR(VLOOKUP(A1823,IMPORT_DESISTENCIA!$A$2:$Q2273,14,0),"NÃO")</f>
        <v>0</v>
      </c>
      <c r="T1823" s="35"/>
    </row>
    <row r="1824" spans="1:20" ht="45" customHeight="1" x14ac:dyDescent="0.25">
      <c r="A1824" s="2" t="str">
        <f t="shared" si="1"/>
        <v/>
      </c>
      <c r="B1824" s="2"/>
      <c r="C1824" s="43"/>
      <c r="D1824" s="2"/>
      <c r="E1824" s="2"/>
      <c r="F1824" s="2"/>
      <c r="G1824" s="11"/>
      <c r="H1824" s="11"/>
      <c r="I1824" s="2"/>
      <c r="J1824" s="2"/>
      <c r="K1824" s="2"/>
      <c r="L1824" s="10"/>
      <c r="M1824" s="9"/>
      <c r="N1824" s="2"/>
      <c r="O1824" s="2"/>
      <c r="P1824" s="2"/>
      <c r="Q1824" s="50"/>
      <c r="R1824" s="50"/>
      <c r="S1824" s="2">
        <f>IFERROR(VLOOKUP(A1824,IMPORT_DESISTENCIA!$A$2:$Q2273,14,0),"NÃO")</f>
        <v>0</v>
      </c>
      <c r="T1824" s="35"/>
    </row>
    <row r="1825" spans="1:20" ht="45" customHeight="1" x14ac:dyDescent="0.25">
      <c r="A1825" s="2" t="str">
        <f t="shared" si="1"/>
        <v/>
      </c>
      <c r="B1825" s="2"/>
      <c r="C1825" s="43"/>
      <c r="D1825" s="2"/>
      <c r="E1825" s="2"/>
      <c r="F1825" s="2"/>
      <c r="G1825" s="11"/>
      <c r="H1825" s="11"/>
      <c r="I1825" s="2"/>
      <c r="J1825" s="2"/>
      <c r="K1825" s="2"/>
      <c r="L1825" s="10"/>
      <c r="M1825" s="9"/>
      <c r="N1825" s="2"/>
      <c r="O1825" s="2"/>
      <c r="P1825" s="2"/>
      <c r="Q1825" s="50"/>
      <c r="R1825" s="50"/>
      <c r="S1825" s="2">
        <f>IFERROR(VLOOKUP(A1825,IMPORT_DESISTENCIA!$A$2:$Q2273,14,0),"NÃO")</f>
        <v>0</v>
      </c>
      <c r="T1825" s="35"/>
    </row>
    <row r="1826" spans="1:20" ht="45" customHeight="1" x14ac:dyDescent="0.25">
      <c r="A1826" s="2" t="str">
        <f t="shared" si="1"/>
        <v/>
      </c>
      <c r="B1826" s="2"/>
      <c r="C1826" s="43"/>
      <c r="D1826" s="2"/>
      <c r="E1826" s="2"/>
      <c r="F1826" s="2"/>
      <c r="G1826" s="11"/>
      <c r="H1826" s="11"/>
      <c r="I1826" s="2"/>
      <c r="J1826" s="2"/>
      <c r="K1826" s="2"/>
      <c r="L1826" s="10"/>
      <c r="M1826" s="9"/>
      <c r="N1826" s="2"/>
      <c r="O1826" s="2"/>
      <c r="P1826" s="2"/>
      <c r="Q1826" s="50"/>
      <c r="R1826" s="50"/>
      <c r="S1826" s="2">
        <f>IFERROR(VLOOKUP(A1826,IMPORT_DESISTENCIA!$A$2:$Q2273,14,0),"NÃO")</f>
        <v>0</v>
      </c>
      <c r="T1826" s="35"/>
    </row>
    <row r="1827" spans="1:20" ht="45" customHeight="1" x14ac:dyDescent="0.25">
      <c r="A1827" s="2" t="str">
        <f t="shared" si="1"/>
        <v/>
      </c>
      <c r="B1827" s="2"/>
      <c r="C1827" s="43"/>
      <c r="D1827" s="2"/>
      <c r="E1827" s="2"/>
      <c r="F1827" s="2"/>
      <c r="G1827" s="11"/>
      <c r="H1827" s="11"/>
      <c r="I1827" s="2"/>
      <c r="J1827" s="2"/>
      <c r="K1827" s="2"/>
      <c r="L1827" s="10"/>
      <c r="M1827" s="9"/>
      <c r="N1827" s="2"/>
      <c r="O1827" s="2"/>
      <c r="P1827" s="2"/>
      <c r="Q1827" s="50"/>
      <c r="R1827" s="50"/>
      <c r="S1827" s="2">
        <f>IFERROR(VLOOKUP(A1827,IMPORT_DESISTENCIA!$A$2:$Q2273,14,0),"NÃO")</f>
        <v>0</v>
      </c>
      <c r="T1827" s="35"/>
    </row>
    <row r="1828" spans="1:20" ht="45" customHeight="1" x14ac:dyDescent="0.25">
      <c r="A1828" s="2" t="str">
        <f t="shared" si="1"/>
        <v/>
      </c>
      <c r="B1828" s="2"/>
      <c r="C1828" s="43"/>
      <c r="D1828" s="2"/>
      <c r="E1828" s="2"/>
      <c r="F1828" s="2"/>
      <c r="G1828" s="11"/>
      <c r="H1828" s="11"/>
      <c r="I1828" s="2"/>
      <c r="J1828" s="2"/>
      <c r="K1828" s="2"/>
      <c r="L1828" s="10"/>
      <c r="M1828" s="9"/>
      <c r="N1828" s="2"/>
      <c r="O1828" s="2"/>
      <c r="P1828" s="2"/>
      <c r="Q1828" s="50"/>
      <c r="R1828" s="50"/>
      <c r="S1828" s="2">
        <f>IFERROR(VLOOKUP(A1828,IMPORT_DESISTENCIA!$A$2:$Q2273,14,0),"NÃO")</f>
        <v>0</v>
      </c>
      <c r="T1828" s="35"/>
    </row>
    <row r="1829" spans="1:20" ht="45" customHeight="1" x14ac:dyDescent="0.25">
      <c r="A1829" s="2" t="str">
        <f t="shared" si="1"/>
        <v/>
      </c>
      <c r="B1829" s="2"/>
      <c r="C1829" s="43"/>
      <c r="D1829" s="2"/>
      <c r="E1829" s="2"/>
      <c r="F1829" s="2"/>
      <c r="G1829" s="11"/>
      <c r="H1829" s="11"/>
      <c r="I1829" s="2"/>
      <c r="J1829" s="2"/>
      <c r="K1829" s="2"/>
      <c r="L1829" s="10"/>
      <c r="M1829" s="9"/>
      <c r="N1829" s="2"/>
      <c r="O1829" s="2"/>
      <c r="P1829" s="2"/>
      <c r="Q1829" s="50"/>
      <c r="R1829" s="50"/>
      <c r="S1829" s="2">
        <f>IFERROR(VLOOKUP(A1829,IMPORT_DESISTENCIA!$A$2:$Q2273,14,0),"NÃO")</f>
        <v>0</v>
      </c>
      <c r="T1829" s="35"/>
    </row>
    <row r="1830" spans="1:20" ht="45" customHeight="1" x14ac:dyDescent="0.25">
      <c r="A1830" s="2" t="str">
        <f t="shared" si="1"/>
        <v/>
      </c>
      <c r="B1830" s="2"/>
      <c r="C1830" s="43"/>
      <c r="D1830" s="2"/>
      <c r="E1830" s="2"/>
      <c r="F1830" s="2"/>
      <c r="G1830" s="11"/>
      <c r="H1830" s="11"/>
      <c r="I1830" s="2"/>
      <c r="J1830" s="2"/>
      <c r="K1830" s="2"/>
      <c r="L1830" s="10"/>
      <c r="M1830" s="9"/>
      <c r="N1830" s="2"/>
      <c r="O1830" s="2"/>
      <c r="P1830" s="2"/>
      <c r="Q1830" s="50"/>
      <c r="R1830" s="50"/>
      <c r="S1830" s="2">
        <f>IFERROR(VLOOKUP(A1830,IMPORT_DESISTENCIA!$A$2:$Q2273,14,0),"NÃO")</f>
        <v>0</v>
      </c>
      <c r="T1830" s="35"/>
    </row>
    <row r="1831" spans="1:20" ht="45" customHeight="1" x14ac:dyDescent="0.25">
      <c r="A1831" s="2" t="str">
        <f t="shared" si="1"/>
        <v/>
      </c>
      <c r="B1831" s="2"/>
      <c r="C1831" s="43"/>
      <c r="D1831" s="2"/>
      <c r="E1831" s="2"/>
      <c r="F1831" s="2"/>
      <c r="G1831" s="11"/>
      <c r="H1831" s="11"/>
      <c r="I1831" s="2"/>
      <c r="J1831" s="2"/>
      <c r="K1831" s="2"/>
      <c r="L1831" s="10"/>
      <c r="M1831" s="9"/>
      <c r="N1831" s="2"/>
      <c r="O1831" s="2"/>
      <c r="P1831" s="2"/>
      <c r="Q1831" s="50"/>
      <c r="R1831" s="50"/>
      <c r="S1831" s="2">
        <f>IFERROR(VLOOKUP(A1831,IMPORT_DESISTENCIA!$A$2:$Q2273,14,0),"NÃO")</f>
        <v>0</v>
      </c>
      <c r="T1831" s="35"/>
    </row>
    <row r="1832" spans="1:20" ht="45" customHeight="1" x14ac:dyDescent="0.25">
      <c r="A1832" s="2" t="str">
        <f t="shared" si="1"/>
        <v/>
      </c>
      <c r="B1832" s="2"/>
      <c r="C1832" s="43"/>
      <c r="D1832" s="2"/>
      <c r="E1832" s="2"/>
      <c r="F1832" s="2"/>
      <c r="G1832" s="11"/>
      <c r="H1832" s="11"/>
      <c r="I1832" s="2"/>
      <c r="J1832" s="2"/>
      <c r="K1832" s="2"/>
      <c r="L1832" s="10"/>
      <c r="M1832" s="9"/>
      <c r="N1832" s="2"/>
      <c r="O1832" s="2"/>
      <c r="P1832" s="2"/>
      <c r="Q1832" s="50"/>
      <c r="R1832" s="50"/>
      <c r="S1832" s="2">
        <f>IFERROR(VLOOKUP(A1832,IMPORT_DESISTENCIA!$A$2:$Q2273,14,0),"NÃO")</f>
        <v>0</v>
      </c>
      <c r="T1832" s="35"/>
    </row>
    <row r="1833" spans="1:20" ht="45" customHeight="1" x14ac:dyDescent="0.25">
      <c r="A1833" s="2" t="str">
        <f t="shared" si="1"/>
        <v/>
      </c>
      <c r="B1833" s="2"/>
      <c r="C1833" s="43"/>
      <c r="D1833" s="2"/>
      <c r="E1833" s="2"/>
      <c r="F1833" s="2"/>
      <c r="G1833" s="11"/>
      <c r="H1833" s="11"/>
      <c r="I1833" s="2"/>
      <c r="J1833" s="2"/>
      <c r="K1833" s="2"/>
      <c r="L1833" s="10"/>
      <c r="M1833" s="9"/>
      <c r="N1833" s="2"/>
      <c r="O1833" s="2"/>
      <c r="P1833" s="2"/>
      <c r="Q1833" s="50"/>
      <c r="R1833" s="50"/>
      <c r="S1833" s="2">
        <f>IFERROR(VLOOKUP(A1833,IMPORT_DESISTENCIA!$A$2:$Q2273,14,0),"NÃO")</f>
        <v>0</v>
      </c>
      <c r="T1833" s="35"/>
    </row>
    <row r="1834" spans="1:20" ht="45" customHeight="1" x14ac:dyDescent="0.25">
      <c r="A1834" s="2" t="str">
        <f t="shared" si="1"/>
        <v/>
      </c>
      <c r="B1834" s="2"/>
      <c r="C1834" s="43"/>
      <c r="D1834" s="2"/>
      <c r="E1834" s="2"/>
      <c r="F1834" s="2"/>
      <c r="G1834" s="11"/>
      <c r="H1834" s="11"/>
      <c r="I1834" s="2"/>
      <c r="J1834" s="2"/>
      <c r="K1834" s="2"/>
      <c r="L1834" s="10"/>
      <c r="M1834" s="9"/>
      <c r="N1834" s="2"/>
      <c r="O1834" s="2"/>
      <c r="P1834" s="2"/>
      <c r="Q1834" s="50"/>
      <c r="R1834" s="50"/>
      <c r="S1834" s="2">
        <f>IFERROR(VLOOKUP(A1834,IMPORT_DESISTENCIA!$A$2:$Q2273,14,0),"NÃO")</f>
        <v>0</v>
      </c>
      <c r="T1834" s="35"/>
    </row>
    <row r="1835" spans="1:20" ht="45" customHeight="1" x14ac:dyDescent="0.25">
      <c r="A1835" s="2" t="str">
        <f t="shared" si="1"/>
        <v/>
      </c>
      <c r="B1835" s="2"/>
      <c r="C1835" s="43"/>
      <c r="D1835" s="2"/>
      <c r="E1835" s="2"/>
      <c r="F1835" s="2"/>
      <c r="G1835" s="11"/>
      <c r="H1835" s="11"/>
      <c r="I1835" s="2"/>
      <c r="J1835" s="2"/>
      <c r="K1835" s="2"/>
      <c r="L1835" s="10"/>
      <c r="M1835" s="9"/>
      <c r="N1835" s="2"/>
      <c r="O1835" s="2"/>
      <c r="P1835" s="2"/>
      <c r="Q1835" s="50"/>
      <c r="R1835" s="50"/>
      <c r="S1835" s="2">
        <f>IFERROR(VLOOKUP(A1835,IMPORT_DESISTENCIA!$A$2:$Q2273,14,0),"NÃO")</f>
        <v>0</v>
      </c>
      <c r="T1835" s="35"/>
    </row>
    <row r="1836" spans="1:20" ht="45" customHeight="1" x14ac:dyDescent="0.25">
      <c r="A1836" s="2" t="str">
        <f t="shared" si="1"/>
        <v/>
      </c>
      <c r="B1836" s="2"/>
      <c r="C1836" s="43"/>
      <c r="D1836" s="2"/>
      <c r="E1836" s="2"/>
      <c r="F1836" s="2"/>
      <c r="G1836" s="11"/>
      <c r="H1836" s="11"/>
      <c r="I1836" s="2"/>
      <c r="J1836" s="2"/>
      <c r="K1836" s="2"/>
      <c r="L1836" s="10"/>
      <c r="M1836" s="9"/>
      <c r="N1836" s="2"/>
      <c r="O1836" s="2"/>
      <c r="P1836" s="2"/>
      <c r="Q1836" s="50"/>
      <c r="R1836" s="50"/>
      <c r="S1836" s="2">
        <f>IFERROR(VLOOKUP(A1836,IMPORT_DESISTENCIA!$A$2:$Q2273,14,0),"NÃO")</f>
        <v>0</v>
      </c>
      <c r="T1836" s="35"/>
    </row>
    <row r="1837" spans="1:20" ht="45" customHeight="1" x14ac:dyDescent="0.25">
      <c r="A1837" s="2" t="str">
        <f t="shared" si="1"/>
        <v/>
      </c>
      <c r="B1837" s="2"/>
      <c r="C1837" s="43"/>
      <c r="D1837" s="2"/>
      <c r="E1837" s="2"/>
      <c r="F1837" s="2"/>
      <c r="G1837" s="11"/>
      <c r="H1837" s="11"/>
      <c r="I1837" s="2"/>
      <c r="J1837" s="2"/>
      <c r="K1837" s="2"/>
      <c r="L1837" s="10"/>
      <c r="M1837" s="9"/>
      <c r="N1837" s="2"/>
      <c r="O1837" s="2"/>
      <c r="P1837" s="2"/>
      <c r="Q1837" s="50"/>
      <c r="R1837" s="50"/>
      <c r="S1837" s="2">
        <f>IFERROR(VLOOKUP(A1837,IMPORT_DESISTENCIA!$A$2:$Q2273,14,0),"NÃO")</f>
        <v>0</v>
      </c>
      <c r="T1837" s="35"/>
    </row>
    <row r="1838" spans="1:20" ht="45" customHeight="1" x14ac:dyDescent="0.25">
      <c r="A1838" s="2" t="str">
        <f t="shared" si="1"/>
        <v/>
      </c>
      <c r="B1838" s="2"/>
      <c r="C1838" s="43"/>
      <c r="D1838" s="2"/>
      <c r="E1838" s="2"/>
      <c r="F1838" s="2"/>
      <c r="G1838" s="11"/>
      <c r="H1838" s="11"/>
      <c r="I1838" s="2"/>
      <c r="J1838" s="2"/>
      <c r="K1838" s="2"/>
      <c r="L1838" s="10"/>
      <c r="M1838" s="9"/>
      <c r="N1838" s="2"/>
      <c r="O1838" s="2"/>
      <c r="P1838" s="2"/>
      <c r="Q1838" s="50"/>
      <c r="R1838" s="50"/>
      <c r="S1838" s="2">
        <f>IFERROR(VLOOKUP(A1838,IMPORT_DESISTENCIA!$A$2:$Q2273,14,0),"NÃO")</f>
        <v>0</v>
      </c>
      <c r="T1838" s="35"/>
    </row>
    <row r="1839" spans="1:20" ht="45" customHeight="1" x14ac:dyDescent="0.25">
      <c r="A1839" s="2" t="str">
        <f t="shared" si="1"/>
        <v/>
      </c>
      <c r="B1839" s="2"/>
      <c r="C1839" s="43"/>
      <c r="D1839" s="2"/>
      <c r="E1839" s="2"/>
      <c r="F1839" s="2"/>
      <c r="G1839" s="11"/>
      <c r="H1839" s="11"/>
      <c r="I1839" s="2"/>
      <c r="J1839" s="2"/>
      <c r="K1839" s="2"/>
      <c r="L1839" s="10"/>
      <c r="M1839" s="9"/>
      <c r="N1839" s="2"/>
      <c r="O1839" s="2"/>
      <c r="P1839" s="2"/>
      <c r="Q1839" s="50"/>
      <c r="R1839" s="50"/>
      <c r="S1839" s="2">
        <f>IFERROR(VLOOKUP(A1839,IMPORT_DESISTENCIA!$A$2:$Q2273,14,0),"NÃO")</f>
        <v>0</v>
      </c>
      <c r="T1839" s="35"/>
    </row>
    <row r="1840" spans="1:20" ht="45" customHeight="1" x14ac:dyDescent="0.25">
      <c r="A1840" s="2" t="str">
        <f t="shared" si="1"/>
        <v/>
      </c>
      <c r="B1840" s="2"/>
      <c r="C1840" s="43"/>
      <c r="D1840" s="2"/>
      <c r="E1840" s="2"/>
      <c r="F1840" s="2"/>
      <c r="G1840" s="11"/>
      <c r="H1840" s="11"/>
      <c r="I1840" s="2"/>
      <c r="J1840" s="2"/>
      <c r="K1840" s="2"/>
      <c r="L1840" s="10"/>
      <c r="M1840" s="9"/>
      <c r="N1840" s="2"/>
      <c r="O1840" s="2"/>
      <c r="P1840" s="2"/>
      <c r="Q1840" s="50"/>
      <c r="R1840" s="50"/>
      <c r="S1840" s="2">
        <f>IFERROR(VLOOKUP(A1840,IMPORT_DESISTENCIA!$A$2:$Q2273,14,0),"NÃO")</f>
        <v>0</v>
      </c>
      <c r="T1840" s="35"/>
    </row>
    <row r="1841" spans="1:20" ht="45" customHeight="1" x14ac:dyDescent="0.25">
      <c r="A1841" s="2" t="str">
        <f t="shared" si="1"/>
        <v/>
      </c>
      <c r="B1841" s="2"/>
      <c r="C1841" s="43"/>
      <c r="D1841" s="2"/>
      <c r="E1841" s="2"/>
      <c r="F1841" s="2"/>
      <c r="G1841" s="11"/>
      <c r="H1841" s="11"/>
      <c r="I1841" s="2"/>
      <c r="J1841" s="2"/>
      <c r="K1841" s="2"/>
      <c r="L1841" s="10"/>
      <c r="M1841" s="9"/>
      <c r="N1841" s="2"/>
      <c r="O1841" s="2"/>
      <c r="P1841" s="2"/>
      <c r="Q1841" s="50"/>
      <c r="R1841" s="50"/>
      <c r="S1841" s="2">
        <f>IFERROR(VLOOKUP(A1841,IMPORT_DESISTENCIA!$A$2:$Q2273,14,0),"NÃO")</f>
        <v>0</v>
      </c>
      <c r="T1841" s="35"/>
    </row>
    <row r="1842" spans="1:20" ht="45" customHeight="1" x14ac:dyDescent="0.25">
      <c r="A1842" s="2" t="str">
        <f t="shared" si="1"/>
        <v/>
      </c>
      <c r="B1842" s="2"/>
      <c r="C1842" s="43"/>
      <c r="D1842" s="2"/>
      <c r="E1842" s="2"/>
      <c r="F1842" s="2"/>
      <c r="G1842" s="11"/>
      <c r="H1842" s="11"/>
      <c r="I1842" s="2"/>
      <c r="J1842" s="2"/>
      <c r="K1842" s="2"/>
      <c r="L1842" s="10"/>
      <c r="M1842" s="9"/>
      <c r="N1842" s="2"/>
      <c r="O1842" s="2"/>
      <c r="P1842" s="2"/>
      <c r="Q1842" s="50"/>
      <c r="R1842" s="50"/>
      <c r="S1842" s="2">
        <f>IFERROR(VLOOKUP(A1842,IMPORT_DESISTENCIA!$A$2:$Q2273,14,0),"NÃO")</f>
        <v>0</v>
      </c>
      <c r="T1842" s="35"/>
    </row>
    <row r="1843" spans="1:20" ht="45" customHeight="1" x14ac:dyDescent="0.25">
      <c r="A1843" s="2" t="str">
        <f t="shared" si="1"/>
        <v/>
      </c>
      <c r="B1843" s="2"/>
      <c r="C1843" s="43"/>
      <c r="D1843" s="2"/>
      <c r="E1843" s="2"/>
      <c r="F1843" s="2"/>
      <c r="G1843" s="11"/>
      <c r="H1843" s="11"/>
      <c r="I1843" s="2"/>
      <c r="J1843" s="2"/>
      <c r="K1843" s="2"/>
      <c r="L1843" s="10"/>
      <c r="M1843" s="9"/>
      <c r="N1843" s="2"/>
      <c r="O1843" s="2"/>
      <c r="P1843" s="2"/>
      <c r="Q1843" s="50"/>
      <c r="R1843" s="50"/>
      <c r="S1843" s="2">
        <f>IFERROR(VLOOKUP(A1843,IMPORT_DESISTENCIA!$A$2:$Q2273,14,0),"NÃO")</f>
        <v>0</v>
      </c>
      <c r="T1843" s="35"/>
    </row>
    <row r="1844" spans="1:20" ht="45" customHeight="1" x14ac:dyDescent="0.25">
      <c r="A1844" s="2" t="str">
        <f t="shared" si="1"/>
        <v/>
      </c>
      <c r="B1844" s="2"/>
      <c r="C1844" s="43"/>
      <c r="D1844" s="2"/>
      <c r="E1844" s="2"/>
      <c r="F1844" s="2"/>
      <c r="G1844" s="11"/>
      <c r="H1844" s="11"/>
      <c r="I1844" s="2"/>
      <c r="J1844" s="2"/>
      <c r="K1844" s="2"/>
      <c r="L1844" s="10"/>
      <c r="M1844" s="9"/>
      <c r="N1844" s="2"/>
      <c r="O1844" s="2"/>
      <c r="P1844" s="2"/>
      <c r="Q1844" s="50"/>
      <c r="R1844" s="50"/>
      <c r="S1844" s="2">
        <f>IFERROR(VLOOKUP(A1844,IMPORT_DESISTENCIA!$A$2:$Q2273,14,0),"NÃO")</f>
        <v>0</v>
      </c>
      <c r="T1844" s="35"/>
    </row>
    <row r="1845" spans="1:20" ht="45" customHeight="1" x14ac:dyDescent="0.25">
      <c r="A1845" s="2" t="str">
        <f t="shared" si="1"/>
        <v/>
      </c>
      <c r="B1845" s="2"/>
      <c r="C1845" s="43"/>
      <c r="D1845" s="2"/>
      <c r="E1845" s="2"/>
      <c r="F1845" s="2"/>
      <c r="G1845" s="11"/>
      <c r="H1845" s="11"/>
      <c r="I1845" s="2"/>
      <c r="J1845" s="2"/>
      <c r="K1845" s="2"/>
      <c r="L1845" s="10"/>
      <c r="M1845" s="9"/>
      <c r="N1845" s="2"/>
      <c r="O1845" s="2"/>
      <c r="P1845" s="2"/>
      <c r="Q1845" s="50"/>
      <c r="R1845" s="50"/>
      <c r="S1845" s="2">
        <f>IFERROR(VLOOKUP(A1845,IMPORT_DESISTENCIA!$A$2:$Q2273,14,0),"NÃO")</f>
        <v>0</v>
      </c>
      <c r="T1845" s="35"/>
    </row>
    <row r="1846" spans="1:20" ht="45" customHeight="1" x14ac:dyDescent="0.25">
      <c r="A1846" s="2" t="str">
        <f t="shared" si="1"/>
        <v/>
      </c>
      <c r="B1846" s="2"/>
      <c r="C1846" s="43"/>
      <c r="D1846" s="2"/>
      <c r="E1846" s="2"/>
      <c r="F1846" s="2"/>
      <c r="G1846" s="11"/>
      <c r="H1846" s="11"/>
      <c r="I1846" s="2"/>
      <c r="J1846" s="2"/>
      <c r="K1846" s="2"/>
      <c r="L1846" s="10"/>
      <c r="M1846" s="9"/>
      <c r="N1846" s="2"/>
      <c r="O1846" s="2"/>
      <c r="P1846" s="2"/>
      <c r="Q1846" s="50"/>
      <c r="R1846" s="50"/>
      <c r="S1846" s="2">
        <f>IFERROR(VLOOKUP(A1846,IMPORT_DESISTENCIA!$A$2:$Q2273,14,0),"NÃO")</f>
        <v>0</v>
      </c>
      <c r="T1846" s="35"/>
    </row>
    <row r="1847" spans="1:20" ht="45" customHeight="1" x14ac:dyDescent="0.25">
      <c r="A1847" s="2" t="str">
        <f t="shared" si="1"/>
        <v/>
      </c>
      <c r="B1847" s="2"/>
      <c r="C1847" s="43"/>
      <c r="D1847" s="2"/>
      <c r="E1847" s="2"/>
      <c r="F1847" s="2"/>
      <c r="G1847" s="11"/>
      <c r="H1847" s="11"/>
      <c r="I1847" s="2"/>
      <c r="J1847" s="2"/>
      <c r="K1847" s="2"/>
      <c r="L1847" s="10"/>
      <c r="M1847" s="9"/>
      <c r="N1847" s="2"/>
      <c r="O1847" s="2"/>
      <c r="P1847" s="2"/>
      <c r="Q1847" s="50"/>
      <c r="R1847" s="50"/>
      <c r="S1847" s="2">
        <f>IFERROR(VLOOKUP(A1847,IMPORT_DESISTENCIA!$A$2:$Q2273,14,0),"NÃO")</f>
        <v>0</v>
      </c>
      <c r="T1847" s="35"/>
    </row>
    <row r="1848" spans="1:20" ht="45" customHeight="1" x14ac:dyDescent="0.25">
      <c r="A1848" s="2" t="str">
        <f t="shared" si="1"/>
        <v/>
      </c>
      <c r="B1848" s="2"/>
      <c r="C1848" s="43"/>
      <c r="D1848" s="2"/>
      <c r="E1848" s="2"/>
      <c r="F1848" s="2"/>
      <c r="G1848" s="11"/>
      <c r="H1848" s="11"/>
      <c r="I1848" s="2"/>
      <c r="J1848" s="2"/>
      <c r="K1848" s="2"/>
      <c r="L1848" s="10"/>
      <c r="M1848" s="9"/>
      <c r="N1848" s="2"/>
      <c r="O1848" s="2"/>
      <c r="P1848" s="2"/>
      <c r="Q1848" s="50"/>
      <c r="R1848" s="50"/>
      <c r="S1848" s="2">
        <f>IFERROR(VLOOKUP(A1848,IMPORT_DESISTENCIA!$A$2:$Q2273,14,0),"NÃO")</f>
        <v>0</v>
      </c>
      <c r="T1848" s="35"/>
    </row>
    <row r="1849" spans="1:20" ht="45" customHeight="1" x14ac:dyDescent="0.25">
      <c r="A1849" s="2" t="str">
        <f t="shared" si="1"/>
        <v/>
      </c>
      <c r="B1849" s="2"/>
      <c r="C1849" s="43"/>
      <c r="D1849" s="2"/>
      <c r="E1849" s="2"/>
      <c r="F1849" s="2"/>
      <c r="G1849" s="11"/>
      <c r="H1849" s="11"/>
      <c r="I1849" s="2"/>
      <c r="J1849" s="2"/>
      <c r="K1849" s="2"/>
      <c r="L1849" s="10"/>
      <c r="M1849" s="9"/>
      <c r="N1849" s="2"/>
      <c r="O1849" s="2"/>
      <c r="P1849" s="2"/>
      <c r="Q1849" s="50"/>
      <c r="R1849" s="50"/>
      <c r="S1849" s="2">
        <f>IFERROR(VLOOKUP(A1849,IMPORT_DESISTENCIA!$A$2:$Q2273,14,0),"NÃO")</f>
        <v>0</v>
      </c>
      <c r="T1849" s="35"/>
    </row>
    <row r="1850" spans="1:20" ht="45" customHeight="1" x14ac:dyDescent="0.25">
      <c r="A1850" s="2" t="str">
        <f t="shared" si="1"/>
        <v/>
      </c>
      <c r="B1850" s="2"/>
      <c r="C1850" s="43"/>
      <c r="D1850" s="2"/>
      <c r="E1850" s="2"/>
      <c r="F1850" s="2"/>
      <c r="G1850" s="11"/>
      <c r="H1850" s="11"/>
      <c r="I1850" s="2"/>
      <c r="J1850" s="2"/>
      <c r="K1850" s="2"/>
      <c r="L1850" s="10"/>
      <c r="M1850" s="9"/>
      <c r="N1850" s="2"/>
      <c r="O1850" s="2"/>
      <c r="P1850" s="2"/>
      <c r="Q1850" s="50"/>
      <c r="R1850" s="50"/>
      <c r="S1850" s="2">
        <f>IFERROR(VLOOKUP(A1850,IMPORT_DESISTENCIA!$A$2:$Q2273,14,0),"NÃO")</f>
        <v>0</v>
      </c>
      <c r="T1850" s="35"/>
    </row>
    <row r="1851" spans="1:20" ht="45" customHeight="1" x14ac:dyDescent="0.25">
      <c r="A1851" s="2" t="str">
        <f t="shared" si="1"/>
        <v/>
      </c>
      <c r="B1851" s="2"/>
      <c r="C1851" s="43"/>
      <c r="D1851" s="2"/>
      <c r="E1851" s="2"/>
      <c r="F1851" s="2"/>
      <c r="G1851" s="11"/>
      <c r="H1851" s="11"/>
      <c r="I1851" s="2"/>
      <c r="J1851" s="2"/>
      <c r="K1851" s="2"/>
      <c r="L1851" s="10"/>
      <c r="M1851" s="9"/>
      <c r="N1851" s="2"/>
      <c r="O1851" s="2"/>
      <c r="P1851" s="2"/>
      <c r="Q1851" s="50"/>
      <c r="R1851" s="50"/>
      <c r="S1851" s="2">
        <f>IFERROR(VLOOKUP(A1851,IMPORT_DESISTENCIA!$A$2:$Q2273,14,0),"NÃO")</f>
        <v>0</v>
      </c>
      <c r="T1851" s="35"/>
    </row>
    <row r="1852" spans="1:20" ht="45" customHeight="1" x14ac:dyDescent="0.25">
      <c r="A1852" s="2" t="str">
        <f t="shared" si="1"/>
        <v/>
      </c>
      <c r="B1852" s="2"/>
      <c r="C1852" s="43"/>
      <c r="D1852" s="2"/>
      <c r="E1852" s="2"/>
      <c r="F1852" s="2"/>
      <c r="G1852" s="11"/>
      <c r="H1852" s="11"/>
      <c r="I1852" s="2"/>
      <c r="J1852" s="2"/>
      <c r="K1852" s="2"/>
      <c r="L1852" s="10"/>
      <c r="M1852" s="9"/>
      <c r="N1852" s="2"/>
      <c r="O1852" s="2"/>
      <c r="P1852" s="2"/>
      <c r="Q1852" s="50"/>
      <c r="R1852" s="50"/>
      <c r="S1852" s="2">
        <f>IFERROR(VLOOKUP(A1852,IMPORT_DESISTENCIA!$A$2:$Q2273,14,0),"NÃO")</f>
        <v>0</v>
      </c>
      <c r="T1852" s="35"/>
    </row>
    <row r="1853" spans="1:20" ht="45" customHeight="1" x14ac:dyDescent="0.25">
      <c r="A1853" s="2" t="str">
        <f t="shared" si="1"/>
        <v/>
      </c>
      <c r="B1853" s="2"/>
      <c r="C1853" s="43"/>
      <c r="D1853" s="2"/>
      <c r="E1853" s="2"/>
      <c r="F1853" s="2"/>
      <c r="G1853" s="11"/>
      <c r="H1853" s="11"/>
      <c r="I1853" s="2"/>
      <c r="J1853" s="2"/>
      <c r="K1853" s="2"/>
      <c r="L1853" s="10"/>
      <c r="M1853" s="9"/>
      <c r="N1853" s="2"/>
      <c r="O1853" s="2"/>
      <c r="P1853" s="2"/>
      <c r="Q1853" s="50"/>
      <c r="R1853" s="50"/>
      <c r="S1853" s="2">
        <f>IFERROR(VLOOKUP(A1853,IMPORT_DESISTENCIA!$A$2:$Q2273,14,0),"NÃO")</f>
        <v>0</v>
      </c>
      <c r="T1853" s="35"/>
    </row>
    <row r="1854" spans="1:20" ht="45" customHeight="1" x14ac:dyDescent="0.25">
      <c r="A1854" s="2" t="str">
        <f t="shared" si="1"/>
        <v/>
      </c>
      <c r="B1854" s="2"/>
      <c r="C1854" s="43"/>
      <c r="D1854" s="2"/>
      <c r="E1854" s="2"/>
      <c r="F1854" s="2"/>
      <c r="G1854" s="11"/>
      <c r="H1854" s="11"/>
      <c r="I1854" s="2"/>
      <c r="J1854" s="2"/>
      <c r="K1854" s="2"/>
      <c r="L1854" s="10"/>
      <c r="M1854" s="9"/>
      <c r="N1854" s="2"/>
      <c r="O1854" s="2"/>
      <c r="P1854" s="2"/>
      <c r="Q1854" s="50"/>
      <c r="R1854" s="50"/>
      <c r="S1854" s="2">
        <f>IFERROR(VLOOKUP(A1854,IMPORT_DESISTENCIA!$A$2:$Q2273,14,0),"NÃO")</f>
        <v>0</v>
      </c>
      <c r="T1854" s="35"/>
    </row>
    <row r="1855" spans="1:20" ht="45" customHeight="1" x14ac:dyDescent="0.25">
      <c r="A1855" s="2" t="str">
        <f t="shared" si="1"/>
        <v/>
      </c>
      <c r="B1855" s="2"/>
      <c r="C1855" s="43"/>
      <c r="D1855" s="2"/>
      <c r="E1855" s="2"/>
      <c r="F1855" s="2"/>
      <c r="G1855" s="11"/>
      <c r="H1855" s="11"/>
      <c r="I1855" s="2"/>
      <c r="J1855" s="2"/>
      <c r="K1855" s="2"/>
      <c r="L1855" s="10"/>
      <c r="M1855" s="9"/>
      <c r="N1855" s="2"/>
      <c r="O1855" s="2"/>
      <c r="P1855" s="2"/>
      <c r="Q1855" s="50"/>
      <c r="R1855" s="50"/>
      <c r="S1855" s="2">
        <f>IFERROR(VLOOKUP(A1855,IMPORT_DESISTENCIA!$A$2:$Q2273,14,0),"NÃO")</f>
        <v>0</v>
      </c>
      <c r="T1855" s="35"/>
    </row>
    <row r="1856" spans="1:20" ht="45" customHeight="1" x14ac:dyDescent="0.25">
      <c r="A1856" s="2" t="str">
        <f t="shared" si="1"/>
        <v/>
      </c>
      <c r="B1856" s="2"/>
      <c r="C1856" s="43"/>
      <c r="D1856" s="2"/>
      <c r="E1856" s="2"/>
      <c r="F1856" s="2"/>
      <c r="G1856" s="11"/>
      <c r="H1856" s="11"/>
      <c r="I1856" s="2"/>
      <c r="J1856" s="2"/>
      <c r="K1856" s="2"/>
      <c r="L1856" s="10"/>
      <c r="M1856" s="9"/>
      <c r="N1856" s="2"/>
      <c r="O1856" s="2"/>
      <c r="P1856" s="2"/>
      <c r="Q1856" s="50"/>
      <c r="R1856" s="50"/>
      <c r="S1856" s="2">
        <f>IFERROR(VLOOKUP(A1856,IMPORT_DESISTENCIA!$A$2:$Q2273,14,0),"NÃO")</f>
        <v>0</v>
      </c>
      <c r="T1856" s="35"/>
    </row>
    <row r="1857" spans="1:20" ht="45" customHeight="1" x14ac:dyDescent="0.25">
      <c r="A1857" s="2" t="str">
        <f t="shared" si="1"/>
        <v/>
      </c>
      <c r="B1857" s="2"/>
      <c r="C1857" s="43"/>
      <c r="D1857" s="2"/>
      <c r="E1857" s="2"/>
      <c r="F1857" s="2"/>
      <c r="G1857" s="11"/>
      <c r="H1857" s="11"/>
      <c r="I1857" s="2"/>
      <c r="J1857" s="2"/>
      <c r="K1857" s="2"/>
      <c r="L1857" s="10"/>
      <c r="M1857" s="9"/>
      <c r="N1857" s="2"/>
      <c r="O1857" s="2"/>
      <c r="P1857" s="2"/>
      <c r="Q1857" s="50"/>
      <c r="R1857" s="50"/>
      <c r="S1857" s="2">
        <f>IFERROR(VLOOKUP(A1857,IMPORT_DESISTENCIA!$A$2:$Q2273,14,0),"NÃO")</f>
        <v>0</v>
      </c>
      <c r="T1857" s="35"/>
    </row>
    <row r="1858" spans="1:20" ht="45" customHeight="1" x14ac:dyDescent="0.25">
      <c r="A1858" s="2" t="str">
        <f t="shared" si="1"/>
        <v/>
      </c>
      <c r="B1858" s="2"/>
      <c r="C1858" s="43"/>
      <c r="D1858" s="2"/>
      <c r="E1858" s="2"/>
      <c r="F1858" s="2"/>
      <c r="G1858" s="11"/>
      <c r="H1858" s="11"/>
      <c r="I1858" s="2"/>
      <c r="J1858" s="2"/>
      <c r="K1858" s="2"/>
      <c r="L1858" s="10"/>
      <c r="M1858" s="9"/>
      <c r="N1858" s="2"/>
      <c r="O1858" s="2"/>
      <c r="P1858" s="2"/>
      <c r="Q1858" s="50"/>
      <c r="R1858" s="50"/>
      <c r="S1858" s="2">
        <f>IFERROR(VLOOKUP(A1858,IMPORT_DESISTENCIA!$A$2:$Q2273,14,0),"NÃO")</f>
        <v>0</v>
      </c>
      <c r="T1858" s="35"/>
    </row>
    <row r="1859" spans="1:20" ht="45" customHeight="1" x14ac:dyDescent="0.25">
      <c r="A1859" s="2" t="str">
        <f t="shared" si="1"/>
        <v/>
      </c>
      <c r="B1859" s="2"/>
      <c r="C1859" s="43"/>
      <c r="D1859" s="2"/>
      <c r="E1859" s="2"/>
      <c r="F1859" s="2"/>
      <c r="G1859" s="11"/>
      <c r="H1859" s="11"/>
      <c r="I1859" s="2"/>
      <c r="J1859" s="2"/>
      <c r="K1859" s="2"/>
      <c r="L1859" s="10"/>
      <c r="M1859" s="9"/>
      <c r="N1859" s="2"/>
      <c r="O1859" s="2"/>
      <c r="P1859" s="2"/>
      <c r="Q1859" s="50"/>
      <c r="R1859" s="50"/>
      <c r="S1859" s="2">
        <f>IFERROR(VLOOKUP(A1859,IMPORT_DESISTENCIA!$A$2:$Q2273,14,0),"NÃO")</f>
        <v>0</v>
      </c>
      <c r="T1859" s="35"/>
    </row>
    <row r="1860" spans="1:20" ht="45" customHeight="1" x14ac:dyDescent="0.25">
      <c r="A1860" s="2" t="str">
        <f t="shared" si="1"/>
        <v/>
      </c>
      <c r="B1860" s="2"/>
      <c r="C1860" s="43"/>
      <c r="D1860" s="2"/>
      <c r="E1860" s="2"/>
      <c r="F1860" s="2"/>
      <c r="G1860" s="11"/>
      <c r="H1860" s="11"/>
      <c r="I1860" s="2"/>
      <c r="J1860" s="2"/>
      <c r="K1860" s="2"/>
      <c r="L1860" s="10"/>
      <c r="M1860" s="9"/>
      <c r="N1860" s="2"/>
      <c r="O1860" s="2"/>
      <c r="P1860" s="2"/>
      <c r="Q1860" s="50"/>
      <c r="R1860" s="50"/>
      <c r="S1860" s="2">
        <f>IFERROR(VLOOKUP(A1860,IMPORT_DESISTENCIA!$A$2:$Q2273,14,0),"NÃO")</f>
        <v>0</v>
      </c>
      <c r="T1860" s="35"/>
    </row>
    <row r="1861" spans="1:20" ht="45" customHeight="1" x14ac:dyDescent="0.25">
      <c r="A1861" s="2" t="str">
        <f t="shared" si="1"/>
        <v/>
      </c>
      <c r="B1861" s="2"/>
      <c r="C1861" s="43"/>
      <c r="D1861" s="2"/>
      <c r="E1861" s="2"/>
      <c r="F1861" s="2"/>
      <c r="G1861" s="11"/>
      <c r="H1861" s="11"/>
      <c r="I1861" s="2"/>
      <c r="J1861" s="2"/>
      <c r="K1861" s="2"/>
      <c r="L1861" s="10"/>
      <c r="M1861" s="9"/>
      <c r="N1861" s="2"/>
      <c r="O1861" s="2"/>
      <c r="P1861" s="2"/>
      <c r="Q1861" s="50"/>
      <c r="R1861" s="50"/>
      <c r="S1861" s="2">
        <f>IFERROR(VLOOKUP(A1861,IMPORT_DESISTENCIA!$A$2:$Q2273,14,0),"NÃO")</f>
        <v>0</v>
      </c>
      <c r="T1861" s="35"/>
    </row>
    <row r="1862" spans="1:20" ht="45" customHeight="1" x14ac:dyDescent="0.25">
      <c r="A1862" s="2" t="str">
        <f t="shared" si="1"/>
        <v/>
      </c>
      <c r="B1862" s="2"/>
      <c r="C1862" s="43"/>
      <c r="D1862" s="2"/>
      <c r="E1862" s="2"/>
      <c r="F1862" s="2"/>
      <c r="G1862" s="11"/>
      <c r="H1862" s="11"/>
      <c r="I1862" s="2"/>
      <c r="J1862" s="2"/>
      <c r="K1862" s="2"/>
      <c r="L1862" s="10"/>
      <c r="M1862" s="9"/>
      <c r="N1862" s="2"/>
      <c r="O1862" s="2"/>
      <c r="P1862" s="2"/>
      <c r="Q1862" s="50"/>
      <c r="R1862" s="50"/>
      <c r="S1862" s="2">
        <f>IFERROR(VLOOKUP(A1862,IMPORT_DESISTENCIA!$A$2:$Q2273,14,0),"NÃO")</f>
        <v>0</v>
      </c>
      <c r="T1862" s="35"/>
    </row>
    <row r="1863" spans="1:20" ht="45" customHeight="1" x14ac:dyDescent="0.25">
      <c r="A1863" s="2" t="str">
        <f t="shared" si="1"/>
        <v/>
      </c>
      <c r="B1863" s="2"/>
      <c r="C1863" s="43"/>
      <c r="D1863" s="2"/>
      <c r="E1863" s="2"/>
      <c r="F1863" s="2"/>
      <c r="G1863" s="11"/>
      <c r="H1863" s="11"/>
      <c r="I1863" s="2"/>
      <c r="J1863" s="2"/>
      <c r="K1863" s="2"/>
      <c r="L1863" s="10"/>
      <c r="M1863" s="9"/>
      <c r="N1863" s="2"/>
      <c r="O1863" s="2"/>
      <c r="P1863" s="2"/>
      <c r="Q1863" s="50"/>
      <c r="R1863" s="50"/>
      <c r="S1863" s="2">
        <f>IFERROR(VLOOKUP(A1863,IMPORT_DESISTENCIA!$A$2:$Q2273,14,0),"NÃO")</f>
        <v>0</v>
      </c>
      <c r="T1863" s="35"/>
    </row>
    <row r="1864" spans="1:20" ht="45" customHeight="1" x14ac:dyDescent="0.25">
      <c r="A1864" s="2" t="str">
        <f t="shared" si="1"/>
        <v/>
      </c>
      <c r="B1864" s="2"/>
      <c r="C1864" s="43"/>
      <c r="D1864" s="2"/>
      <c r="E1864" s="2"/>
      <c r="F1864" s="2"/>
      <c r="G1864" s="11"/>
      <c r="H1864" s="11"/>
      <c r="I1864" s="2"/>
      <c r="J1864" s="2"/>
      <c r="K1864" s="2"/>
      <c r="L1864" s="10"/>
      <c r="M1864" s="9"/>
      <c r="N1864" s="2"/>
      <c r="O1864" s="2"/>
      <c r="P1864" s="2"/>
      <c r="Q1864" s="50"/>
      <c r="R1864" s="50"/>
      <c r="S1864" s="2">
        <f>IFERROR(VLOOKUP(A1864,IMPORT_DESISTENCIA!$A$2:$Q2273,14,0),"NÃO")</f>
        <v>0</v>
      </c>
      <c r="T1864" s="35"/>
    </row>
    <row r="1865" spans="1:20" ht="45" customHeight="1" x14ac:dyDescent="0.25">
      <c r="A1865" s="2" t="str">
        <f t="shared" si="1"/>
        <v/>
      </c>
      <c r="B1865" s="2"/>
      <c r="C1865" s="43"/>
      <c r="D1865" s="2"/>
      <c r="E1865" s="2"/>
      <c r="F1865" s="2"/>
      <c r="G1865" s="11"/>
      <c r="H1865" s="11"/>
      <c r="I1865" s="2"/>
      <c r="J1865" s="2"/>
      <c r="K1865" s="2"/>
      <c r="L1865" s="10"/>
      <c r="M1865" s="9"/>
      <c r="N1865" s="2"/>
      <c r="O1865" s="2"/>
      <c r="P1865" s="2"/>
      <c r="Q1865" s="50"/>
      <c r="R1865" s="50"/>
      <c r="S1865" s="2">
        <f>IFERROR(VLOOKUP(A1865,IMPORT_DESISTENCIA!$A$2:$Q2273,14,0),"NÃO")</f>
        <v>0</v>
      </c>
      <c r="T1865" s="35"/>
    </row>
    <row r="1866" spans="1:20" ht="45" customHeight="1" x14ac:dyDescent="0.25">
      <c r="A1866" s="2" t="str">
        <f t="shared" si="1"/>
        <v/>
      </c>
      <c r="B1866" s="2"/>
      <c r="C1866" s="43"/>
      <c r="D1866" s="2"/>
      <c r="E1866" s="2"/>
      <c r="F1866" s="2"/>
      <c r="G1866" s="11"/>
      <c r="H1866" s="11"/>
      <c r="I1866" s="2"/>
      <c r="J1866" s="2"/>
      <c r="K1866" s="2"/>
      <c r="L1866" s="10"/>
      <c r="M1866" s="9"/>
      <c r="N1866" s="2"/>
      <c r="O1866" s="2"/>
      <c r="P1866" s="2"/>
      <c r="Q1866" s="50"/>
      <c r="R1866" s="50"/>
      <c r="S1866" s="2">
        <f>IFERROR(VLOOKUP(A1866,IMPORT_DESISTENCIA!$A$2:$Q2273,14,0),"NÃO")</f>
        <v>0</v>
      </c>
      <c r="T1866" s="35"/>
    </row>
    <row r="1867" spans="1:20" ht="45" customHeight="1" x14ac:dyDescent="0.25">
      <c r="A1867" s="2" t="str">
        <f t="shared" si="1"/>
        <v/>
      </c>
      <c r="B1867" s="2"/>
      <c r="C1867" s="43"/>
      <c r="D1867" s="2"/>
      <c r="E1867" s="2"/>
      <c r="F1867" s="2"/>
      <c r="G1867" s="11"/>
      <c r="H1867" s="11"/>
      <c r="I1867" s="2"/>
      <c r="J1867" s="2"/>
      <c r="K1867" s="2"/>
      <c r="L1867" s="10"/>
      <c r="M1867" s="9"/>
      <c r="N1867" s="2"/>
      <c r="O1867" s="2"/>
      <c r="P1867" s="2"/>
      <c r="Q1867" s="50"/>
      <c r="R1867" s="50"/>
      <c r="S1867" s="2">
        <f>IFERROR(VLOOKUP(A1867,IMPORT_DESISTENCIA!$A$2:$Q2273,14,0),"NÃO")</f>
        <v>0</v>
      </c>
      <c r="T1867" s="35"/>
    </row>
    <row r="1868" spans="1:20" ht="45" customHeight="1" x14ac:dyDescent="0.25">
      <c r="A1868" s="2" t="str">
        <f t="shared" si="1"/>
        <v/>
      </c>
      <c r="B1868" s="2"/>
      <c r="C1868" s="43"/>
      <c r="D1868" s="2"/>
      <c r="E1868" s="2"/>
      <c r="F1868" s="2"/>
      <c r="G1868" s="11"/>
      <c r="H1868" s="11"/>
      <c r="I1868" s="2"/>
      <c r="J1868" s="2"/>
      <c r="K1868" s="2"/>
      <c r="L1868" s="10"/>
      <c r="M1868" s="9"/>
      <c r="N1868" s="2"/>
      <c r="O1868" s="2"/>
      <c r="P1868" s="2"/>
      <c r="Q1868" s="50"/>
      <c r="R1868" s="50"/>
      <c r="S1868" s="2">
        <f>IFERROR(VLOOKUP(A1868,IMPORT_DESISTENCIA!$A$2:$Q2273,14,0),"NÃO")</f>
        <v>0</v>
      </c>
      <c r="T1868" s="35"/>
    </row>
    <row r="1869" spans="1:20" ht="45" customHeight="1" x14ac:dyDescent="0.25">
      <c r="A1869" s="2" t="str">
        <f t="shared" si="1"/>
        <v/>
      </c>
      <c r="B1869" s="2"/>
      <c r="C1869" s="43"/>
      <c r="D1869" s="2"/>
      <c r="E1869" s="2"/>
      <c r="F1869" s="2"/>
      <c r="G1869" s="11"/>
      <c r="H1869" s="11"/>
      <c r="I1869" s="2"/>
      <c r="J1869" s="2"/>
      <c r="K1869" s="2"/>
      <c r="L1869" s="10"/>
      <c r="M1869" s="9"/>
      <c r="N1869" s="2"/>
      <c r="O1869" s="2"/>
      <c r="P1869" s="2"/>
      <c r="Q1869" s="50"/>
      <c r="R1869" s="50"/>
      <c r="S1869" s="2">
        <f>IFERROR(VLOOKUP(A1869,IMPORT_DESISTENCIA!$A$2:$Q2273,14,0),"NÃO")</f>
        <v>0</v>
      </c>
      <c r="T1869" s="35"/>
    </row>
    <row r="1870" spans="1:20" ht="45" customHeight="1" x14ac:dyDescent="0.25">
      <c r="A1870" s="2" t="str">
        <f t="shared" si="1"/>
        <v/>
      </c>
      <c r="B1870" s="2"/>
      <c r="C1870" s="43"/>
      <c r="D1870" s="2"/>
      <c r="E1870" s="2"/>
      <c r="F1870" s="2"/>
      <c r="G1870" s="11"/>
      <c r="H1870" s="11"/>
      <c r="I1870" s="2"/>
      <c r="J1870" s="2"/>
      <c r="K1870" s="2"/>
      <c r="L1870" s="10"/>
      <c r="M1870" s="9"/>
      <c r="N1870" s="2"/>
      <c r="O1870" s="2"/>
      <c r="P1870" s="2"/>
      <c r="Q1870" s="50"/>
      <c r="R1870" s="50"/>
      <c r="S1870" s="2">
        <f>IFERROR(VLOOKUP(A1870,IMPORT_DESISTENCIA!$A$2:$Q2273,14,0),"NÃO")</f>
        <v>0</v>
      </c>
      <c r="T1870" s="35"/>
    </row>
    <row r="1871" spans="1:20" ht="45" customHeight="1" x14ac:dyDescent="0.25">
      <c r="A1871" s="2" t="str">
        <f t="shared" si="1"/>
        <v/>
      </c>
      <c r="B1871" s="2"/>
      <c r="C1871" s="43"/>
      <c r="D1871" s="2"/>
      <c r="E1871" s="2"/>
      <c r="F1871" s="2"/>
      <c r="G1871" s="11"/>
      <c r="H1871" s="11"/>
      <c r="I1871" s="2"/>
      <c r="J1871" s="2"/>
      <c r="K1871" s="2"/>
      <c r="L1871" s="10"/>
      <c r="M1871" s="9"/>
      <c r="N1871" s="2"/>
      <c r="O1871" s="2"/>
      <c r="P1871" s="2"/>
      <c r="Q1871" s="50"/>
      <c r="R1871" s="50"/>
      <c r="S1871" s="2">
        <f>IFERROR(VLOOKUP(A1871,IMPORT_DESISTENCIA!$A$2:$Q2273,14,0),"NÃO")</f>
        <v>0</v>
      </c>
      <c r="T1871" s="35"/>
    </row>
    <row r="1872" spans="1:20" ht="45" customHeight="1" x14ac:dyDescent="0.25">
      <c r="A1872" s="2" t="str">
        <f t="shared" si="1"/>
        <v/>
      </c>
      <c r="B1872" s="2"/>
      <c r="C1872" s="43"/>
      <c r="D1872" s="2"/>
      <c r="E1872" s="2"/>
      <c r="F1872" s="2"/>
      <c r="G1872" s="11"/>
      <c r="H1872" s="11"/>
      <c r="I1872" s="2"/>
      <c r="J1872" s="2"/>
      <c r="K1872" s="2"/>
      <c r="L1872" s="10"/>
      <c r="M1872" s="9"/>
      <c r="N1872" s="2"/>
      <c r="O1872" s="2"/>
      <c r="P1872" s="2"/>
      <c r="Q1872" s="50"/>
      <c r="R1872" s="50"/>
      <c r="S1872" s="2">
        <f>IFERROR(VLOOKUP(A1872,IMPORT_DESISTENCIA!$A$2:$Q2273,14,0),"NÃO")</f>
        <v>0</v>
      </c>
      <c r="T1872" s="35"/>
    </row>
    <row r="1873" spans="1:20" ht="45" customHeight="1" x14ac:dyDescent="0.25">
      <c r="A1873" s="2" t="str">
        <f t="shared" si="1"/>
        <v/>
      </c>
      <c r="B1873" s="2"/>
      <c r="C1873" s="43"/>
      <c r="D1873" s="2"/>
      <c r="E1873" s="2"/>
      <c r="F1873" s="2"/>
      <c r="G1873" s="11"/>
      <c r="H1873" s="11"/>
      <c r="I1873" s="2"/>
      <c r="J1873" s="2"/>
      <c r="K1873" s="2"/>
      <c r="L1873" s="10"/>
      <c r="M1873" s="9"/>
      <c r="N1873" s="2"/>
      <c r="O1873" s="2"/>
      <c r="P1873" s="2"/>
      <c r="Q1873" s="50"/>
      <c r="R1873" s="50"/>
      <c r="S1873" s="2">
        <f>IFERROR(VLOOKUP(A1873,IMPORT_DESISTENCIA!$A$2:$Q2273,14,0),"NÃO")</f>
        <v>0</v>
      </c>
      <c r="T1873" s="35"/>
    </row>
    <row r="1874" spans="1:20" ht="45" customHeight="1" x14ac:dyDescent="0.25">
      <c r="A1874" s="2" t="str">
        <f t="shared" si="1"/>
        <v/>
      </c>
      <c r="B1874" s="2"/>
      <c r="C1874" s="43"/>
      <c r="D1874" s="2"/>
      <c r="E1874" s="2"/>
      <c r="F1874" s="2"/>
      <c r="G1874" s="11"/>
      <c r="H1874" s="11"/>
      <c r="I1874" s="2"/>
      <c r="J1874" s="2"/>
      <c r="K1874" s="2"/>
      <c r="L1874" s="10"/>
      <c r="M1874" s="9"/>
      <c r="N1874" s="2"/>
      <c r="O1874" s="2"/>
      <c r="P1874" s="2"/>
      <c r="Q1874" s="50"/>
      <c r="R1874" s="50"/>
      <c r="S1874" s="2">
        <f>IFERROR(VLOOKUP(A1874,IMPORT_DESISTENCIA!$A$2:$Q2273,14,0),"NÃO")</f>
        <v>0</v>
      </c>
      <c r="T1874" s="35"/>
    </row>
    <row r="1875" spans="1:20" ht="45" customHeight="1" x14ac:dyDescent="0.25">
      <c r="A1875" s="2" t="str">
        <f t="shared" si="1"/>
        <v/>
      </c>
      <c r="B1875" s="2"/>
      <c r="C1875" s="43"/>
      <c r="D1875" s="2"/>
      <c r="E1875" s="2"/>
      <c r="F1875" s="2"/>
      <c r="G1875" s="11"/>
      <c r="H1875" s="11"/>
      <c r="I1875" s="2"/>
      <c r="J1875" s="2"/>
      <c r="K1875" s="2"/>
      <c r="L1875" s="10"/>
      <c r="M1875" s="9"/>
      <c r="N1875" s="2"/>
      <c r="O1875" s="2"/>
      <c r="P1875" s="2"/>
      <c r="Q1875" s="50"/>
      <c r="R1875" s="50"/>
      <c r="S1875" s="2">
        <f>IFERROR(VLOOKUP(A1875,IMPORT_DESISTENCIA!$A$2:$Q2273,14,0),"NÃO")</f>
        <v>0</v>
      </c>
      <c r="T1875" s="35"/>
    </row>
    <row r="1876" spans="1:20" ht="45" customHeight="1" x14ac:dyDescent="0.25">
      <c r="A1876" s="2" t="str">
        <f t="shared" si="1"/>
        <v/>
      </c>
      <c r="B1876" s="2"/>
      <c r="C1876" s="43"/>
      <c r="D1876" s="2"/>
      <c r="E1876" s="2"/>
      <c r="F1876" s="2"/>
      <c r="G1876" s="11"/>
      <c r="H1876" s="11"/>
      <c r="I1876" s="2"/>
      <c r="J1876" s="2"/>
      <c r="K1876" s="2"/>
      <c r="L1876" s="10"/>
      <c r="M1876" s="9"/>
      <c r="N1876" s="2"/>
      <c r="O1876" s="2"/>
      <c r="P1876" s="2"/>
      <c r="Q1876" s="50"/>
      <c r="R1876" s="50"/>
      <c r="S1876" s="2">
        <f>IFERROR(VLOOKUP(A1876,IMPORT_DESISTENCIA!$A$2:$Q2273,14,0),"NÃO")</f>
        <v>0</v>
      </c>
      <c r="T1876" s="35"/>
    </row>
    <row r="1877" spans="1:20" ht="45" customHeight="1" x14ac:dyDescent="0.25">
      <c r="A1877" s="2" t="str">
        <f t="shared" si="1"/>
        <v/>
      </c>
      <c r="B1877" s="2"/>
      <c r="C1877" s="43"/>
      <c r="D1877" s="2"/>
      <c r="E1877" s="2"/>
      <c r="F1877" s="2"/>
      <c r="G1877" s="11"/>
      <c r="H1877" s="11"/>
      <c r="I1877" s="2"/>
      <c r="J1877" s="2"/>
      <c r="K1877" s="2"/>
      <c r="L1877" s="10"/>
      <c r="M1877" s="9"/>
      <c r="N1877" s="2"/>
      <c r="O1877" s="2"/>
      <c r="P1877" s="2"/>
      <c r="Q1877" s="50"/>
      <c r="R1877" s="50"/>
      <c r="S1877" s="2">
        <f>IFERROR(VLOOKUP(A1877,IMPORT_DESISTENCIA!$A$2:$Q2273,14,0),"NÃO")</f>
        <v>0</v>
      </c>
      <c r="T1877" s="35"/>
    </row>
    <row r="1878" spans="1:20" ht="45" customHeight="1" x14ac:dyDescent="0.25">
      <c r="A1878" s="2" t="str">
        <f t="shared" si="1"/>
        <v/>
      </c>
      <c r="B1878" s="2"/>
      <c r="C1878" s="43"/>
      <c r="D1878" s="2"/>
      <c r="E1878" s="2"/>
      <c r="F1878" s="2"/>
      <c r="G1878" s="11"/>
      <c r="H1878" s="11"/>
      <c r="I1878" s="2"/>
      <c r="J1878" s="2"/>
      <c r="K1878" s="2"/>
      <c r="L1878" s="10"/>
      <c r="M1878" s="9"/>
      <c r="N1878" s="2"/>
      <c r="O1878" s="2"/>
      <c r="P1878" s="2"/>
      <c r="Q1878" s="50"/>
      <c r="R1878" s="50"/>
      <c r="S1878" s="2">
        <f>IFERROR(VLOOKUP(A1878,IMPORT_DESISTENCIA!$A$2:$Q2273,14,0),"NÃO")</f>
        <v>0</v>
      </c>
      <c r="T1878" s="35"/>
    </row>
    <row r="1879" spans="1:20" ht="45" customHeight="1" x14ac:dyDescent="0.25">
      <c r="A1879" s="2" t="str">
        <f t="shared" si="1"/>
        <v/>
      </c>
      <c r="B1879" s="2"/>
      <c r="C1879" s="43"/>
      <c r="D1879" s="2"/>
      <c r="E1879" s="2"/>
      <c r="F1879" s="2"/>
      <c r="G1879" s="11"/>
      <c r="H1879" s="11"/>
      <c r="I1879" s="2"/>
      <c r="J1879" s="2"/>
      <c r="K1879" s="2"/>
      <c r="L1879" s="10"/>
      <c r="M1879" s="9"/>
      <c r="N1879" s="2"/>
      <c r="O1879" s="2"/>
      <c r="P1879" s="2"/>
      <c r="Q1879" s="50"/>
      <c r="R1879" s="50"/>
      <c r="S1879" s="2">
        <f>IFERROR(VLOOKUP(A1879,IMPORT_DESISTENCIA!$A$2:$Q2273,14,0),"NÃO")</f>
        <v>0</v>
      </c>
      <c r="T1879" s="35"/>
    </row>
    <row r="1880" spans="1:20" ht="45" customHeight="1" x14ac:dyDescent="0.25">
      <c r="A1880" s="2" t="str">
        <f t="shared" si="1"/>
        <v/>
      </c>
      <c r="B1880" s="2"/>
      <c r="C1880" s="43"/>
      <c r="D1880" s="2"/>
      <c r="E1880" s="2"/>
      <c r="F1880" s="2"/>
      <c r="G1880" s="11"/>
      <c r="H1880" s="11"/>
      <c r="I1880" s="2"/>
      <c r="J1880" s="2"/>
      <c r="K1880" s="2"/>
      <c r="L1880" s="10"/>
      <c r="M1880" s="9"/>
      <c r="N1880" s="2"/>
      <c r="O1880" s="2"/>
      <c r="P1880" s="2"/>
      <c r="Q1880" s="50"/>
      <c r="R1880" s="50"/>
      <c r="S1880" s="2">
        <f>IFERROR(VLOOKUP(A1880,IMPORT_DESISTENCIA!$A$2:$Q2273,14,0),"NÃO")</f>
        <v>0</v>
      </c>
      <c r="T1880" s="35"/>
    </row>
    <row r="1881" spans="1:20" ht="45" customHeight="1" x14ac:dyDescent="0.25">
      <c r="A1881" s="2" t="str">
        <f t="shared" si="1"/>
        <v/>
      </c>
      <c r="B1881" s="2"/>
      <c r="C1881" s="43"/>
      <c r="D1881" s="2"/>
      <c r="E1881" s="2"/>
      <c r="F1881" s="2"/>
      <c r="G1881" s="11"/>
      <c r="H1881" s="11"/>
      <c r="I1881" s="2"/>
      <c r="J1881" s="2"/>
      <c r="K1881" s="2"/>
      <c r="L1881" s="10"/>
      <c r="M1881" s="9"/>
      <c r="N1881" s="2"/>
      <c r="O1881" s="2"/>
      <c r="P1881" s="2"/>
      <c r="Q1881" s="50"/>
      <c r="R1881" s="50"/>
      <c r="S1881" s="2">
        <f>IFERROR(VLOOKUP(A1881,IMPORT_DESISTENCIA!$A$2:$Q2273,14,0),"NÃO")</f>
        <v>0</v>
      </c>
      <c r="T1881" s="35"/>
    </row>
    <row r="1882" spans="1:20" ht="45" customHeight="1" x14ac:dyDescent="0.25">
      <c r="A1882" s="2" t="str">
        <f t="shared" si="1"/>
        <v/>
      </c>
      <c r="B1882" s="2"/>
      <c r="C1882" s="43"/>
      <c r="D1882" s="2"/>
      <c r="E1882" s="2"/>
      <c r="F1882" s="2"/>
      <c r="G1882" s="11"/>
      <c r="H1882" s="11"/>
      <c r="I1882" s="2"/>
      <c r="J1882" s="2"/>
      <c r="K1882" s="2"/>
      <c r="L1882" s="10"/>
      <c r="M1882" s="9"/>
      <c r="N1882" s="2"/>
      <c r="O1882" s="2"/>
      <c r="P1882" s="2"/>
      <c r="Q1882" s="50"/>
      <c r="R1882" s="50"/>
      <c r="S1882" s="2">
        <f>IFERROR(VLOOKUP(A1882,IMPORT_DESISTENCIA!$A$2:$Q2273,14,0),"NÃO")</f>
        <v>0</v>
      </c>
      <c r="T1882" s="35"/>
    </row>
    <row r="1883" spans="1:20" ht="45" customHeight="1" x14ac:dyDescent="0.25">
      <c r="A1883" s="2" t="str">
        <f t="shared" si="1"/>
        <v/>
      </c>
      <c r="B1883" s="2"/>
      <c r="C1883" s="43"/>
      <c r="D1883" s="2"/>
      <c r="E1883" s="2"/>
      <c r="F1883" s="2"/>
      <c r="G1883" s="11"/>
      <c r="H1883" s="11"/>
      <c r="I1883" s="2"/>
      <c r="J1883" s="2"/>
      <c r="K1883" s="2"/>
      <c r="L1883" s="10"/>
      <c r="M1883" s="9"/>
      <c r="N1883" s="2"/>
      <c r="O1883" s="2"/>
      <c r="P1883" s="2"/>
      <c r="Q1883" s="50"/>
      <c r="R1883" s="50"/>
      <c r="S1883" s="2">
        <f>IFERROR(VLOOKUP(A1883,IMPORT_DESISTENCIA!$A$2:$Q2273,14,0),"NÃO")</f>
        <v>0</v>
      </c>
      <c r="T1883" s="35"/>
    </row>
    <row r="1884" spans="1:20" ht="45" customHeight="1" x14ac:dyDescent="0.25">
      <c r="A1884" s="2" t="str">
        <f t="shared" si="1"/>
        <v/>
      </c>
      <c r="B1884" s="2"/>
      <c r="C1884" s="43"/>
      <c r="D1884" s="2"/>
      <c r="E1884" s="2"/>
      <c r="F1884" s="2"/>
      <c r="G1884" s="11"/>
      <c r="H1884" s="11"/>
      <c r="I1884" s="2"/>
      <c r="J1884" s="2"/>
      <c r="K1884" s="2"/>
      <c r="L1884" s="10"/>
      <c r="M1884" s="9"/>
      <c r="N1884" s="2"/>
      <c r="O1884" s="2"/>
      <c r="P1884" s="2"/>
      <c r="Q1884" s="50"/>
      <c r="R1884" s="50"/>
      <c r="S1884" s="2">
        <f>IFERROR(VLOOKUP(A1884,IMPORT_DESISTENCIA!$A$2:$Q2273,14,0),"NÃO")</f>
        <v>0</v>
      </c>
      <c r="T1884" s="35"/>
    </row>
    <row r="1885" spans="1:20" ht="45" customHeight="1" x14ac:dyDescent="0.25">
      <c r="A1885" s="2" t="str">
        <f t="shared" si="1"/>
        <v/>
      </c>
      <c r="B1885" s="2"/>
      <c r="C1885" s="43"/>
      <c r="D1885" s="2"/>
      <c r="E1885" s="2"/>
      <c r="F1885" s="2"/>
      <c r="G1885" s="11"/>
      <c r="H1885" s="11"/>
      <c r="I1885" s="2"/>
      <c r="J1885" s="2"/>
      <c r="K1885" s="2"/>
      <c r="L1885" s="10"/>
      <c r="M1885" s="9"/>
      <c r="N1885" s="2"/>
      <c r="O1885" s="2"/>
      <c r="P1885" s="2"/>
      <c r="Q1885" s="50"/>
      <c r="R1885" s="50"/>
      <c r="S1885" s="2">
        <f>IFERROR(VLOOKUP(A1885,IMPORT_DESISTENCIA!$A$2:$Q2273,14,0),"NÃO")</f>
        <v>0</v>
      </c>
      <c r="T1885" s="35"/>
    </row>
    <row r="1886" spans="1:20" ht="45" customHeight="1" x14ac:dyDescent="0.25">
      <c r="A1886" s="2" t="str">
        <f t="shared" si="1"/>
        <v/>
      </c>
      <c r="B1886" s="2"/>
      <c r="C1886" s="43"/>
      <c r="D1886" s="2"/>
      <c r="E1886" s="2"/>
      <c r="F1886" s="2"/>
      <c r="G1886" s="11"/>
      <c r="H1886" s="11"/>
      <c r="I1886" s="2"/>
      <c r="J1886" s="2"/>
      <c r="K1886" s="2"/>
      <c r="L1886" s="10"/>
      <c r="M1886" s="9"/>
      <c r="N1886" s="2"/>
      <c r="O1886" s="2"/>
      <c r="P1886" s="2"/>
      <c r="Q1886" s="50"/>
      <c r="R1886" s="50"/>
      <c r="S1886" s="2">
        <f>IFERROR(VLOOKUP(A1886,IMPORT_DESISTENCIA!$A$2:$Q2273,14,0),"NÃO")</f>
        <v>0</v>
      </c>
      <c r="T1886" s="35"/>
    </row>
    <row r="1887" spans="1:20" ht="45" customHeight="1" x14ac:dyDescent="0.25">
      <c r="A1887" s="2" t="str">
        <f t="shared" si="1"/>
        <v/>
      </c>
      <c r="B1887" s="2"/>
      <c r="C1887" s="43"/>
      <c r="D1887" s="2"/>
      <c r="E1887" s="2"/>
      <c r="F1887" s="2"/>
      <c r="G1887" s="11"/>
      <c r="H1887" s="11"/>
      <c r="I1887" s="2"/>
      <c r="J1887" s="2"/>
      <c r="K1887" s="2"/>
      <c r="L1887" s="10"/>
      <c r="M1887" s="9"/>
      <c r="N1887" s="2"/>
      <c r="O1887" s="2"/>
      <c r="P1887" s="2"/>
      <c r="Q1887" s="50"/>
      <c r="R1887" s="50"/>
      <c r="S1887" s="2">
        <f>IFERROR(VLOOKUP(A1887,IMPORT_DESISTENCIA!$A$2:$Q2273,14,0),"NÃO")</f>
        <v>0</v>
      </c>
      <c r="T1887" s="35"/>
    </row>
    <row r="1888" spans="1:20" ht="45" customHeight="1" x14ac:dyDescent="0.25">
      <c r="A1888" s="2" t="str">
        <f t="shared" si="1"/>
        <v/>
      </c>
      <c r="B1888" s="2"/>
      <c r="C1888" s="43"/>
      <c r="D1888" s="2"/>
      <c r="E1888" s="2"/>
      <c r="F1888" s="2"/>
      <c r="G1888" s="11"/>
      <c r="H1888" s="11"/>
      <c r="I1888" s="2"/>
      <c r="J1888" s="2"/>
      <c r="K1888" s="2"/>
      <c r="L1888" s="10"/>
      <c r="M1888" s="9"/>
      <c r="N1888" s="2"/>
      <c r="O1888" s="2"/>
      <c r="P1888" s="2"/>
      <c r="Q1888" s="50"/>
      <c r="R1888" s="50"/>
      <c r="S1888" s="2">
        <f>IFERROR(VLOOKUP(A1888,IMPORT_DESISTENCIA!$A$2:$Q2273,14,0),"NÃO")</f>
        <v>0</v>
      </c>
      <c r="T1888" s="35"/>
    </row>
    <row r="1889" spans="1:20" ht="45" customHeight="1" x14ac:dyDescent="0.25">
      <c r="A1889" s="2" t="str">
        <f t="shared" si="1"/>
        <v/>
      </c>
      <c r="B1889" s="2"/>
      <c r="C1889" s="43"/>
      <c r="D1889" s="2"/>
      <c r="E1889" s="2"/>
      <c r="F1889" s="2"/>
      <c r="G1889" s="11"/>
      <c r="H1889" s="11"/>
      <c r="I1889" s="2"/>
      <c r="J1889" s="2"/>
      <c r="K1889" s="2"/>
      <c r="L1889" s="10"/>
      <c r="M1889" s="9"/>
      <c r="N1889" s="2"/>
      <c r="O1889" s="2"/>
      <c r="P1889" s="2"/>
      <c r="Q1889" s="50"/>
      <c r="R1889" s="50"/>
      <c r="S1889" s="2">
        <f>IFERROR(VLOOKUP(A1889,IMPORT_DESISTENCIA!$A$2:$Q2273,14,0),"NÃO")</f>
        <v>0</v>
      </c>
      <c r="T1889" s="35"/>
    </row>
    <row r="1890" spans="1:20" ht="45" customHeight="1" x14ac:dyDescent="0.25">
      <c r="A1890" s="2" t="str">
        <f t="shared" si="1"/>
        <v/>
      </c>
      <c r="B1890" s="2"/>
      <c r="C1890" s="43"/>
      <c r="D1890" s="2"/>
      <c r="E1890" s="2"/>
      <c r="F1890" s="2"/>
      <c r="G1890" s="11"/>
      <c r="H1890" s="11"/>
      <c r="I1890" s="2"/>
      <c r="J1890" s="2"/>
      <c r="K1890" s="2"/>
      <c r="L1890" s="10"/>
      <c r="M1890" s="9"/>
      <c r="N1890" s="2"/>
      <c r="O1890" s="2"/>
      <c r="P1890" s="2"/>
      <c r="Q1890" s="50"/>
      <c r="R1890" s="50"/>
      <c r="S1890" s="2">
        <f>IFERROR(VLOOKUP(A1890,IMPORT_DESISTENCIA!$A$2:$Q2273,14,0),"NÃO")</f>
        <v>0</v>
      </c>
      <c r="T1890" s="35"/>
    </row>
    <row r="1891" spans="1:20" ht="45" customHeight="1" x14ac:dyDescent="0.25">
      <c r="A1891" s="2" t="str">
        <f t="shared" si="1"/>
        <v/>
      </c>
      <c r="B1891" s="2"/>
      <c r="C1891" s="43"/>
      <c r="D1891" s="2"/>
      <c r="E1891" s="2"/>
      <c r="F1891" s="2"/>
      <c r="G1891" s="11"/>
      <c r="H1891" s="11"/>
      <c r="I1891" s="2"/>
      <c r="J1891" s="2"/>
      <c r="K1891" s="2"/>
      <c r="L1891" s="10"/>
      <c r="M1891" s="9"/>
      <c r="N1891" s="2"/>
      <c r="O1891" s="2"/>
      <c r="P1891" s="2"/>
      <c r="Q1891" s="50"/>
      <c r="R1891" s="50"/>
      <c r="S1891" s="2">
        <f>IFERROR(VLOOKUP(A1891,IMPORT_DESISTENCIA!$A$2:$Q2273,14,0),"NÃO")</f>
        <v>0</v>
      </c>
      <c r="T1891" s="35"/>
    </row>
    <row r="1892" spans="1:20" ht="45" customHeight="1" x14ac:dyDescent="0.25">
      <c r="A1892" s="2" t="str">
        <f t="shared" si="1"/>
        <v/>
      </c>
      <c r="B1892" s="2"/>
      <c r="C1892" s="43"/>
      <c r="D1892" s="2"/>
      <c r="E1892" s="2"/>
      <c r="F1892" s="2"/>
      <c r="G1892" s="11"/>
      <c r="H1892" s="11"/>
      <c r="I1892" s="2"/>
      <c r="J1892" s="2"/>
      <c r="K1892" s="2"/>
      <c r="L1892" s="10"/>
      <c r="M1892" s="9"/>
      <c r="N1892" s="2"/>
      <c r="O1892" s="2"/>
      <c r="P1892" s="2"/>
      <c r="Q1892" s="50"/>
      <c r="R1892" s="50"/>
      <c r="S1892" s="2">
        <f>IFERROR(VLOOKUP(A1892,IMPORT_DESISTENCIA!$A$2:$Q2273,14,0),"NÃO")</f>
        <v>0</v>
      </c>
      <c r="T1892" s="35"/>
    </row>
    <row r="1893" spans="1:20" ht="45" customHeight="1" x14ac:dyDescent="0.25">
      <c r="A1893" s="2" t="str">
        <f t="shared" si="1"/>
        <v/>
      </c>
      <c r="B1893" s="2"/>
      <c r="C1893" s="43"/>
      <c r="D1893" s="2"/>
      <c r="E1893" s="2"/>
      <c r="F1893" s="2"/>
      <c r="G1893" s="11"/>
      <c r="H1893" s="11"/>
      <c r="I1893" s="2"/>
      <c r="J1893" s="2"/>
      <c r="K1893" s="2"/>
      <c r="L1893" s="10"/>
      <c r="M1893" s="9"/>
      <c r="N1893" s="2"/>
      <c r="O1893" s="2"/>
      <c r="P1893" s="2"/>
      <c r="Q1893" s="50"/>
      <c r="R1893" s="50"/>
      <c r="S1893" s="2">
        <f>IFERROR(VLOOKUP(A1893,IMPORT_DESISTENCIA!$A$2:$Q2273,14,0),"NÃO")</f>
        <v>0</v>
      </c>
      <c r="T1893" s="35"/>
    </row>
    <row r="1894" spans="1:20" ht="45" customHeight="1" x14ac:dyDescent="0.25">
      <c r="A1894" s="2" t="str">
        <f t="shared" si="1"/>
        <v/>
      </c>
      <c r="B1894" s="2"/>
      <c r="C1894" s="43"/>
      <c r="D1894" s="2"/>
      <c r="E1894" s="2"/>
      <c r="F1894" s="2"/>
      <c r="G1894" s="11"/>
      <c r="H1894" s="11"/>
      <c r="I1894" s="2"/>
      <c r="J1894" s="2"/>
      <c r="K1894" s="2"/>
      <c r="L1894" s="10"/>
      <c r="M1894" s="9"/>
      <c r="N1894" s="2"/>
      <c r="O1894" s="2"/>
      <c r="P1894" s="2"/>
      <c r="Q1894" s="50"/>
      <c r="R1894" s="50"/>
      <c r="S1894" s="2">
        <f>IFERROR(VLOOKUP(A1894,IMPORT_DESISTENCIA!$A$2:$Q2273,14,0),"NÃO")</f>
        <v>0</v>
      </c>
      <c r="T1894" s="35"/>
    </row>
    <row r="1895" spans="1:20" ht="45" customHeight="1" x14ac:dyDescent="0.25">
      <c r="A1895" s="2" t="str">
        <f t="shared" si="1"/>
        <v/>
      </c>
      <c r="B1895" s="2"/>
      <c r="C1895" s="43"/>
      <c r="D1895" s="2"/>
      <c r="E1895" s="2"/>
      <c r="F1895" s="2"/>
      <c r="G1895" s="11"/>
      <c r="H1895" s="11"/>
      <c r="I1895" s="2"/>
      <c r="J1895" s="2"/>
      <c r="K1895" s="2"/>
      <c r="L1895" s="10"/>
      <c r="M1895" s="9"/>
      <c r="N1895" s="2"/>
      <c r="O1895" s="2"/>
      <c r="P1895" s="2"/>
      <c r="Q1895" s="50"/>
      <c r="R1895" s="50"/>
      <c r="S1895" s="2">
        <f>IFERROR(VLOOKUP(A1895,IMPORT_DESISTENCIA!$A$2:$Q2273,14,0),"NÃO")</f>
        <v>0</v>
      </c>
      <c r="T1895" s="35"/>
    </row>
    <row r="1896" spans="1:20" ht="45" customHeight="1" x14ac:dyDescent="0.25">
      <c r="A1896" s="2" t="str">
        <f t="shared" si="1"/>
        <v/>
      </c>
      <c r="B1896" s="2"/>
      <c r="C1896" s="43"/>
      <c r="D1896" s="2"/>
      <c r="E1896" s="2"/>
      <c r="F1896" s="2"/>
      <c r="G1896" s="11"/>
      <c r="H1896" s="11"/>
      <c r="I1896" s="2"/>
      <c r="J1896" s="2"/>
      <c r="K1896" s="2"/>
      <c r="L1896" s="10"/>
      <c r="M1896" s="9"/>
      <c r="N1896" s="2"/>
      <c r="O1896" s="2"/>
      <c r="P1896" s="2"/>
      <c r="Q1896" s="50"/>
      <c r="R1896" s="50"/>
      <c r="S1896" s="2">
        <f>IFERROR(VLOOKUP(A1896,IMPORT_DESISTENCIA!$A$2:$Q2273,14,0),"NÃO")</f>
        <v>0</v>
      </c>
      <c r="T1896" s="35"/>
    </row>
    <row r="1897" spans="1:20" ht="45" customHeight="1" x14ac:dyDescent="0.25">
      <c r="A1897" s="2" t="str">
        <f t="shared" si="1"/>
        <v/>
      </c>
      <c r="B1897" s="2"/>
      <c r="C1897" s="43"/>
      <c r="D1897" s="2"/>
      <c r="E1897" s="2"/>
      <c r="F1897" s="2"/>
      <c r="G1897" s="11"/>
      <c r="H1897" s="11"/>
      <c r="I1897" s="2"/>
      <c r="J1897" s="2"/>
      <c r="K1897" s="2"/>
      <c r="L1897" s="10"/>
      <c r="M1897" s="9"/>
      <c r="N1897" s="2"/>
      <c r="O1897" s="2"/>
      <c r="P1897" s="2"/>
      <c r="Q1897" s="50"/>
      <c r="R1897" s="50"/>
      <c r="S1897" s="2">
        <f>IFERROR(VLOOKUP(A1897,IMPORT_DESISTENCIA!$A$2:$Q2273,14,0),"NÃO")</f>
        <v>0</v>
      </c>
      <c r="T1897" s="35"/>
    </row>
    <row r="1898" spans="1:20" ht="45" customHeight="1" x14ac:dyDescent="0.25">
      <c r="A1898" s="2" t="str">
        <f t="shared" si="1"/>
        <v/>
      </c>
      <c r="B1898" s="2"/>
      <c r="C1898" s="43"/>
      <c r="D1898" s="2"/>
      <c r="E1898" s="2"/>
      <c r="F1898" s="2"/>
      <c r="G1898" s="11"/>
      <c r="H1898" s="11"/>
      <c r="I1898" s="2"/>
      <c r="J1898" s="2"/>
      <c r="K1898" s="2"/>
      <c r="L1898" s="10"/>
      <c r="M1898" s="9"/>
      <c r="N1898" s="2"/>
      <c r="O1898" s="2"/>
      <c r="P1898" s="2"/>
      <c r="Q1898" s="50"/>
      <c r="R1898" s="50"/>
      <c r="S1898" s="2">
        <f>IFERROR(VLOOKUP(A1898,IMPORT_DESISTENCIA!$A$2:$Q2273,14,0),"NÃO")</f>
        <v>0</v>
      </c>
      <c r="T1898" s="35"/>
    </row>
    <row r="1899" spans="1:20" ht="45" customHeight="1" x14ac:dyDescent="0.25">
      <c r="A1899" s="2" t="str">
        <f t="shared" si="1"/>
        <v/>
      </c>
      <c r="B1899" s="2"/>
      <c r="C1899" s="43"/>
      <c r="D1899" s="2"/>
      <c r="E1899" s="2"/>
      <c r="F1899" s="2"/>
      <c r="G1899" s="11"/>
      <c r="H1899" s="11"/>
      <c r="I1899" s="2"/>
      <c r="J1899" s="2"/>
      <c r="K1899" s="2"/>
      <c r="L1899" s="10"/>
      <c r="M1899" s="9"/>
      <c r="N1899" s="2"/>
      <c r="O1899" s="2"/>
      <c r="P1899" s="2"/>
      <c r="Q1899" s="50"/>
      <c r="R1899" s="50"/>
      <c r="S1899" s="2">
        <f>IFERROR(VLOOKUP(A1899,IMPORT_DESISTENCIA!$A$2:$Q2273,14,0),"NÃO")</f>
        <v>0</v>
      </c>
      <c r="T1899" s="35"/>
    </row>
    <row r="1900" spans="1:20" ht="45" customHeight="1" x14ac:dyDescent="0.25">
      <c r="A1900" s="2" t="str">
        <f t="shared" si="1"/>
        <v/>
      </c>
      <c r="B1900" s="2"/>
      <c r="C1900" s="43"/>
      <c r="D1900" s="2"/>
      <c r="E1900" s="2"/>
      <c r="F1900" s="2"/>
      <c r="G1900" s="11"/>
      <c r="H1900" s="11"/>
      <c r="I1900" s="2"/>
      <c r="J1900" s="2"/>
      <c r="K1900" s="2"/>
      <c r="L1900" s="10"/>
      <c r="M1900" s="9"/>
      <c r="N1900" s="2"/>
      <c r="O1900" s="2"/>
      <c r="P1900" s="2"/>
      <c r="Q1900" s="50"/>
      <c r="R1900" s="50"/>
      <c r="S1900" s="2">
        <f>IFERROR(VLOOKUP(A1900,IMPORT_DESISTENCIA!$A$2:$Q2273,14,0),"NÃO")</f>
        <v>0</v>
      </c>
      <c r="T1900" s="35"/>
    </row>
    <row r="1901" spans="1:20" ht="45" customHeight="1" x14ac:dyDescent="0.25">
      <c r="A1901" s="2" t="str">
        <f t="shared" si="1"/>
        <v/>
      </c>
      <c r="B1901" s="2"/>
      <c r="C1901" s="43"/>
      <c r="D1901" s="2"/>
      <c r="E1901" s="2"/>
      <c r="F1901" s="2"/>
      <c r="G1901" s="11"/>
      <c r="H1901" s="11"/>
      <c r="I1901" s="2"/>
      <c r="J1901" s="2"/>
      <c r="K1901" s="2"/>
      <c r="L1901" s="10"/>
      <c r="M1901" s="9"/>
      <c r="N1901" s="2"/>
      <c r="O1901" s="2"/>
      <c r="P1901" s="2"/>
      <c r="Q1901" s="50"/>
      <c r="R1901" s="50"/>
      <c r="S1901" s="2">
        <f>IFERROR(VLOOKUP(A1901,IMPORT_DESISTENCIA!$A$2:$Q2273,14,0),"NÃO")</f>
        <v>0</v>
      </c>
      <c r="T1901" s="35"/>
    </row>
    <row r="1902" spans="1:20" ht="45" customHeight="1" x14ac:dyDescent="0.25">
      <c r="A1902" s="2" t="str">
        <f t="shared" si="1"/>
        <v/>
      </c>
      <c r="B1902" s="2"/>
      <c r="C1902" s="43"/>
      <c r="D1902" s="2"/>
      <c r="E1902" s="2"/>
      <c r="F1902" s="2"/>
      <c r="G1902" s="11"/>
      <c r="H1902" s="11"/>
      <c r="I1902" s="2"/>
      <c r="J1902" s="2"/>
      <c r="K1902" s="2"/>
      <c r="L1902" s="10"/>
      <c r="M1902" s="9"/>
      <c r="N1902" s="2"/>
      <c r="O1902" s="2"/>
      <c r="P1902" s="2"/>
      <c r="Q1902" s="50"/>
      <c r="R1902" s="50"/>
      <c r="S1902" s="2">
        <f>IFERROR(VLOOKUP(A1902,IMPORT_DESISTENCIA!$A$2:$Q2273,14,0),"NÃO")</f>
        <v>0</v>
      </c>
      <c r="T1902" s="35"/>
    </row>
    <row r="1903" spans="1:20" ht="45" customHeight="1" x14ac:dyDescent="0.25">
      <c r="A1903" s="2" t="str">
        <f t="shared" si="1"/>
        <v/>
      </c>
      <c r="B1903" s="2"/>
      <c r="C1903" s="43"/>
      <c r="D1903" s="2"/>
      <c r="E1903" s="2"/>
      <c r="F1903" s="2"/>
      <c r="G1903" s="11"/>
      <c r="H1903" s="11"/>
      <c r="I1903" s="2"/>
      <c r="J1903" s="2"/>
      <c r="K1903" s="2"/>
      <c r="L1903" s="10"/>
      <c r="M1903" s="9"/>
      <c r="N1903" s="2"/>
      <c r="O1903" s="2"/>
      <c r="P1903" s="2"/>
      <c r="Q1903" s="50"/>
      <c r="R1903" s="50"/>
      <c r="S1903" s="2">
        <f>IFERROR(VLOOKUP(A1903,IMPORT_DESISTENCIA!$A$2:$Q2273,14,0),"NÃO")</f>
        <v>0</v>
      </c>
      <c r="T1903" s="35"/>
    </row>
    <row r="1904" spans="1:20" ht="45" customHeight="1" x14ac:dyDescent="0.25">
      <c r="A1904" s="2" t="str">
        <f t="shared" si="1"/>
        <v/>
      </c>
      <c r="B1904" s="2"/>
      <c r="C1904" s="43"/>
      <c r="D1904" s="2"/>
      <c r="E1904" s="2"/>
      <c r="F1904" s="2"/>
      <c r="G1904" s="11"/>
      <c r="H1904" s="11"/>
      <c r="I1904" s="2"/>
      <c r="J1904" s="2"/>
      <c r="K1904" s="2"/>
      <c r="L1904" s="10"/>
      <c r="M1904" s="9"/>
      <c r="N1904" s="2"/>
      <c r="O1904" s="2"/>
      <c r="P1904" s="2"/>
      <c r="Q1904" s="50"/>
      <c r="R1904" s="50"/>
      <c r="S1904" s="2">
        <f>IFERROR(VLOOKUP(A1904,IMPORT_DESISTENCIA!$A$2:$Q2273,14,0),"NÃO")</f>
        <v>0</v>
      </c>
      <c r="T1904" s="35"/>
    </row>
    <row r="1905" spans="1:20" ht="45" customHeight="1" x14ac:dyDescent="0.25">
      <c r="A1905" s="2" t="str">
        <f t="shared" si="1"/>
        <v/>
      </c>
      <c r="B1905" s="2"/>
      <c r="C1905" s="43"/>
      <c r="D1905" s="2"/>
      <c r="E1905" s="2"/>
      <c r="F1905" s="2"/>
      <c r="G1905" s="11"/>
      <c r="H1905" s="11"/>
      <c r="I1905" s="2"/>
      <c r="J1905" s="2"/>
      <c r="K1905" s="2"/>
      <c r="L1905" s="10"/>
      <c r="M1905" s="9"/>
      <c r="N1905" s="2"/>
      <c r="O1905" s="2"/>
      <c r="P1905" s="2"/>
      <c r="Q1905" s="50"/>
      <c r="R1905" s="50"/>
      <c r="S1905" s="2">
        <f>IFERROR(VLOOKUP(A1905,IMPORT_DESISTENCIA!$A$2:$Q2273,14,0),"NÃO")</f>
        <v>0</v>
      </c>
      <c r="T1905" s="35"/>
    </row>
    <row r="1906" spans="1:20" ht="45" customHeight="1" x14ac:dyDescent="0.25">
      <c r="A1906" s="2" t="str">
        <f t="shared" si="1"/>
        <v/>
      </c>
      <c r="B1906" s="2"/>
      <c r="C1906" s="43"/>
      <c r="D1906" s="2"/>
      <c r="E1906" s="2"/>
      <c r="F1906" s="2"/>
      <c r="G1906" s="11"/>
      <c r="H1906" s="11"/>
      <c r="I1906" s="2"/>
      <c r="J1906" s="2"/>
      <c r="K1906" s="2"/>
      <c r="L1906" s="10"/>
      <c r="M1906" s="9"/>
      <c r="N1906" s="2"/>
      <c r="O1906" s="2"/>
      <c r="P1906" s="2"/>
      <c r="Q1906" s="50"/>
      <c r="R1906" s="50"/>
      <c r="S1906" s="2">
        <f>IFERROR(VLOOKUP(A1906,IMPORT_DESISTENCIA!$A$2:$Q2273,14,0),"NÃO")</f>
        <v>0</v>
      </c>
      <c r="T1906" s="35"/>
    </row>
    <row r="1907" spans="1:20" ht="45" customHeight="1" x14ac:dyDescent="0.25">
      <c r="A1907" s="2" t="str">
        <f t="shared" si="1"/>
        <v/>
      </c>
      <c r="B1907" s="2"/>
      <c r="C1907" s="43"/>
      <c r="D1907" s="2"/>
      <c r="E1907" s="2"/>
      <c r="F1907" s="2"/>
      <c r="G1907" s="11"/>
      <c r="H1907" s="11"/>
      <c r="I1907" s="2"/>
      <c r="J1907" s="2"/>
      <c r="K1907" s="2"/>
      <c r="L1907" s="10"/>
      <c r="M1907" s="9"/>
      <c r="N1907" s="2"/>
      <c r="O1907" s="2"/>
      <c r="P1907" s="2"/>
      <c r="Q1907" s="50"/>
      <c r="R1907" s="50"/>
      <c r="S1907" s="2">
        <f>IFERROR(VLOOKUP(A1907,IMPORT_DESISTENCIA!$A$2:$Q2273,14,0),"NÃO")</f>
        <v>0</v>
      </c>
      <c r="T1907" s="35"/>
    </row>
    <row r="1908" spans="1:20" ht="45" customHeight="1" x14ac:dyDescent="0.25">
      <c r="A1908" s="2" t="str">
        <f t="shared" si="1"/>
        <v/>
      </c>
      <c r="B1908" s="2"/>
      <c r="C1908" s="43"/>
      <c r="D1908" s="2"/>
      <c r="E1908" s="2"/>
      <c r="F1908" s="2"/>
      <c r="G1908" s="11"/>
      <c r="H1908" s="11"/>
      <c r="I1908" s="2"/>
      <c r="J1908" s="2"/>
      <c r="K1908" s="2"/>
      <c r="L1908" s="10"/>
      <c r="M1908" s="9"/>
      <c r="N1908" s="2"/>
      <c r="O1908" s="2"/>
      <c r="P1908" s="2"/>
      <c r="Q1908" s="50"/>
      <c r="R1908" s="50"/>
      <c r="S1908" s="2">
        <f>IFERROR(VLOOKUP(A1908,IMPORT_DESISTENCIA!$A$2:$Q2273,14,0),"NÃO")</f>
        <v>0</v>
      </c>
      <c r="T1908" s="35"/>
    </row>
    <row r="1909" spans="1:20" ht="45" customHeight="1" x14ac:dyDescent="0.25">
      <c r="A1909" s="2" t="str">
        <f t="shared" si="1"/>
        <v/>
      </c>
      <c r="B1909" s="2"/>
      <c r="C1909" s="43"/>
      <c r="D1909" s="2"/>
      <c r="E1909" s="2"/>
      <c r="F1909" s="2"/>
      <c r="G1909" s="11"/>
      <c r="H1909" s="11"/>
      <c r="I1909" s="2"/>
      <c r="J1909" s="2"/>
      <c r="K1909" s="2"/>
      <c r="L1909" s="10"/>
      <c r="M1909" s="9"/>
      <c r="N1909" s="2"/>
      <c r="O1909" s="2"/>
      <c r="P1909" s="2"/>
      <c r="Q1909" s="50"/>
      <c r="R1909" s="50"/>
      <c r="S1909" s="2">
        <f>IFERROR(VLOOKUP(A1909,IMPORT_DESISTENCIA!$A$2:$Q2273,14,0),"NÃO")</f>
        <v>0</v>
      </c>
      <c r="T1909" s="35"/>
    </row>
    <row r="1910" spans="1:20" ht="45" customHeight="1" x14ac:dyDescent="0.25">
      <c r="A1910" s="2" t="str">
        <f t="shared" si="1"/>
        <v/>
      </c>
      <c r="B1910" s="2"/>
      <c r="C1910" s="43"/>
      <c r="D1910" s="2"/>
      <c r="E1910" s="2"/>
      <c r="F1910" s="2"/>
      <c r="G1910" s="11"/>
      <c r="H1910" s="11"/>
      <c r="I1910" s="2"/>
      <c r="J1910" s="2"/>
      <c r="K1910" s="2"/>
      <c r="L1910" s="10"/>
      <c r="M1910" s="9"/>
      <c r="N1910" s="2"/>
      <c r="O1910" s="2"/>
      <c r="P1910" s="2"/>
      <c r="Q1910" s="50"/>
      <c r="R1910" s="50"/>
      <c r="S1910" s="2">
        <f>IFERROR(VLOOKUP(A1910,IMPORT_DESISTENCIA!$A$2:$Q2273,14,0),"NÃO")</f>
        <v>0</v>
      </c>
      <c r="T1910" s="35"/>
    </row>
    <row r="1911" spans="1:20" ht="45" customHeight="1" x14ac:dyDescent="0.25">
      <c r="A1911" s="2" t="str">
        <f t="shared" si="1"/>
        <v/>
      </c>
      <c r="B1911" s="2"/>
      <c r="C1911" s="43"/>
      <c r="D1911" s="2"/>
      <c r="E1911" s="2"/>
      <c r="F1911" s="2"/>
      <c r="G1911" s="11"/>
      <c r="H1911" s="11"/>
      <c r="I1911" s="2"/>
      <c r="J1911" s="2"/>
      <c r="K1911" s="2"/>
      <c r="L1911" s="10"/>
      <c r="M1911" s="9"/>
      <c r="N1911" s="2"/>
      <c r="O1911" s="2"/>
      <c r="P1911" s="2"/>
      <c r="Q1911" s="50"/>
      <c r="R1911" s="50"/>
      <c r="S1911" s="2">
        <f>IFERROR(VLOOKUP(A1911,IMPORT_DESISTENCIA!$A$2:$Q2273,14,0),"NÃO")</f>
        <v>0</v>
      </c>
      <c r="T1911" s="35"/>
    </row>
    <row r="1912" spans="1:20" ht="45" customHeight="1" x14ac:dyDescent="0.25">
      <c r="A1912" s="2" t="str">
        <f t="shared" si="1"/>
        <v/>
      </c>
      <c r="B1912" s="2"/>
      <c r="C1912" s="43"/>
      <c r="D1912" s="2"/>
      <c r="E1912" s="2"/>
      <c r="F1912" s="2"/>
      <c r="G1912" s="11"/>
      <c r="H1912" s="11"/>
      <c r="I1912" s="2"/>
      <c r="J1912" s="2"/>
      <c r="K1912" s="2"/>
      <c r="L1912" s="10"/>
      <c r="M1912" s="9"/>
      <c r="N1912" s="2"/>
      <c r="O1912" s="2"/>
      <c r="P1912" s="2"/>
      <c r="Q1912" s="50"/>
      <c r="R1912" s="50"/>
      <c r="S1912" s="2">
        <f>IFERROR(VLOOKUP(A1912,IMPORT_DESISTENCIA!$A$2:$Q2273,14,0),"NÃO")</f>
        <v>0</v>
      </c>
      <c r="T1912" s="35"/>
    </row>
    <row r="1913" spans="1:20" ht="45" customHeight="1" x14ac:dyDescent="0.25">
      <c r="A1913" s="2" t="str">
        <f t="shared" si="1"/>
        <v/>
      </c>
      <c r="B1913" s="2"/>
      <c r="C1913" s="43"/>
      <c r="D1913" s="2"/>
      <c r="E1913" s="2"/>
      <c r="F1913" s="2"/>
      <c r="G1913" s="11"/>
      <c r="H1913" s="11"/>
      <c r="I1913" s="2"/>
      <c r="J1913" s="2"/>
      <c r="K1913" s="2"/>
      <c r="L1913" s="10"/>
      <c r="M1913" s="9"/>
      <c r="N1913" s="2"/>
      <c r="O1913" s="2"/>
      <c r="P1913" s="2"/>
      <c r="Q1913" s="50"/>
      <c r="R1913" s="50"/>
      <c r="S1913" s="2">
        <f>IFERROR(VLOOKUP(A1913,IMPORT_DESISTENCIA!$A$2:$Q2273,14,0),"NÃO")</f>
        <v>0</v>
      </c>
      <c r="T1913" s="35"/>
    </row>
    <row r="1914" spans="1:20" ht="45" customHeight="1" x14ac:dyDescent="0.25">
      <c r="A1914" s="2" t="str">
        <f t="shared" si="1"/>
        <v/>
      </c>
      <c r="B1914" s="2"/>
      <c r="C1914" s="43"/>
      <c r="D1914" s="2"/>
      <c r="E1914" s="2"/>
      <c r="F1914" s="2"/>
      <c r="G1914" s="11"/>
      <c r="H1914" s="11"/>
      <c r="I1914" s="2"/>
      <c r="J1914" s="2"/>
      <c r="K1914" s="2"/>
      <c r="L1914" s="10"/>
      <c r="M1914" s="9"/>
      <c r="N1914" s="2"/>
      <c r="O1914" s="2"/>
      <c r="P1914" s="2"/>
      <c r="Q1914" s="50"/>
      <c r="R1914" s="50"/>
      <c r="S1914" s="2">
        <f>IFERROR(VLOOKUP(A1914,IMPORT_DESISTENCIA!$A$2:$Q2273,14,0),"NÃO")</f>
        <v>0</v>
      </c>
      <c r="T1914" s="35"/>
    </row>
    <row r="1915" spans="1:20" ht="45" customHeight="1" x14ac:dyDescent="0.25">
      <c r="A1915" s="2" t="str">
        <f t="shared" si="1"/>
        <v/>
      </c>
      <c r="B1915" s="2"/>
      <c r="C1915" s="43"/>
      <c r="D1915" s="2"/>
      <c r="E1915" s="2"/>
      <c r="F1915" s="2"/>
      <c r="G1915" s="11"/>
      <c r="H1915" s="11"/>
      <c r="I1915" s="2"/>
      <c r="J1915" s="2"/>
      <c r="K1915" s="2"/>
      <c r="L1915" s="10"/>
      <c r="M1915" s="9"/>
      <c r="N1915" s="2"/>
      <c r="O1915" s="2"/>
      <c r="P1915" s="2"/>
      <c r="Q1915" s="50"/>
      <c r="R1915" s="50"/>
      <c r="S1915" s="2">
        <f>IFERROR(VLOOKUP(A1915,IMPORT_DESISTENCIA!$A$2:$Q2273,14,0),"NÃO")</f>
        <v>0</v>
      </c>
      <c r="T1915" s="35"/>
    </row>
    <row r="1916" spans="1:20" ht="45" customHeight="1" x14ac:dyDescent="0.25">
      <c r="A1916" s="2" t="str">
        <f t="shared" si="1"/>
        <v/>
      </c>
      <c r="B1916" s="2"/>
      <c r="C1916" s="43"/>
      <c r="D1916" s="2"/>
      <c r="E1916" s="2"/>
      <c r="F1916" s="2"/>
      <c r="G1916" s="11"/>
      <c r="H1916" s="11"/>
      <c r="I1916" s="2"/>
      <c r="J1916" s="2"/>
      <c r="K1916" s="2"/>
      <c r="L1916" s="10"/>
      <c r="M1916" s="9"/>
      <c r="N1916" s="2"/>
      <c r="O1916" s="2"/>
      <c r="P1916" s="2"/>
      <c r="Q1916" s="50"/>
      <c r="R1916" s="50"/>
      <c r="S1916" s="2">
        <f>IFERROR(VLOOKUP(A1916,IMPORT_DESISTENCIA!$A$2:$Q2273,14,0),"NÃO")</f>
        <v>0</v>
      </c>
      <c r="T1916" s="35"/>
    </row>
    <row r="1917" spans="1:20" ht="45" customHeight="1" x14ac:dyDescent="0.25">
      <c r="A1917" s="2" t="str">
        <f t="shared" si="1"/>
        <v/>
      </c>
      <c r="B1917" s="2"/>
      <c r="C1917" s="43"/>
      <c r="D1917" s="2"/>
      <c r="E1917" s="2"/>
      <c r="F1917" s="2"/>
      <c r="G1917" s="11"/>
      <c r="H1917" s="11"/>
      <c r="I1917" s="2"/>
      <c r="J1917" s="2"/>
      <c r="K1917" s="2"/>
      <c r="L1917" s="10"/>
      <c r="M1917" s="9"/>
      <c r="N1917" s="2"/>
      <c r="O1917" s="2"/>
      <c r="P1917" s="2"/>
      <c r="Q1917" s="50"/>
      <c r="R1917" s="50"/>
      <c r="S1917" s="2">
        <f>IFERROR(VLOOKUP(A1917,IMPORT_DESISTENCIA!$A$2:$Q2273,14,0),"NÃO")</f>
        <v>0</v>
      </c>
      <c r="T1917" s="35"/>
    </row>
    <row r="1918" spans="1:20" ht="45" customHeight="1" x14ac:dyDescent="0.25">
      <c r="A1918" s="2" t="str">
        <f t="shared" si="1"/>
        <v/>
      </c>
      <c r="B1918" s="2"/>
      <c r="C1918" s="43"/>
      <c r="D1918" s="2"/>
      <c r="E1918" s="2"/>
      <c r="F1918" s="2"/>
      <c r="G1918" s="11"/>
      <c r="H1918" s="11"/>
      <c r="I1918" s="2"/>
      <c r="J1918" s="2"/>
      <c r="K1918" s="2"/>
      <c r="L1918" s="10"/>
      <c r="M1918" s="9"/>
      <c r="N1918" s="2"/>
      <c r="O1918" s="2"/>
      <c r="P1918" s="2"/>
      <c r="Q1918" s="50"/>
      <c r="R1918" s="50"/>
      <c r="S1918" s="2">
        <f>IFERROR(VLOOKUP(A1918,IMPORT_DESISTENCIA!$A$2:$Q2273,14,0),"NÃO")</f>
        <v>0</v>
      </c>
      <c r="T1918" s="35"/>
    </row>
    <row r="1919" spans="1:20" ht="45" customHeight="1" x14ac:dyDescent="0.25">
      <c r="A1919" s="2" t="str">
        <f t="shared" si="1"/>
        <v/>
      </c>
      <c r="B1919" s="2"/>
      <c r="C1919" s="43"/>
      <c r="D1919" s="2"/>
      <c r="E1919" s="2"/>
      <c r="F1919" s="2"/>
      <c r="G1919" s="11"/>
      <c r="H1919" s="11"/>
      <c r="I1919" s="2"/>
      <c r="J1919" s="2"/>
      <c r="K1919" s="2"/>
      <c r="L1919" s="10"/>
      <c r="M1919" s="9"/>
      <c r="N1919" s="2"/>
      <c r="O1919" s="2"/>
      <c r="P1919" s="2"/>
      <c r="Q1919" s="50"/>
      <c r="R1919" s="50"/>
      <c r="S1919" s="2">
        <f>IFERROR(VLOOKUP(A1919,IMPORT_DESISTENCIA!$A$2:$Q2273,14,0),"NÃO")</f>
        <v>0</v>
      </c>
      <c r="T1919" s="35"/>
    </row>
    <row r="1920" spans="1:20" ht="45" customHeight="1" x14ac:dyDescent="0.25">
      <c r="A1920" s="2" t="str">
        <f t="shared" si="1"/>
        <v/>
      </c>
      <c r="B1920" s="2"/>
      <c r="C1920" s="43"/>
      <c r="D1920" s="2"/>
      <c r="E1920" s="2"/>
      <c r="F1920" s="2"/>
      <c r="G1920" s="11"/>
      <c r="H1920" s="11"/>
      <c r="I1920" s="2"/>
      <c r="J1920" s="2"/>
      <c r="K1920" s="2"/>
      <c r="L1920" s="10"/>
      <c r="M1920" s="9"/>
      <c r="N1920" s="2"/>
      <c r="O1920" s="2"/>
      <c r="P1920" s="2"/>
      <c r="Q1920" s="50"/>
      <c r="R1920" s="50"/>
      <c r="S1920" s="2">
        <f>IFERROR(VLOOKUP(A1920,IMPORT_DESISTENCIA!$A$2:$Q2273,14,0),"NÃO")</f>
        <v>0</v>
      </c>
      <c r="T1920" s="35"/>
    </row>
    <row r="1921" spans="1:20" ht="45" customHeight="1" x14ac:dyDescent="0.25">
      <c r="A1921" s="2" t="str">
        <f t="shared" si="1"/>
        <v/>
      </c>
      <c r="B1921" s="2"/>
      <c r="C1921" s="43"/>
      <c r="D1921" s="2"/>
      <c r="E1921" s="2"/>
      <c r="F1921" s="2"/>
      <c r="G1921" s="11"/>
      <c r="H1921" s="11"/>
      <c r="I1921" s="2"/>
      <c r="J1921" s="2"/>
      <c r="K1921" s="2"/>
      <c r="L1921" s="10"/>
      <c r="M1921" s="9"/>
      <c r="N1921" s="2"/>
      <c r="O1921" s="2"/>
      <c r="P1921" s="2"/>
      <c r="Q1921" s="50"/>
      <c r="R1921" s="50"/>
      <c r="S1921" s="2">
        <f>IFERROR(VLOOKUP(A1921,IMPORT_DESISTENCIA!$A$2:$Q2273,14,0),"NÃO")</f>
        <v>0</v>
      </c>
      <c r="T1921" s="35"/>
    </row>
    <row r="1922" spans="1:20" ht="45" customHeight="1" x14ac:dyDescent="0.25">
      <c r="A1922" s="2" t="str">
        <f t="shared" si="1"/>
        <v/>
      </c>
      <c r="B1922" s="2"/>
      <c r="C1922" s="43"/>
      <c r="D1922" s="2"/>
      <c r="E1922" s="2"/>
      <c r="F1922" s="2"/>
      <c r="G1922" s="11"/>
      <c r="H1922" s="11"/>
      <c r="I1922" s="2"/>
      <c r="J1922" s="2"/>
      <c r="K1922" s="2"/>
      <c r="L1922" s="10"/>
      <c r="M1922" s="9"/>
      <c r="N1922" s="2"/>
      <c r="O1922" s="2"/>
      <c r="P1922" s="2"/>
      <c r="Q1922" s="50"/>
      <c r="R1922" s="50"/>
      <c r="S1922" s="2">
        <f>IFERROR(VLOOKUP(A1922,IMPORT_DESISTENCIA!$A$2:$Q2273,14,0),"NÃO")</f>
        <v>0</v>
      </c>
      <c r="T1922" s="35"/>
    </row>
    <row r="1923" spans="1:20" ht="45" customHeight="1" x14ac:dyDescent="0.25">
      <c r="A1923" s="2" t="str">
        <f t="shared" si="1"/>
        <v/>
      </c>
      <c r="B1923" s="2"/>
      <c r="C1923" s="43"/>
      <c r="D1923" s="2"/>
      <c r="E1923" s="2"/>
      <c r="F1923" s="2"/>
      <c r="G1923" s="11"/>
      <c r="H1923" s="11"/>
      <c r="I1923" s="2"/>
      <c r="J1923" s="2"/>
      <c r="K1923" s="2"/>
      <c r="L1923" s="10"/>
      <c r="M1923" s="9"/>
      <c r="N1923" s="2"/>
      <c r="O1923" s="2"/>
      <c r="P1923" s="2"/>
      <c r="Q1923" s="50"/>
      <c r="R1923" s="50"/>
      <c r="S1923" s="2">
        <f>IFERROR(VLOOKUP(A1923,IMPORT_DESISTENCIA!$A$2:$Q2273,14,0),"NÃO")</f>
        <v>0</v>
      </c>
      <c r="T1923" s="35"/>
    </row>
    <row r="1924" spans="1:20" ht="45" customHeight="1" x14ac:dyDescent="0.25">
      <c r="A1924" s="2" t="str">
        <f t="shared" si="1"/>
        <v/>
      </c>
      <c r="B1924" s="2"/>
      <c r="C1924" s="43"/>
      <c r="D1924" s="2"/>
      <c r="E1924" s="2"/>
      <c r="F1924" s="2"/>
      <c r="G1924" s="11"/>
      <c r="H1924" s="11"/>
      <c r="I1924" s="2"/>
      <c r="J1924" s="2"/>
      <c r="K1924" s="2"/>
      <c r="L1924" s="10"/>
      <c r="M1924" s="9"/>
      <c r="N1924" s="2"/>
      <c r="O1924" s="2"/>
      <c r="P1924" s="2"/>
      <c r="Q1924" s="50"/>
      <c r="R1924" s="50"/>
      <c r="S1924" s="2">
        <f>IFERROR(VLOOKUP(A1924,IMPORT_DESISTENCIA!$A$2:$Q2273,14,0),"NÃO")</f>
        <v>0</v>
      </c>
      <c r="T1924" s="35"/>
    </row>
    <row r="1925" spans="1:20" ht="45" customHeight="1" x14ac:dyDescent="0.25">
      <c r="A1925" s="2" t="str">
        <f t="shared" si="1"/>
        <v/>
      </c>
      <c r="B1925" s="2"/>
      <c r="C1925" s="43"/>
      <c r="D1925" s="2"/>
      <c r="E1925" s="2"/>
      <c r="F1925" s="2"/>
      <c r="G1925" s="11"/>
      <c r="H1925" s="11"/>
      <c r="I1925" s="2"/>
      <c r="J1925" s="2"/>
      <c r="K1925" s="2"/>
      <c r="L1925" s="10"/>
      <c r="M1925" s="9"/>
      <c r="N1925" s="2"/>
      <c r="O1925" s="2"/>
      <c r="P1925" s="2"/>
      <c r="Q1925" s="50"/>
      <c r="R1925" s="50"/>
      <c r="S1925" s="2">
        <f>IFERROR(VLOOKUP(A1925,IMPORT_DESISTENCIA!$A$2:$Q2273,14,0),"NÃO")</f>
        <v>0</v>
      </c>
      <c r="T1925" s="35"/>
    </row>
    <row r="1926" spans="1:20" ht="45" customHeight="1" x14ac:dyDescent="0.25">
      <c r="A1926" s="2" t="str">
        <f t="shared" si="1"/>
        <v/>
      </c>
      <c r="B1926" s="2"/>
      <c r="C1926" s="43"/>
      <c r="D1926" s="2"/>
      <c r="E1926" s="2"/>
      <c r="F1926" s="2"/>
      <c r="G1926" s="11"/>
      <c r="H1926" s="11"/>
      <c r="I1926" s="2"/>
      <c r="J1926" s="2"/>
      <c r="K1926" s="2"/>
      <c r="L1926" s="10"/>
      <c r="M1926" s="9"/>
      <c r="N1926" s="2"/>
      <c r="O1926" s="2"/>
      <c r="P1926" s="2"/>
      <c r="Q1926" s="50"/>
      <c r="R1926" s="50"/>
      <c r="S1926" s="2">
        <f>IFERROR(VLOOKUP(A1926,IMPORT_DESISTENCIA!$A$2:$Q2273,14,0),"NÃO")</f>
        <v>0</v>
      </c>
      <c r="T1926" s="35"/>
    </row>
    <row r="1927" spans="1:20" ht="45" customHeight="1" x14ac:dyDescent="0.25">
      <c r="A1927" s="2" t="str">
        <f t="shared" si="1"/>
        <v/>
      </c>
      <c r="B1927" s="2"/>
      <c r="C1927" s="43"/>
      <c r="D1927" s="2"/>
      <c r="E1927" s="2"/>
      <c r="F1927" s="2"/>
      <c r="G1927" s="11"/>
      <c r="H1927" s="11"/>
      <c r="I1927" s="2"/>
      <c r="J1927" s="2"/>
      <c r="K1927" s="2"/>
      <c r="L1927" s="10"/>
      <c r="M1927" s="9"/>
      <c r="N1927" s="2"/>
      <c r="O1927" s="2"/>
      <c r="P1927" s="2"/>
      <c r="Q1927" s="50"/>
      <c r="R1927" s="50"/>
      <c r="S1927" s="2">
        <f>IFERROR(VLOOKUP(A1927,IMPORT_DESISTENCIA!$A$2:$Q2273,14,0),"NÃO")</f>
        <v>0</v>
      </c>
      <c r="T1927" s="35"/>
    </row>
    <row r="1928" spans="1:20" ht="45" customHeight="1" x14ac:dyDescent="0.25">
      <c r="A1928" s="2" t="str">
        <f t="shared" si="1"/>
        <v/>
      </c>
      <c r="B1928" s="2"/>
      <c r="C1928" s="43"/>
      <c r="D1928" s="2"/>
      <c r="E1928" s="2"/>
      <c r="F1928" s="2"/>
      <c r="G1928" s="11"/>
      <c r="H1928" s="11"/>
      <c r="I1928" s="2"/>
      <c r="J1928" s="2"/>
      <c r="K1928" s="2"/>
      <c r="L1928" s="10"/>
      <c r="M1928" s="9"/>
      <c r="N1928" s="2"/>
      <c r="O1928" s="2"/>
      <c r="P1928" s="2"/>
      <c r="Q1928" s="50"/>
      <c r="R1928" s="50"/>
      <c r="S1928" s="2">
        <f>IFERROR(VLOOKUP(A1928,IMPORT_DESISTENCIA!$A$2:$Q2273,14,0),"NÃO")</f>
        <v>0</v>
      </c>
      <c r="T1928" s="35"/>
    </row>
    <row r="1929" spans="1:20" ht="45" customHeight="1" x14ac:dyDescent="0.25">
      <c r="A1929" s="2" t="str">
        <f t="shared" si="1"/>
        <v/>
      </c>
      <c r="B1929" s="2"/>
      <c r="C1929" s="43"/>
      <c r="D1929" s="2"/>
      <c r="E1929" s="2"/>
      <c r="F1929" s="2"/>
      <c r="G1929" s="11"/>
      <c r="H1929" s="11"/>
      <c r="I1929" s="2"/>
      <c r="J1929" s="2"/>
      <c r="K1929" s="2"/>
      <c r="L1929" s="10"/>
      <c r="M1929" s="9"/>
      <c r="N1929" s="2"/>
      <c r="O1929" s="2"/>
      <c r="P1929" s="2"/>
      <c r="Q1929" s="50"/>
      <c r="R1929" s="50"/>
      <c r="S1929" s="2">
        <f>IFERROR(VLOOKUP(A1929,IMPORT_DESISTENCIA!$A$2:$Q2273,14,0),"NÃO")</f>
        <v>0</v>
      </c>
      <c r="T1929" s="35"/>
    </row>
    <row r="1930" spans="1:20" ht="45" customHeight="1" x14ac:dyDescent="0.25">
      <c r="A1930" s="2" t="str">
        <f t="shared" si="1"/>
        <v/>
      </c>
      <c r="B1930" s="2"/>
      <c r="C1930" s="43"/>
      <c r="D1930" s="2"/>
      <c r="E1930" s="2"/>
      <c r="F1930" s="2"/>
      <c r="G1930" s="11"/>
      <c r="H1930" s="11"/>
      <c r="I1930" s="2"/>
      <c r="J1930" s="2"/>
      <c r="K1930" s="2"/>
      <c r="L1930" s="10"/>
      <c r="M1930" s="9"/>
      <c r="N1930" s="2"/>
      <c r="O1930" s="2"/>
      <c r="P1930" s="2"/>
      <c r="Q1930" s="50"/>
      <c r="R1930" s="50"/>
      <c r="S1930" s="2">
        <f>IFERROR(VLOOKUP(A1930,IMPORT_DESISTENCIA!$A$2:$Q2273,14,0),"NÃO")</f>
        <v>0</v>
      </c>
      <c r="T1930" s="35"/>
    </row>
    <row r="1931" spans="1:20" ht="45" customHeight="1" x14ac:dyDescent="0.25">
      <c r="A1931" s="2" t="str">
        <f t="shared" si="1"/>
        <v/>
      </c>
      <c r="B1931" s="2"/>
      <c r="C1931" s="43"/>
      <c r="D1931" s="2"/>
      <c r="E1931" s="2"/>
      <c r="F1931" s="2"/>
      <c r="G1931" s="11"/>
      <c r="H1931" s="11"/>
      <c r="I1931" s="2"/>
      <c r="J1931" s="2"/>
      <c r="K1931" s="2"/>
      <c r="L1931" s="10"/>
      <c r="M1931" s="9"/>
      <c r="N1931" s="2"/>
      <c r="O1931" s="2"/>
      <c r="P1931" s="2"/>
      <c r="Q1931" s="50"/>
      <c r="R1931" s="50"/>
      <c r="S1931" s="2">
        <f>IFERROR(VLOOKUP(A1931,IMPORT_DESISTENCIA!$A$2:$Q2273,14,0),"NÃO")</f>
        <v>0</v>
      </c>
      <c r="T1931" s="35"/>
    </row>
    <row r="1932" spans="1:20" ht="45" customHeight="1" x14ac:dyDescent="0.25">
      <c r="A1932" s="2" t="str">
        <f t="shared" si="1"/>
        <v/>
      </c>
      <c r="B1932" s="2"/>
      <c r="C1932" s="43"/>
      <c r="D1932" s="2"/>
      <c r="E1932" s="2"/>
      <c r="F1932" s="2"/>
      <c r="G1932" s="11"/>
      <c r="H1932" s="11"/>
      <c r="I1932" s="2"/>
      <c r="J1932" s="2"/>
      <c r="K1932" s="2"/>
      <c r="L1932" s="10"/>
      <c r="M1932" s="9"/>
      <c r="N1932" s="2"/>
      <c r="O1932" s="2"/>
      <c r="P1932" s="2"/>
      <c r="Q1932" s="50"/>
      <c r="R1932" s="50"/>
      <c r="S1932" s="2">
        <f>IFERROR(VLOOKUP(A1932,IMPORT_DESISTENCIA!$A$2:$Q2273,14,0),"NÃO")</f>
        <v>0</v>
      </c>
      <c r="T1932" s="35"/>
    </row>
    <row r="1933" spans="1:20" ht="45" customHeight="1" x14ac:dyDescent="0.25">
      <c r="A1933" s="2" t="str">
        <f t="shared" si="1"/>
        <v/>
      </c>
      <c r="B1933" s="2"/>
      <c r="C1933" s="43"/>
      <c r="D1933" s="2"/>
      <c r="E1933" s="2"/>
      <c r="F1933" s="2"/>
      <c r="G1933" s="11"/>
      <c r="H1933" s="11"/>
      <c r="I1933" s="2"/>
      <c r="J1933" s="2"/>
      <c r="K1933" s="2"/>
      <c r="L1933" s="10"/>
      <c r="M1933" s="9"/>
      <c r="N1933" s="2"/>
      <c r="O1933" s="2"/>
      <c r="P1933" s="2"/>
      <c r="Q1933" s="50"/>
      <c r="R1933" s="50"/>
      <c r="S1933" s="2">
        <f>IFERROR(VLOOKUP(A1933,IMPORT_DESISTENCIA!$A$2:$Q2273,14,0),"NÃO")</f>
        <v>0</v>
      </c>
      <c r="T1933" s="35"/>
    </row>
    <row r="1934" spans="1:20" ht="45" customHeight="1" x14ac:dyDescent="0.25">
      <c r="A1934" s="2" t="str">
        <f t="shared" si="1"/>
        <v/>
      </c>
      <c r="B1934" s="2"/>
      <c r="C1934" s="43"/>
      <c r="D1934" s="2"/>
      <c r="E1934" s="2"/>
      <c r="F1934" s="2"/>
      <c r="G1934" s="11"/>
      <c r="H1934" s="11"/>
      <c r="I1934" s="2"/>
      <c r="J1934" s="2"/>
      <c r="K1934" s="2"/>
      <c r="L1934" s="10"/>
      <c r="M1934" s="9"/>
      <c r="N1934" s="2"/>
      <c r="O1934" s="2"/>
      <c r="P1934" s="2"/>
      <c r="Q1934" s="50"/>
      <c r="R1934" s="50"/>
      <c r="S1934" s="2">
        <f>IFERROR(VLOOKUP(A1934,IMPORT_DESISTENCIA!$A$2:$Q2273,14,0),"NÃO")</f>
        <v>0</v>
      </c>
      <c r="T1934" s="35"/>
    </row>
    <row r="1935" spans="1:20" ht="45" customHeight="1" x14ac:dyDescent="0.25">
      <c r="A1935" s="2" t="str">
        <f t="shared" si="1"/>
        <v/>
      </c>
      <c r="B1935" s="2"/>
      <c r="C1935" s="43"/>
      <c r="D1935" s="2"/>
      <c r="E1935" s="2"/>
      <c r="F1935" s="2"/>
      <c r="G1935" s="11"/>
      <c r="H1935" s="11"/>
      <c r="I1935" s="2"/>
      <c r="J1935" s="2"/>
      <c r="K1935" s="2"/>
      <c r="L1935" s="10"/>
      <c r="M1935" s="9"/>
      <c r="N1935" s="2"/>
      <c r="O1935" s="2"/>
      <c r="P1935" s="2"/>
      <c r="Q1935" s="50"/>
      <c r="R1935" s="50"/>
      <c r="S1935" s="2">
        <f>IFERROR(VLOOKUP(A1935,IMPORT_DESISTENCIA!$A$2:$Q2273,14,0),"NÃO")</f>
        <v>0</v>
      </c>
      <c r="T1935" s="35"/>
    </row>
    <row r="1936" spans="1:20" ht="45" customHeight="1" x14ac:dyDescent="0.25">
      <c r="A1936" s="2" t="str">
        <f t="shared" si="1"/>
        <v/>
      </c>
      <c r="B1936" s="2"/>
      <c r="C1936" s="43"/>
      <c r="D1936" s="2"/>
      <c r="E1936" s="2"/>
      <c r="F1936" s="2"/>
      <c r="G1936" s="11"/>
      <c r="H1936" s="11"/>
      <c r="I1936" s="2"/>
      <c r="J1936" s="2"/>
      <c r="K1936" s="2"/>
      <c r="L1936" s="10"/>
      <c r="M1936" s="9"/>
      <c r="N1936" s="2"/>
      <c r="O1936" s="2"/>
      <c r="P1936" s="2"/>
      <c r="Q1936" s="50"/>
      <c r="R1936" s="50"/>
      <c r="S1936" s="2">
        <f>IFERROR(VLOOKUP(A1936,IMPORT_DESISTENCIA!$A$2:$Q2273,14,0),"NÃO")</f>
        <v>0</v>
      </c>
      <c r="T1936" s="35"/>
    </row>
    <row r="1937" spans="1:20" ht="45" customHeight="1" x14ac:dyDescent="0.25">
      <c r="A1937" s="2" t="str">
        <f t="shared" si="1"/>
        <v/>
      </c>
      <c r="B1937" s="2"/>
      <c r="C1937" s="43"/>
      <c r="D1937" s="2"/>
      <c r="E1937" s="2"/>
      <c r="F1937" s="2"/>
      <c r="G1937" s="11"/>
      <c r="H1937" s="11"/>
      <c r="I1937" s="2"/>
      <c r="J1937" s="2"/>
      <c r="K1937" s="2"/>
      <c r="L1937" s="10"/>
      <c r="M1937" s="9"/>
      <c r="N1937" s="2"/>
      <c r="O1937" s="2"/>
      <c r="P1937" s="2"/>
      <c r="Q1937" s="50"/>
      <c r="R1937" s="50"/>
      <c r="S1937" s="2">
        <f>IFERROR(VLOOKUP(A1937,IMPORT_DESISTENCIA!$A$2:$Q2273,14,0),"NÃO")</f>
        <v>0</v>
      </c>
      <c r="T1937" s="35"/>
    </row>
    <row r="1938" spans="1:20" ht="45" customHeight="1" x14ac:dyDescent="0.25">
      <c r="A1938" s="2" t="str">
        <f t="shared" si="1"/>
        <v/>
      </c>
      <c r="B1938" s="2"/>
      <c r="C1938" s="43"/>
      <c r="D1938" s="2"/>
      <c r="E1938" s="2"/>
      <c r="F1938" s="2"/>
      <c r="G1938" s="11"/>
      <c r="H1938" s="11"/>
      <c r="I1938" s="2"/>
      <c r="J1938" s="2"/>
      <c r="K1938" s="2"/>
      <c r="L1938" s="10"/>
      <c r="M1938" s="9"/>
      <c r="N1938" s="2"/>
      <c r="O1938" s="2"/>
      <c r="P1938" s="2"/>
      <c r="Q1938" s="50"/>
      <c r="R1938" s="50"/>
      <c r="S1938" s="2">
        <f>IFERROR(VLOOKUP(A1938,IMPORT_DESISTENCIA!$A$2:$Q2273,14,0),"NÃO")</f>
        <v>0</v>
      </c>
      <c r="T1938" s="35"/>
    </row>
    <row r="1939" spans="1:20" ht="45" customHeight="1" x14ac:dyDescent="0.25">
      <c r="A1939" s="2" t="str">
        <f t="shared" si="1"/>
        <v/>
      </c>
      <c r="B1939" s="2"/>
      <c r="C1939" s="43"/>
      <c r="D1939" s="2"/>
      <c r="E1939" s="2"/>
      <c r="F1939" s="2"/>
      <c r="G1939" s="11"/>
      <c r="H1939" s="11"/>
      <c r="I1939" s="2"/>
      <c r="J1939" s="2"/>
      <c r="K1939" s="2"/>
      <c r="L1939" s="10"/>
      <c r="M1939" s="9"/>
      <c r="N1939" s="2"/>
      <c r="O1939" s="2"/>
      <c r="P1939" s="2"/>
      <c r="Q1939" s="50"/>
      <c r="R1939" s="50"/>
      <c r="S1939" s="2">
        <f>IFERROR(VLOOKUP(A1939,IMPORT_DESISTENCIA!$A$2:$Q2273,14,0),"NÃO")</f>
        <v>0</v>
      </c>
      <c r="T1939" s="35"/>
    </row>
    <row r="1940" spans="1:20" ht="45" customHeight="1" x14ac:dyDescent="0.25">
      <c r="A1940" s="2" t="str">
        <f t="shared" si="1"/>
        <v/>
      </c>
      <c r="B1940" s="2"/>
      <c r="C1940" s="43"/>
      <c r="D1940" s="2"/>
      <c r="E1940" s="2"/>
      <c r="F1940" s="2"/>
      <c r="G1940" s="11"/>
      <c r="H1940" s="11"/>
      <c r="I1940" s="2"/>
      <c r="J1940" s="2"/>
      <c r="K1940" s="2"/>
      <c r="L1940" s="10"/>
      <c r="M1940" s="9"/>
      <c r="N1940" s="2"/>
      <c r="O1940" s="2"/>
      <c r="P1940" s="2"/>
      <c r="Q1940" s="50"/>
      <c r="R1940" s="50"/>
      <c r="S1940" s="2">
        <f>IFERROR(VLOOKUP(A1940,IMPORT_DESISTENCIA!$A$2:$Q2273,14,0),"NÃO")</f>
        <v>0</v>
      </c>
      <c r="T1940" s="35"/>
    </row>
    <row r="1941" spans="1:20" ht="45" customHeight="1" x14ac:dyDescent="0.25">
      <c r="A1941" s="2" t="str">
        <f t="shared" si="1"/>
        <v/>
      </c>
      <c r="B1941" s="2"/>
      <c r="C1941" s="43"/>
      <c r="D1941" s="2"/>
      <c r="E1941" s="2"/>
      <c r="F1941" s="2"/>
      <c r="G1941" s="11"/>
      <c r="H1941" s="11"/>
      <c r="I1941" s="2"/>
      <c r="J1941" s="2"/>
      <c r="K1941" s="2"/>
      <c r="L1941" s="10"/>
      <c r="M1941" s="9"/>
      <c r="N1941" s="2"/>
      <c r="O1941" s="2"/>
      <c r="P1941" s="2"/>
      <c r="Q1941" s="50"/>
      <c r="R1941" s="50"/>
      <c r="S1941" s="2">
        <f>IFERROR(VLOOKUP(A1941,IMPORT_DESISTENCIA!$A$2:$Q2273,14,0),"NÃO")</f>
        <v>0</v>
      </c>
      <c r="T1941" s="35"/>
    </row>
    <row r="1942" spans="1:20" ht="45" customHeight="1" x14ac:dyDescent="0.25">
      <c r="A1942" s="2" t="str">
        <f t="shared" si="1"/>
        <v/>
      </c>
      <c r="B1942" s="2"/>
      <c r="C1942" s="43"/>
      <c r="D1942" s="2"/>
      <c r="E1942" s="2"/>
      <c r="F1942" s="2"/>
      <c r="G1942" s="11"/>
      <c r="H1942" s="11"/>
      <c r="I1942" s="2"/>
      <c r="J1942" s="2"/>
      <c r="K1942" s="2"/>
      <c r="L1942" s="10"/>
      <c r="M1942" s="9"/>
      <c r="N1942" s="2"/>
      <c r="O1942" s="2"/>
      <c r="P1942" s="2"/>
      <c r="Q1942" s="50"/>
      <c r="R1942" s="50"/>
      <c r="S1942" s="2">
        <f>IFERROR(VLOOKUP(A1942,IMPORT_DESISTENCIA!$A$2:$Q2273,14,0),"NÃO")</f>
        <v>0</v>
      </c>
      <c r="T1942" s="35"/>
    </row>
    <row r="1943" spans="1:20" ht="45" customHeight="1" x14ac:dyDescent="0.25">
      <c r="A1943" s="2" t="str">
        <f t="shared" si="1"/>
        <v/>
      </c>
      <c r="B1943" s="2"/>
      <c r="C1943" s="43"/>
      <c r="D1943" s="2"/>
      <c r="E1943" s="2"/>
      <c r="F1943" s="2"/>
      <c r="G1943" s="11"/>
      <c r="H1943" s="11"/>
      <c r="I1943" s="2"/>
      <c r="J1943" s="2"/>
      <c r="K1943" s="2"/>
      <c r="L1943" s="10"/>
      <c r="M1943" s="9"/>
      <c r="N1943" s="2"/>
      <c r="O1943" s="2"/>
      <c r="P1943" s="2"/>
      <c r="Q1943" s="50"/>
      <c r="R1943" s="50"/>
      <c r="S1943" s="2">
        <f>IFERROR(VLOOKUP(A1943,IMPORT_DESISTENCIA!$A$2:$Q2273,14,0),"NÃO")</f>
        <v>0</v>
      </c>
      <c r="T1943" s="35"/>
    </row>
    <row r="1944" spans="1:20" ht="45" customHeight="1" x14ac:dyDescent="0.25">
      <c r="A1944" s="2" t="str">
        <f t="shared" si="1"/>
        <v/>
      </c>
      <c r="B1944" s="2"/>
      <c r="C1944" s="43"/>
      <c r="D1944" s="2"/>
      <c r="E1944" s="2"/>
      <c r="F1944" s="2"/>
      <c r="G1944" s="11"/>
      <c r="H1944" s="11"/>
      <c r="I1944" s="2"/>
      <c r="J1944" s="2"/>
      <c r="K1944" s="2"/>
      <c r="L1944" s="10"/>
      <c r="M1944" s="9"/>
      <c r="N1944" s="2"/>
      <c r="O1944" s="2"/>
      <c r="P1944" s="2"/>
      <c r="Q1944" s="50"/>
      <c r="R1944" s="50"/>
      <c r="S1944" s="2">
        <f>IFERROR(VLOOKUP(A1944,IMPORT_DESISTENCIA!$A$2:$Q2273,14,0),"NÃO")</f>
        <v>0</v>
      </c>
      <c r="T1944" s="35"/>
    </row>
    <row r="1945" spans="1:20" ht="45" customHeight="1" x14ac:dyDescent="0.25">
      <c r="A1945" s="2" t="str">
        <f t="shared" si="1"/>
        <v/>
      </c>
      <c r="B1945" s="2"/>
      <c r="C1945" s="43"/>
      <c r="D1945" s="2"/>
      <c r="E1945" s="2"/>
      <c r="F1945" s="2"/>
      <c r="G1945" s="11"/>
      <c r="H1945" s="11"/>
      <c r="I1945" s="2"/>
      <c r="J1945" s="2"/>
      <c r="K1945" s="2"/>
      <c r="L1945" s="10"/>
      <c r="M1945" s="9"/>
      <c r="N1945" s="2"/>
      <c r="O1945" s="2"/>
      <c r="P1945" s="2"/>
      <c r="Q1945" s="50"/>
      <c r="R1945" s="50"/>
      <c r="S1945" s="2">
        <f>IFERROR(VLOOKUP(A1945,IMPORT_DESISTENCIA!$A$2:$Q2273,14,0),"NÃO")</f>
        <v>0</v>
      </c>
      <c r="T1945" s="35"/>
    </row>
    <row r="1946" spans="1:20" ht="45" customHeight="1" x14ac:dyDescent="0.25">
      <c r="A1946" s="2" t="str">
        <f t="shared" si="1"/>
        <v/>
      </c>
      <c r="B1946" s="2"/>
      <c r="C1946" s="43"/>
      <c r="D1946" s="2"/>
      <c r="E1946" s="2"/>
      <c r="F1946" s="2"/>
      <c r="G1946" s="11"/>
      <c r="H1946" s="11"/>
      <c r="I1946" s="2"/>
      <c r="J1946" s="2"/>
      <c r="K1946" s="2"/>
      <c r="L1946" s="10"/>
      <c r="M1946" s="9"/>
      <c r="N1946" s="2"/>
      <c r="O1946" s="2"/>
      <c r="P1946" s="2"/>
      <c r="Q1946" s="50"/>
      <c r="R1946" s="50"/>
      <c r="S1946" s="2">
        <f>IFERROR(VLOOKUP(A1946,IMPORT_DESISTENCIA!$A$2:$Q2273,14,0),"NÃO")</f>
        <v>0</v>
      </c>
      <c r="T1946" s="35"/>
    </row>
    <row r="1947" spans="1:20" ht="45" customHeight="1" x14ac:dyDescent="0.25">
      <c r="A1947" s="2" t="str">
        <f t="shared" si="1"/>
        <v/>
      </c>
      <c r="B1947" s="2"/>
      <c r="C1947" s="43"/>
      <c r="D1947" s="2"/>
      <c r="E1947" s="2"/>
      <c r="F1947" s="2"/>
      <c r="G1947" s="11"/>
      <c r="H1947" s="11"/>
      <c r="I1947" s="2"/>
      <c r="J1947" s="2"/>
      <c r="K1947" s="2"/>
      <c r="L1947" s="10"/>
      <c r="M1947" s="9"/>
      <c r="N1947" s="2"/>
      <c r="O1947" s="2"/>
      <c r="P1947" s="2"/>
      <c r="Q1947" s="50"/>
      <c r="R1947" s="50"/>
      <c r="S1947" s="2">
        <f>IFERROR(VLOOKUP(A1947,IMPORT_DESISTENCIA!$A$2:$Q2273,14,0),"NÃO")</f>
        <v>0</v>
      </c>
      <c r="T1947" s="35"/>
    </row>
    <row r="1948" spans="1:20" ht="45" customHeight="1" x14ac:dyDescent="0.25">
      <c r="A1948" s="2" t="str">
        <f t="shared" si="1"/>
        <v/>
      </c>
      <c r="B1948" s="2"/>
      <c r="C1948" s="43"/>
      <c r="D1948" s="2"/>
      <c r="E1948" s="2"/>
      <c r="F1948" s="2"/>
      <c r="G1948" s="11"/>
      <c r="H1948" s="11"/>
      <c r="I1948" s="2"/>
      <c r="J1948" s="2"/>
      <c r="K1948" s="2"/>
      <c r="L1948" s="10"/>
      <c r="M1948" s="9"/>
      <c r="N1948" s="2"/>
      <c r="O1948" s="2"/>
      <c r="P1948" s="2"/>
      <c r="Q1948" s="50"/>
      <c r="R1948" s="50"/>
      <c r="S1948" s="2">
        <f>IFERROR(VLOOKUP(A1948,IMPORT_DESISTENCIA!$A$2:$Q2273,14,0),"NÃO")</f>
        <v>0</v>
      </c>
      <c r="T1948" s="35"/>
    </row>
    <row r="1949" spans="1:20" ht="45" customHeight="1" x14ac:dyDescent="0.25">
      <c r="A1949" s="2" t="str">
        <f t="shared" si="1"/>
        <v/>
      </c>
      <c r="B1949" s="2"/>
      <c r="C1949" s="43"/>
      <c r="D1949" s="2"/>
      <c r="E1949" s="2"/>
      <c r="F1949" s="2"/>
      <c r="G1949" s="11"/>
      <c r="H1949" s="11"/>
      <c r="I1949" s="2"/>
      <c r="J1949" s="2"/>
      <c r="K1949" s="2"/>
      <c r="L1949" s="10"/>
      <c r="M1949" s="9"/>
      <c r="N1949" s="2"/>
      <c r="O1949" s="2"/>
      <c r="P1949" s="2"/>
      <c r="Q1949" s="50"/>
      <c r="R1949" s="50"/>
      <c r="S1949" s="2">
        <f>IFERROR(VLOOKUP(A1949,IMPORT_DESISTENCIA!$A$2:$Q2273,14,0),"NÃO")</f>
        <v>0</v>
      </c>
      <c r="T1949" s="35"/>
    </row>
    <row r="1950" spans="1:20" ht="45" customHeight="1" x14ac:dyDescent="0.25">
      <c r="A1950" s="2" t="str">
        <f t="shared" si="1"/>
        <v/>
      </c>
      <c r="B1950" s="2"/>
      <c r="C1950" s="43"/>
      <c r="D1950" s="2"/>
      <c r="E1950" s="2"/>
      <c r="F1950" s="2"/>
      <c r="G1950" s="11"/>
      <c r="H1950" s="11"/>
      <c r="I1950" s="2"/>
      <c r="J1950" s="2"/>
      <c r="K1950" s="2"/>
      <c r="L1950" s="10"/>
      <c r="M1950" s="9"/>
      <c r="N1950" s="2"/>
      <c r="O1950" s="2"/>
      <c r="P1950" s="2"/>
      <c r="Q1950" s="50"/>
      <c r="R1950" s="50"/>
      <c r="S1950" s="2">
        <f>IFERROR(VLOOKUP(A1950,IMPORT_DESISTENCIA!$A$2:$Q2273,14,0),"NÃO")</f>
        <v>0</v>
      </c>
      <c r="T1950" s="35"/>
    </row>
    <row r="1951" spans="1:20" ht="45" customHeight="1" x14ac:dyDescent="0.25">
      <c r="A1951" s="2" t="str">
        <f t="shared" si="1"/>
        <v/>
      </c>
      <c r="B1951" s="2"/>
      <c r="C1951" s="43"/>
      <c r="D1951" s="2"/>
      <c r="E1951" s="2"/>
      <c r="F1951" s="2"/>
      <c r="G1951" s="11"/>
      <c r="H1951" s="11"/>
      <c r="I1951" s="2"/>
      <c r="J1951" s="2"/>
      <c r="K1951" s="2"/>
      <c r="L1951" s="10"/>
      <c r="M1951" s="9"/>
      <c r="N1951" s="2"/>
      <c r="O1951" s="2"/>
      <c r="P1951" s="2"/>
      <c r="Q1951" s="50"/>
      <c r="R1951" s="50"/>
      <c r="S1951" s="2">
        <f>IFERROR(VLOOKUP(A1951,IMPORT_DESISTENCIA!$A$2:$Q2273,14,0),"NÃO")</f>
        <v>0</v>
      </c>
      <c r="T1951" s="35"/>
    </row>
    <row r="1952" spans="1:20" ht="45" customHeight="1" x14ac:dyDescent="0.25">
      <c r="A1952" s="2" t="str">
        <f t="shared" si="1"/>
        <v/>
      </c>
      <c r="B1952" s="2"/>
      <c r="C1952" s="43"/>
      <c r="D1952" s="2"/>
      <c r="E1952" s="2"/>
      <c r="F1952" s="2"/>
      <c r="G1952" s="11"/>
      <c r="H1952" s="11"/>
      <c r="I1952" s="2"/>
      <c r="J1952" s="2"/>
      <c r="K1952" s="2"/>
      <c r="L1952" s="10"/>
      <c r="M1952" s="9"/>
      <c r="N1952" s="2"/>
      <c r="O1952" s="2"/>
      <c r="P1952" s="2"/>
      <c r="Q1952" s="50"/>
      <c r="R1952" s="50"/>
      <c r="S1952" s="2">
        <f>IFERROR(VLOOKUP(A1952,IMPORT_DESISTENCIA!$A$2:$Q2273,14,0),"NÃO")</f>
        <v>0</v>
      </c>
      <c r="T1952" s="35"/>
    </row>
    <row r="1953" spans="1:20" ht="45" customHeight="1" x14ac:dyDescent="0.25">
      <c r="A1953" s="2" t="str">
        <f t="shared" si="1"/>
        <v/>
      </c>
      <c r="B1953" s="2"/>
      <c r="C1953" s="43"/>
      <c r="D1953" s="2"/>
      <c r="E1953" s="2"/>
      <c r="F1953" s="2"/>
      <c r="G1953" s="11"/>
      <c r="H1953" s="11"/>
      <c r="I1953" s="2"/>
      <c r="J1953" s="2"/>
      <c r="K1953" s="2"/>
      <c r="L1953" s="10"/>
      <c r="M1953" s="9"/>
      <c r="N1953" s="2"/>
      <c r="O1953" s="2"/>
      <c r="P1953" s="2"/>
      <c r="Q1953" s="50"/>
      <c r="R1953" s="50"/>
      <c r="S1953" s="2">
        <f>IFERROR(VLOOKUP(A1953,IMPORT_DESISTENCIA!$A$2:$Q2273,14,0),"NÃO")</f>
        <v>0</v>
      </c>
      <c r="T1953" s="35"/>
    </row>
    <row r="1954" spans="1:20" ht="45" customHeight="1" x14ac:dyDescent="0.25">
      <c r="A1954" s="2" t="str">
        <f t="shared" si="1"/>
        <v/>
      </c>
      <c r="B1954" s="2"/>
      <c r="C1954" s="43"/>
      <c r="D1954" s="2"/>
      <c r="E1954" s="2"/>
      <c r="F1954" s="2"/>
      <c r="G1954" s="11"/>
      <c r="H1954" s="11"/>
      <c r="I1954" s="2"/>
      <c r="J1954" s="2"/>
      <c r="K1954" s="2"/>
      <c r="L1954" s="10"/>
      <c r="M1954" s="9"/>
      <c r="N1954" s="2"/>
      <c r="O1954" s="2"/>
      <c r="P1954" s="2"/>
      <c r="Q1954" s="50"/>
      <c r="R1954" s="50"/>
      <c r="S1954" s="2">
        <f>IFERROR(VLOOKUP(A1954,IMPORT_DESISTENCIA!$A$2:$Q2273,14,0),"NÃO")</f>
        <v>0</v>
      </c>
      <c r="T1954" s="35"/>
    </row>
    <row r="1955" spans="1:20" ht="45" customHeight="1" x14ac:dyDescent="0.25">
      <c r="A1955" s="2" t="str">
        <f t="shared" si="1"/>
        <v/>
      </c>
      <c r="B1955" s="2"/>
      <c r="C1955" s="43"/>
      <c r="D1955" s="2"/>
      <c r="E1955" s="2"/>
      <c r="F1955" s="2"/>
      <c r="G1955" s="11"/>
      <c r="H1955" s="11"/>
      <c r="I1955" s="2"/>
      <c r="J1955" s="2"/>
      <c r="K1955" s="2"/>
      <c r="L1955" s="10"/>
      <c r="M1955" s="9"/>
      <c r="N1955" s="2"/>
      <c r="O1955" s="2"/>
      <c r="P1955" s="2"/>
      <c r="Q1955" s="50"/>
      <c r="R1955" s="50"/>
      <c r="S1955" s="2">
        <f>IFERROR(VLOOKUP(A1955,IMPORT_DESISTENCIA!$A$2:$Q2273,14,0),"NÃO")</f>
        <v>0</v>
      </c>
      <c r="T1955" s="35"/>
    </row>
    <row r="1956" spans="1:20" ht="45" customHeight="1" x14ac:dyDescent="0.25">
      <c r="A1956" s="2" t="str">
        <f t="shared" si="1"/>
        <v/>
      </c>
      <c r="B1956" s="2"/>
      <c r="C1956" s="43"/>
      <c r="D1956" s="2"/>
      <c r="E1956" s="2"/>
      <c r="F1956" s="2"/>
      <c r="G1956" s="11"/>
      <c r="H1956" s="11"/>
      <c r="I1956" s="2"/>
      <c r="J1956" s="2"/>
      <c r="K1956" s="2"/>
      <c r="L1956" s="10"/>
      <c r="M1956" s="9"/>
      <c r="N1956" s="2"/>
      <c r="O1956" s="2"/>
      <c r="P1956" s="2"/>
      <c r="Q1956" s="50"/>
      <c r="R1956" s="50"/>
      <c r="S1956" s="2">
        <f>IFERROR(VLOOKUP(A1956,IMPORT_DESISTENCIA!$A$2:$Q2273,14,0),"NÃO")</f>
        <v>0</v>
      </c>
      <c r="T1956" s="35"/>
    </row>
    <row r="1957" spans="1:20" ht="45" customHeight="1" x14ac:dyDescent="0.25">
      <c r="A1957" s="2" t="str">
        <f t="shared" si="1"/>
        <v/>
      </c>
      <c r="B1957" s="2"/>
      <c r="C1957" s="43"/>
      <c r="D1957" s="2"/>
      <c r="E1957" s="2"/>
      <c r="F1957" s="2"/>
      <c r="G1957" s="11"/>
      <c r="H1957" s="11"/>
      <c r="I1957" s="2"/>
      <c r="J1957" s="2"/>
      <c r="K1957" s="2"/>
      <c r="L1957" s="10"/>
      <c r="M1957" s="9"/>
      <c r="N1957" s="2"/>
      <c r="O1957" s="2"/>
      <c r="P1957" s="2"/>
      <c r="Q1957" s="50"/>
      <c r="R1957" s="50"/>
      <c r="S1957" s="2">
        <f>IFERROR(VLOOKUP(A1957,IMPORT_DESISTENCIA!$A$2:$Q2273,14,0),"NÃO")</f>
        <v>0</v>
      </c>
      <c r="T1957" s="35"/>
    </row>
    <row r="1958" spans="1:20" ht="45" customHeight="1" x14ac:dyDescent="0.25">
      <c r="A1958" s="2" t="str">
        <f t="shared" si="1"/>
        <v/>
      </c>
      <c r="B1958" s="2"/>
      <c r="C1958" s="43"/>
      <c r="D1958" s="2"/>
      <c r="E1958" s="2"/>
      <c r="F1958" s="2"/>
      <c r="G1958" s="11"/>
      <c r="H1958" s="11"/>
      <c r="I1958" s="2"/>
      <c r="J1958" s="2"/>
      <c r="K1958" s="2"/>
      <c r="L1958" s="10"/>
      <c r="M1958" s="9"/>
      <c r="N1958" s="2"/>
      <c r="O1958" s="2"/>
      <c r="P1958" s="2"/>
      <c r="Q1958" s="50"/>
      <c r="R1958" s="50"/>
      <c r="S1958" s="2">
        <f>IFERROR(VLOOKUP(A1958,IMPORT_DESISTENCIA!$A$2:$Q2273,14,0),"NÃO")</f>
        <v>0</v>
      </c>
      <c r="T1958" s="35"/>
    </row>
    <row r="1959" spans="1:20" ht="45" customHeight="1" x14ac:dyDescent="0.25">
      <c r="A1959" s="2" t="str">
        <f t="shared" si="1"/>
        <v/>
      </c>
      <c r="B1959" s="2"/>
      <c r="C1959" s="43"/>
      <c r="D1959" s="2"/>
      <c r="E1959" s="2"/>
      <c r="F1959" s="2"/>
      <c r="G1959" s="11"/>
      <c r="H1959" s="11"/>
      <c r="I1959" s="2"/>
      <c r="J1959" s="2"/>
      <c r="K1959" s="2"/>
      <c r="L1959" s="10"/>
      <c r="M1959" s="9"/>
      <c r="N1959" s="2"/>
      <c r="O1959" s="2"/>
      <c r="P1959" s="2"/>
      <c r="Q1959" s="50"/>
      <c r="R1959" s="50"/>
      <c r="S1959" s="2">
        <f>IFERROR(VLOOKUP(A1959,IMPORT_DESISTENCIA!$A$2:$Q2273,14,0),"NÃO")</f>
        <v>0</v>
      </c>
      <c r="T1959" s="35"/>
    </row>
    <row r="1960" spans="1:20" ht="45" customHeight="1" x14ac:dyDescent="0.25">
      <c r="A1960" s="2" t="str">
        <f t="shared" si="1"/>
        <v/>
      </c>
      <c r="B1960" s="2"/>
      <c r="C1960" s="43"/>
      <c r="D1960" s="2"/>
      <c r="E1960" s="2"/>
      <c r="F1960" s="2"/>
      <c r="G1960" s="11"/>
      <c r="H1960" s="11"/>
      <c r="I1960" s="2"/>
      <c r="J1960" s="2"/>
      <c r="K1960" s="2"/>
      <c r="L1960" s="10"/>
      <c r="M1960" s="9"/>
      <c r="N1960" s="2"/>
      <c r="O1960" s="2"/>
      <c r="P1960" s="2"/>
      <c r="Q1960" s="50"/>
      <c r="R1960" s="50"/>
      <c r="S1960" s="2">
        <f>IFERROR(VLOOKUP(A1960,IMPORT_DESISTENCIA!$A$2:$Q2273,14,0),"NÃO")</f>
        <v>0</v>
      </c>
      <c r="T1960" s="35"/>
    </row>
    <row r="1961" spans="1:20" ht="45" customHeight="1" x14ac:dyDescent="0.25">
      <c r="A1961" s="2" t="str">
        <f t="shared" si="1"/>
        <v/>
      </c>
      <c r="B1961" s="2"/>
      <c r="C1961" s="43"/>
      <c r="D1961" s="2"/>
      <c r="E1961" s="2"/>
      <c r="F1961" s="2"/>
      <c r="G1961" s="11"/>
      <c r="H1961" s="11"/>
      <c r="I1961" s="2"/>
      <c r="J1961" s="2"/>
      <c r="K1961" s="2"/>
      <c r="L1961" s="10"/>
      <c r="M1961" s="9"/>
      <c r="N1961" s="2"/>
      <c r="O1961" s="2"/>
      <c r="P1961" s="2"/>
      <c r="Q1961" s="50"/>
      <c r="R1961" s="50"/>
      <c r="S1961" s="2">
        <f>IFERROR(VLOOKUP(A1961,IMPORT_DESISTENCIA!$A$2:$Q2273,14,0),"NÃO")</f>
        <v>0</v>
      </c>
      <c r="T1961" s="35"/>
    </row>
    <row r="1962" spans="1:20" ht="45" customHeight="1" x14ac:dyDescent="0.25">
      <c r="A1962" s="2" t="str">
        <f t="shared" si="1"/>
        <v/>
      </c>
      <c r="B1962" s="2"/>
      <c r="C1962" s="43"/>
      <c r="D1962" s="2"/>
      <c r="E1962" s="2"/>
      <c r="F1962" s="2"/>
      <c r="G1962" s="11"/>
      <c r="H1962" s="11"/>
      <c r="I1962" s="2"/>
      <c r="J1962" s="2"/>
      <c r="K1962" s="2"/>
      <c r="L1962" s="10"/>
      <c r="M1962" s="9"/>
      <c r="N1962" s="2"/>
      <c r="O1962" s="2"/>
      <c r="P1962" s="2"/>
      <c r="Q1962" s="50"/>
      <c r="R1962" s="50"/>
      <c r="S1962" s="2">
        <f>IFERROR(VLOOKUP(A1962,IMPORT_DESISTENCIA!$A$2:$Q2273,14,0),"NÃO")</f>
        <v>0</v>
      </c>
      <c r="T1962" s="35"/>
    </row>
    <row r="1963" spans="1:20" ht="45" customHeight="1" x14ac:dyDescent="0.25">
      <c r="A1963" s="2" t="str">
        <f t="shared" si="1"/>
        <v/>
      </c>
      <c r="B1963" s="2"/>
      <c r="C1963" s="43"/>
      <c r="D1963" s="2"/>
      <c r="E1963" s="2"/>
      <c r="F1963" s="2"/>
      <c r="G1963" s="11"/>
      <c r="H1963" s="11"/>
      <c r="I1963" s="2"/>
      <c r="J1963" s="2"/>
      <c r="K1963" s="2"/>
      <c r="L1963" s="10"/>
      <c r="M1963" s="9"/>
      <c r="N1963" s="2"/>
      <c r="O1963" s="2"/>
      <c r="P1963" s="2"/>
      <c r="Q1963" s="50"/>
      <c r="R1963" s="50"/>
      <c r="S1963" s="2">
        <f>IFERROR(VLOOKUP(A1963,IMPORT_DESISTENCIA!$A$2:$Q2273,14,0),"NÃO")</f>
        <v>0</v>
      </c>
      <c r="T1963" s="35"/>
    </row>
    <row r="1964" spans="1:20" ht="45" customHeight="1" x14ac:dyDescent="0.25">
      <c r="A1964" s="2" t="str">
        <f t="shared" si="1"/>
        <v/>
      </c>
      <c r="B1964" s="2"/>
      <c r="C1964" s="43"/>
      <c r="D1964" s="2"/>
      <c r="E1964" s="2"/>
      <c r="F1964" s="2"/>
      <c r="G1964" s="11"/>
      <c r="H1964" s="11"/>
      <c r="I1964" s="2"/>
      <c r="J1964" s="2"/>
      <c r="K1964" s="2"/>
      <c r="L1964" s="10"/>
      <c r="M1964" s="9"/>
      <c r="N1964" s="2"/>
      <c r="O1964" s="2"/>
      <c r="P1964" s="2"/>
      <c r="Q1964" s="50"/>
      <c r="R1964" s="50"/>
      <c r="S1964" s="2">
        <f>IFERROR(VLOOKUP(A1964,IMPORT_DESISTENCIA!$A$2:$Q2273,14,0),"NÃO")</f>
        <v>0</v>
      </c>
      <c r="T1964" s="35"/>
    </row>
    <row r="1965" spans="1:20" ht="45" customHeight="1" x14ac:dyDescent="0.25">
      <c r="A1965" s="2" t="str">
        <f t="shared" si="1"/>
        <v/>
      </c>
      <c r="B1965" s="2"/>
      <c r="C1965" s="43"/>
      <c r="D1965" s="2"/>
      <c r="E1965" s="2"/>
      <c r="F1965" s="2"/>
      <c r="G1965" s="11"/>
      <c r="H1965" s="11"/>
      <c r="I1965" s="2"/>
      <c r="J1965" s="2"/>
      <c r="K1965" s="2"/>
      <c r="L1965" s="10"/>
      <c r="M1965" s="9"/>
      <c r="N1965" s="2"/>
      <c r="O1965" s="2"/>
      <c r="P1965" s="2"/>
      <c r="Q1965" s="50"/>
      <c r="R1965" s="50"/>
      <c r="S1965" s="2">
        <f>IFERROR(VLOOKUP(A1965,IMPORT_DESISTENCIA!$A$2:$Q2273,14,0),"NÃO")</f>
        <v>0</v>
      </c>
      <c r="T1965" s="35"/>
    </row>
    <row r="1966" spans="1:20" ht="45" customHeight="1" x14ac:dyDescent="0.25">
      <c r="A1966" s="2" t="str">
        <f t="shared" si="1"/>
        <v/>
      </c>
      <c r="B1966" s="2"/>
      <c r="C1966" s="43"/>
      <c r="D1966" s="2"/>
      <c r="E1966" s="2"/>
      <c r="F1966" s="2"/>
      <c r="G1966" s="11"/>
      <c r="H1966" s="11"/>
      <c r="I1966" s="2"/>
      <c r="J1966" s="2"/>
      <c r="K1966" s="2"/>
      <c r="L1966" s="10"/>
      <c r="M1966" s="9"/>
      <c r="N1966" s="2"/>
      <c r="O1966" s="2"/>
      <c r="P1966" s="2"/>
      <c r="Q1966" s="50"/>
      <c r="R1966" s="50"/>
      <c r="S1966" s="2">
        <f>IFERROR(VLOOKUP(A1966,IMPORT_DESISTENCIA!$A$2:$Q2273,14,0),"NÃO")</f>
        <v>0</v>
      </c>
      <c r="T1966" s="35"/>
    </row>
    <row r="1967" spans="1:20" ht="45" customHeight="1" x14ac:dyDescent="0.25">
      <c r="A1967" s="2" t="str">
        <f t="shared" si="1"/>
        <v/>
      </c>
      <c r="B1967" s="2"/>
      <c r="C1967" s="43"/>
      <c r="D1967" s="2"/>
      <c r="E1967" s="2"/>
      <c r="F1967" s="2"/>
      <c r="G1967" s="11"/>
      <c r="H1967" s="11"/>
      <c r="I1967" s="2"/>
      <c r="J1967" s="2"/>
      <c r="K1967" s="2"/>
      <c r="L1967" s="10"/>
      <c r="M1967" s="9"/>
      <c r="N1967" s="2"/>
      <c r="O1967" s="2"/>
      <c r="P1967" s="2"/>
      <c r="Q1967" s="50"/>
      <c r="R1967" s="50"/>
      <c r="S1967" s="2">
        <f>IFERROR(VLOOKUP(A1967,IMPORT_DESISTENCIA!$A$2:$Q2273,14,0),"NÃO")</f>
        <v>0</v>
      </c>
      <c r="T1967" s="35"/>
    </row>
    <row r="1968" spans="1:20" ht="45" customHeight="1" x14ac:dyDescent="0.25">
      <c r="A1968" s="2" t="str">
        <f t="shared" si="1"/>
        <v/>
      </c>
      <c r="B1968" s="2"/>
      <c r="C1968" s="43"/>
      <c r="D1968" s="2"/>
      <c r="E1968" s="2"/>
      <c r="F1968" s="2"/>
      <c r="G1968" s="11"/>
      <c r="H1968" s="11"/>
      <c r="I1968" s="2"/>
      <c r="J1968" s="2"/>
      <c r="K1968" s="2"/>
      <c r="L1968" s="10"/>
      <c r="M1968" s="9"/>
      <c r="N1968" s="2"/>
      <c r="O1968" s="2"/>
      <c r="P1968" s="2"/>
      <c r="Q1968" s="50"/>
      <c r="R1968" s="50"/>
      <c r="S1968" s="2">
        <f>IFERROR(VLOOKUP(A1968,IMPORT_DESISTENCIA!$A$2:$Q2273,14,0),"NÃO")</f>
        <v>0</v>
      </c>
      <c r="T1968" s="35"/>
    </row>
    <row r="1969" spans="1:20" ht="45" customHeight="1" x14ac:dyDescent="0.25">
      <c r="A1969" s="2" t="str">
        <f t="shared" si="1"/>
        <v/>
      </c>
      <c r="B1969" s="2"/>
      <c r="C1969" s="43"/>
      <c r="D1969" s="2"/>
      <c r="E1969" s="2"/>
      <c r="F1969" s="2"/>
      <c r="G1969" s="11"/>
      <c r="H1969" s="11"/>
      <c r="I1969" s="2"/>
      <c r="J1969" s="2"/>
      <c r="K1969" s="2"/>
      <c r="L1969" s="10"/>
      <c r="M1969" s="9"/>
      <c r="N1969" s="2"/>
      <c r="O1969" s="2"/>
      <c r="P1969" s="2"/>
      <c r="Q1969" s="50"/>
      <c r="R1969" s="50"/>
      <c r="S1969" s="2">
        <f>IFERROR(VLOOKUP(A1969,IMPORT_DESISTENCIA!$A$2:$Q2273,14,0),"NÃO")</f>
        <v>0</v>
      </c>
      <c r="T1969" s="35"/>
    </row>
    <row r="1970" spans="1:20" ht="45" customHeight="1" x14ac:dyDescent="0.25">
      <c r="A1970" s="2" t="str">
        <f t="shared" si="1"/>
        <v/>
      </c>
      <c r="B1970" s="2"/>
      <c r="C1970" s="43"/>
      <c r="D1970" s="2"/>
      <c r="E1970" s="2"/>
      <c r="F1970" s="2"/>
      <c r="G1970" s="11"/>
      <c r="H1970" s="11"/>
      <c r="I1970" s="2"/>
      <c r="J1970" s="2"/>
      <c r="K1970" s="2"/>
      <c r="L1970" s="10"/>
      <c r="M1970" s="9"/>
      <c r="N1970" s="2"/>
      <c r="O1970" s="2"/>
      <c r="P1970" s="2"/>
      <c r="Q1970" s="50"/>
      <c r="R1970" s="50"/>
      <c r="S1970" s="2">
        <f>IFERROR(VLOOKUP(A1970,IMPORT_DESISTENCIA!$A$2:$Q2273,14,0),"NÃO")</f>
        <v>0</v>
      </c>
      <c r="T1970" s="35"/>
    </row>
    <row r="1971" spans="1:20" ht="45" customHeight="1" x14ac:dyDescent="0.25">
      <c r="A1971" s="2" t="str">
        <f t="shared" si="1"/>
        <v/>
      </c>
      <c r="B1971" s="2"/>
      <c r="C1971" s="43"/>
      <c r="D1971" s="2"/>
      <c r="E1971" s="2"/>
      <c r="F1971" s="2"/>
      <c r="G1971" s="11"/>
      <c r="H1971" s="11"/>
      <c r="I1971" s="2"/>
      <c r="J1971" s="2"/>
      <c r="K1971" s="2"/>
      <c r="L1971" s="10"/>
      <c r="M1971" s="9"/>
      <c r="N1971" s="2"/>
      <c r="O1971" s="2"/>
      <c r="P1971" s="2"/>
      <c r="Q1971" s="50"/>
      <c r="R1971" s="50"/>
      <c r="S1971" s="2">
        <f>IFERROR(VLOOKUP(A1971,IMPORT_DESISTENCIA!$A$2:$Q2273,14,0),"NÃO")</f>
        <v>0</v>
      </c>
      <c r="T1971" s="35"/>
    </row>
    <row r="1972" spans="1:20" ht="45" customHeight="1" x14ac:dyDescent="0.25">
      <c r="A1972" s="2" t="str">
        <f t="shared" si="1"/>
        <v/>
      </c>
      <c r="B1972" s="2"/>
      <c r="C1972" s="43"/>
      <c r="D1972" s="2"/>
      <c r="E1972" s="2"/>
      <c r="F1972" s="2"/>
      <c r="G1972" s="11"/>
      <c r="H1972" s="11"/>
      <c r="I1972" s="2"/>
      <c r="J1972" s="2"/>
      <c r="K1972" s="2"/>
      <c r="L1972" s="10"/>
      <c r="M1972" s="9"/>
      <c r="N1972" s="2"/>
      <c r="O1972" s="2"/>
      <c r="P1972" s="2"/>
      <c r="Q1972" s="50"/>
      <c r="R1972" s="50"/>
      <c r="S1972" s="2">
        <f>IFERROR(VLOOKUP(A1972,IMPORT_DESISTENCIA!$A$2:$Q2273,14,0),"NÃO")</f>
        <v>0</v>
      </c>
      <c r="T1972" s="35"/>
    </row>
    <row r="1973" spans="1:20" ht="45" customHeight="1" x14ac:dyDescent="0.25">
      <c r="A1973" s="2" t="str">
        <f t="shared" si="1"/>
        <v/>
      </c>
      <c r="B1973" s="2"/>
      <c r="C1973" s="43"/>
      <c r="D1973" s="2"/>
      <c r="E1973" s="2"/>
      <c r="F1973" s="2"/>
      <c r="G1973" s="11"/>
      <c r="H1973" s="11"/>
      <c r="I1973" s="2"/>
      <c r="J1973" s="2"/>
      <c r="K1973" s="2"/>
      <c r="L1973" s="10"/>
      <c r="M1973" s="9"/>
      <c r="N1973" s="2"/>
      <c r="O1973" s="2"/>
      <c r="P1973" s="2"/>
      <c r="Q1973" s="50"/>
      <c r="R1973" s="50"/>
      <c r="S1973" s="2">
        <f>IFERROR(VLOOKUP(A1973,IMPORT_DESISTENCIA!$A$2:$Q2273,14,0),"NÃO")</f>
        <v>0</v>
      </c>
      <c r="T1973" s="35"/>
    </row>
    <row r="1974" spans="1:20" ht="45" customHeight="1" x14ac:dyDescent="0.25">
      <c r="A1974" s="2" t="str">
        <f t="shared" si="1"/>
        <v/>
      </c>
      <c r="B1974" s="2"/>
      <c r="C1974" s="43"/>
      <c r="D1974" s="2"/>
      <c r="E1974" s="2"/>
      <c r="F1974" s="2"/>
      <c r="G1974" s="11"/>
      <c r="H1974" s="11"/>
      <c r="I1974" s="2"/>
      <c r="J1974" s="2"/>
      <c r="K1974" s="2"/>
      <c r="L1974" s="10"/>
      <c r="M1974" s="9"/>
      <c r="N1974" s="2"/>
      <c r="O1974" s="2"/>
      <c r="P1974" s="2"/>
      <c r="Q1974" s="50"/>
      <c r="R1974" s="50"/>
      <c r="S1974" s="2">
        <f>IFERROR(VLOOKUP(A1974,IMPORT_DESISTENCIA!$A$2:$Q2273,14,0),"NÃO")</f>
        <v>0</v>
      </c>
      <c r="T1974" s="35"/>
    </row>
    <row r="1975" spans="1:20" ht="45" customHeight="1" x14ac:dyDescent="0.25">
      <c r="A1975" s="2" t="str">
        <f t="shared" si="1"/>
        <v/>
      </c>
      <c r="B1975" s="2"/>
      <c r="C1975" s="43"/>
      <c r="D1975" s="2"/>
      <c r="E1975" s="2"/>
      <c r="F1975" s="2"/>
      <c r="G1975" s="11"/>
      <c r="H1975" s="11"/>
      <c r="I1975" s="2"/>
      <c r="J1975" s="2"/>
      <c r="K1975" s="2"/>
      <c r="L1975" s="10"/>
      <c r="M1975" s="9"/>
      <c r="N1975" s="2"/>
      <c r="O1975" s="2"/>
      <c r="P1975" s="2"/>
      <c r="Q1975" s="50"/>
      <c r="R1975" s="50"/>
      <c r="S1975" s="2">
        <f>IFERROR(VLOOKUP(A1975,IMPORT_DESISTENCIA!$A$2:$Q2273,14,0),"NÃO")</f>
        <v>0</v>
      </c>
      <c r="T1975" s="35"/>
    </row>
    <row r="1976" spans="1:20" ht="45" customHeight="1" x14ac:dyDescent="0.25">
      <c r="A1976" s="2" t="str">
        <f t="shared" si="1"/>
        <v/>
      </c>
      <c r="B1976" s="2"/>
      <c r="C1976" s="43"/>
      <c r="D1976" s="2"/>
      <c r="E1976" s="2"/>
      <c r="F1976" s="2"/>
      <c r="G1976" s="11"/>
      <c r="H1976" s="11"/>
      <c r="I1976" s="2"/>
      <c r="J1976" s="2"/>
      <c r="K1976" s="2"/>
      <c r="L1976" s="10"/>
      <c r="M1976" s="9"/>
      <c r="N1976" s="2"/>
      <c r="O1976" s="2"/>
      <c r="P1976" s="2"/>
      <c r="Q1976" s="50"/>
      <c r="R1976" s="50"/>
      <c r="S1976" s="2">
        <f>IFERROR(VLOOKUP(A1976,IMPORT_DESISTENCIA!$A$2:$Q2273,14,0),"NÃO")</f>
        <v>0</v>
      </c>
      <c r="T1976" s="35"/>
    </row>
    <row r="1977" spans="1:20" ht="45" customHeight="1" x14ac:dyDescent="0.25">
      <c r="A1977" s="2" t="str">
        <f t="shared" si="1"/>
        <v/>
      </c>
      <c r="B1977" s="2"/>
      <c r="C1977" s="43"/>
      <c r="D1977" s="2"/>
      <c r="E1977" s="2"/>
      <c r="F1977" s="2"/>
      <c r="G1977" s="11"/>
      <c r="H1977" s="11"/>
      <c r="I1977" s="2"/>
      <c r="J1977" s="2"/>
      <c r="K1977" s="2"/>
      <c r="L1977" s="10"/>
      <c r="M1977" s="9"/>
      <c r="N1977" s="2"/>
      <c r="O1977" s="2"/>
      <c r="P1977" s="2"/>
      <c r="Q1977" s="50"/>
      <c r="R1977" s="50"/>
      <c r="S1977" s="2">
        <f>IFERROR(VLOOKUP(A1977,IMPORT_DESISTENCIA!$A$2:$Q2273,14,0),"NÃO")</f>
        <v>0</v>
      </c>
      <c r="T1977" s="35"/>
    </row>
    <row r="1978" spans="1:20" ht="45" customHeight="1" x14ac:dyDescent="0.25">
      <c r="A1978" s="2" t="str">
        <f t="shared" si="1"/>
        <v/>
      </c>
      <c r="B1978" s="2"/>
      <c r="C1978" s="43"/>
      <c r="D1978" s="2"/>
      <c r="E1978" s="2"/>
      <c r="F1978" s="2"/>
      <c r="G1978" s="11"/>
      <c r="H1978" s="11"/>
      <c r="I1978" s="2"/>
      <c r="J1978" s="2"/>
      <c r="K1978" s="2"/>
      <c r="L1978" s="10"/>
      <c r="M1978" s="9"/>
      <c r="N1978" s="2"/>
      <c r="O1978" s="2"/>
      <c r="P1978" s="2"/>
      <c r="Q1978" s="50"/>
      <c r="R1978" s="50"/>
      <c r="S1978" s="2">
        <f>IFERROR(VLOOKUP(A1978,IMPORT_DESISTENCIA!$A$2:$Q2273,14,0),"NÃO")</f>
        <v>0</v>
      </c>
      <c r="T1978" s="35"/>
    </row>
    <row r="1979" spans="1:20" ht="45" customHeight="1" x14ac:dyDescent="0.25">
      <c r="A1979" s="2" t="str">
        <f t="shared" si="1"/>
        <v/>
      </c>
      <c r="B1979" s="2"/>
      <c r="C1979" s="43"/>
      <c r="D1979" s="2"/>
      <c r="E1979" s="2"/>
      <c r="F1979" s="2"/>
      <c r="G1979" s="11"/>
      <c r="H1979" s="11"/>
      <c r="I1979" s="2"/>
      <c r="J1979" s="2"/>
      <c r="K1979" s="2"/>
      <c r="L1979" s="10"/>
      <c r="M1979" s="9"/>
      <c r="N1979" s="2"/>
      <c r="O1979" s="2"/>
      <c r="P1979" s="2"/>
      <c r="Q1979" s="50"/>
      <c r="R1979" s="50"/>
      <c r="S1979" s="2">
        <f>IFERROR(VLOOKUP(A1979,IMPORT_DESISTENCIA!$A$2:$Q2273,14,0),"NÃO")</f>
        <v>0</v>
      </c>
      <c r="T1979" s="35"/>
    </row>
    <row r="1980" spans="1:20" ht="45" customHeight="1" x14ac:dyDescent="0.25">
      <c r="A1980" s="2" t="str">
        <f t="shared" si="1"/>
        <v/>
      </c>
      <c r="B1980" s="2"/>
      <c r="C1980" s="43"/>
      <c r="D1980" s="2"/>
      <c r="E1980" s="2"/>
      <c r="F1980" s="2"/>
      <c r="G1980" s="11"/>
      <c r="H1980" s="11"/>
      <c r="I1980" s="2"/>
      <c r="J1980" s="2"/>
      <c r="K1980" s="2"/>
      <c r="L1980" s="10"/>
      <c r="M1980" s="9"/>
      <c r="N1980" s="2"/>
      <c r="O1980" s="2"/>
      <c r="P1980" s="2"/>
      <c r="Q1980" s="50"/>
      <c r="R1980" s="50"/>
      <c r="S1980" s="2">
        <f>IFERROR(VLOOKUP(A1980,IMPORT_DESISTENCIA!$A$2:$Q2273,14,0),"NÃO")</f>
        <v>0</v>
      </c>
      <c r="T1980" s="35"/>
    </row>
    <row r="1981" spans="1:20" ht="45" customHeight="1" x14ac:dyDescent="0.25">
      <c r="A1981" s="2" t="str">
        <f t="shared" si="1"/>
        <v/>
      </c>
      <c r="B1981" s="2"/>
      <c r="C1981" s="43"/>
      <c r="D1981" s="2"/>
      <c r="E1981" s="2"/>
      <c r="F1981" s="2"/>
      <c r="G1981" s="11"/>
      <c r="H1981" s="11"/>
      <c r="I1981" s="2"/>
      <c r="J1981" s="2"/>
      <c r="K1981" s="2"/>
      <c r="L1981" s="10"/>
      <c r="M1981" s="9"/>
      <c r="N1981" s="2"/>
      <c r="O1981" s="2"/>
      <c r="P1981" s="2"/>
      <c r="Q1981" s="50"/>
      <c r="R1981" s="50"/>
      <c r="S1981" s="2">
        <f>IFERROR(VLOOKUP(A1981,IMPORT_DESISTENCIA!$A$2:$Q2273,14,0),"NÃO")</f>
        <v>0</v>
      </c>
      <c r="T1981" s="35"/>
    </row>
    <row r="1982" spans="1:20" ht="45" customHeight="1" x14ac:dyDescent="0.25">
      <c r="A1982" s="2" t="str">
        <f t="shared" si="1"/>
        <v/>
      </c>
      <c r="B1982" s="2"/>
      <c r="C1982" s="43"/>
      <c r="D1982" s="2"/>
      <c r="E1982" s="2"/>
      <c r="F1982" s="2"/>
      <c r="G1982" s="11"/>
      <c r="H1982" s="11"/>
      <c r="I1982" s="2"/>
      <c r="J1982" s="2"/>
      <c r="K1982" s="2"/>
      <c r="L1982" s="10"/>
      <c r="M1982" s="9"/>
      <c r="N1982" s="2"/>
      <c r="O1982" s="2"/>
      <c r="P1982" s="2"/>
      <c r="Q1982" s="50"/>
      <c r="R1982" s="50"/>
      <c r="S1982" s="2">
        <f>IFERROR(VLOOKUP(A1982,IMPORT_DESISTENCIA!$A$2:$Q2273,14,0),"NÃO")</f>
        <v>0</v>
      </c>
      <c r="T1982" s="35"/>
    </row>
    <row r="1983" spans="1:20" ht="45" customHeight="1" x14ac:dyDescent="0.25">
      <c r="A1983" s="2" t="str">
        <f t="shared" si="1"/>
        <v/>
      </c>
      <c r="B1983" s="2"/>
      <c r="C1983" s="43"/>
      <c r="D1983" s="2"/>
      <c r="E1983" s="2"/>
      <c r="F1983" s="2"/>
      <c r="G1983" s="11"/>
      <c r="H1983" s="11"/>
      <c r="I1983" s="2"/>
      <c r="J1983" s="2"/>
      <c r="K1983" s="2"/>
      <c r="L1983" s="10"/>
      <c r="M1983" s="9"/>
      <c r="N1983" s="2"/>
      <c r="O1983" s="2"/>
      <c r="P1983" s="2"/>
      <c r="Q1983" s="50"/>
      <c r="R1983" s="50"/>
      <c r="S1983" s="2">
        <f>IFERROR(VLOOKUP(A1983,IMPORT_DESISTENCIA!$A$2:$Q2273,14,0),"NÃO")</f>
        <v>0</v>
      </c>
      <c r="T1983" s="35"/>
    </row>
    <row r="1984" spans="1:20" ht="45" customHeight="1" x14ac:dyDescent="0.25">
      <c r="A1984" s="2" t="str">
        <f t="shared" si="1"/>
        <v/>
      </c>
      <c r="B1984" s="2"/>
      <c r="C1984" s="43"/>
      <c r="D1984" s="2"/>
      <c r="E1984" s="2"/>
      <c r="F1984" s="2"/>
      <c r="G1984" s="11"/>
      <c r="H1984" s="11"/>
      <c r="I1984" s="2"/>
      <c r="J1984" s="2"/>
      <c r="K1984" s="2"/>
      <c r="L1984" s="10"/>
      <c r="M1984" s="9"/>
      <c r="N1984" s="2"/>
      <c r="O1984" s="2"/>
      <c r="P1984" s="2"/>
      <c r="Q1984" s="50"/>
      <c r="R1984" s="50"/>
      <c r="S1984" s="2">
        <f>IFERROR(VLOOKUP(A1984,IMPORT_DESISTENCIA!$A$2:$Q2273,14,0),"NÃO")</f>
        <v>0</v>
      </c>
      <c r="T1984" s="35"/>
    </row>
    <row r="1985" spans="1:20" ht="45" customHeight="1" x14ac:dyDescent="0.25">
      <c r="A1985" s="2" t="str">
        <f t="shared" si="1"/>
        <v/>
      </c>
      <c r="B1985" s="2"/>
      <c r="C1985" s="43"/>
      <c r="D1985" s="2"/>
      <c r="E1985" s="2"/>
      <c r="F1985" s="2"/>
      <c r="G1985" s="11"/>
      <c r="H1985" s="11"/>
      <c r="I1985" s="2"/>
      <c r="J1985" s="2"/>
      <c r="K1985" s="2"/>
      <c r="L1985" s="10"/>
      <c r="M1985" s="9"/>
      <c r="N1985" s="2"/>
      <c r="O1985" s="2"/>
      <c r="P1985" s="2"/>
      <c r="Q1985" s="50"/>
      <c r="R1985" s="50"/>
      <c r="S1985" s="2">
        <f>IFERROR(VLOOKUP(A1985,IMPORT_DESISTENCIA!$A$2:$Q2273,14,0),"NÃO")</f>
        <v>0</v>
      </c>
      <c r="T1985" s="35"/>
    </row>
    <row r="1986" spans="1:20" ht="45" customHeight="1" x14ac:dyDescent="0.25">
      <c r="A1986" s="2" t="str">
        <f t="shared" si="1"/>
        <v/>
      </c>
      <c r="B1986" s="2"/>
      <c r="C1986" s="43"/>
      <c r="D1986" s="2"/>
      <c r="E1986" s="2"/>
      <c r="F1986" s="2"/>
      <c r="G1986" s="11"/>
      <c r="H1986" s="11"/>
      <c r="I1986" s="2"/>
      <c r="J1986" s="2"/>
      <c r="K1986" s="2"/>
      <c r="L1986" s="10"/>
      <c r="M1986" s="9"/>
      <c r="N1986" s="2"/>
      <c r="O1986" s="2"/>
      <c r="P1986" s="2"/>
      <c r="Q1986" s="50"/>
      <c r="R1986" s="50"/>
      <c r="S1986" s="2">
        <f>IFERROR(VLOOKUP(A1986,IMPORT_DESISTENCIA!$A$2:$Q2273,14,0),"NÃO")</f>
        <v>0</v>
      </c>
      <c r="T1986" s="35"/>
    </row>
    <row r="1987" spans="1:20" ht="45" customHeight="1" x14ac:dyDescent="0.25">
      <c r="A1987" s="2" t="str">
        <f t="shared" si="1"/>
        <v/>
      </c>
      <c r="B1987" s="2"/>
      <c r="C1987" s="43"/>
      <c r="D1987" s="2"/>
      <c r="E1987" s="2"/>
      <c r="F1987" s="2"/>
      <c r="G1987" s="11"/>
      <c r="H1987" s="11"/>
      <c r="I1987" s="2"/>
      <c r="J1987" s="2"/>
      <c r="K1987" s="2"/>
      <c r="L1987" s="10"/>
      <c r="M1987" s="9"/>
      <c r="N1987" s="2"/>
      <c r="O1987" s="2"/>
      <c r="P1987" s="2"/>
      <c r="Q1987" s="50"/>
      <c r="R1987" s="50"/>
      <c r="S1987" s="2">
        <f>IFERROR(VLOOKUP(A1987,IMPORT_DESISTENCIA!$A$2:$Q2273,14,0),"NÃO")</f>
        <v>0</v>
      </c>
      <c r="T1987" s="35"/>
    </row>
    <row r="1988" spans="1:20" ht="45" customHeight="1" x14ac:dyDescent="0.25">
      <c r="A1988" s="2" t="str">
        <f t="shared" si="1"/>
        <v/>
      </c>
      <c r="B1988" s="2"/>
      <c r="C1988" s="43"/>
      <c r="D1988" s="2"/>
      <c r="E1988" s="2"/>
      <c r="F1988" s="2"/>
      <c r="G1988" s="11"/>
      <c r="H1988" s="11"/>
      <c r="I1988" s="2"/>
      <c r="J1988" s="2"/>
      <c r="K1988" s="2"/>
      <c r="L1988" s="10"/>
      <c r="M1988" s="9"/>
      <c r="N1988" s="2"/>
      <c r="O1988" s="2"/>
      <c r="P1988" s="2"/>
      <c r="Q1988" s="50"/>
      <c r="R1988" s="50"/>
      <c r="S1988" s="2">
        <f>IFERROR(VLOOKUP(A1988,IMPORT_DESISTENCIA!$A$2:$Q2273,14,0),"NÃO")</f>
        <v>0</v>
      </c>
      <c r="T1988" s="35"/>
    </row>
    <row r="1989" spans="1:20" ht="45" customHeight="1" x14ac:dyDescent="0.25">
      <c r="A1989" s="2" t="str">
        <f t="shared" si="1"/>
        <v/>
      </c>
      <c r="B1989" s="2"/>
      <c r="C1989" s="43"/>
      <c r="D1989" s="2"/>
      <c r="E1989" s="2"/>
      <c r="F1989" s="2"/>
      <c r="G1989" s="11"/>
      <c r="H1989" s="11"/>
      <c r="I1989" s="2"/>
      <c r="J1989" s="2"/>
      <c r="K1989" s="2"/>
      <c r="L1989" s="10"/>
      <c r="M1989" s="9"/>
      <c r="N1989" s="2"/>
      <c r="O1989" s="2"/>
      <c r="P1989" s="2"/>
      <c r="Q1989" s="50"/>
      <c r="R1989" s="50"/>
      <c r="S1989" s="2">
        <f>IFERROR(VLOOKUP(A1989,IMPORT_DESISTENCIA!$A$2:$Q2273,14,0),"NÃO")</f>
        <v>0</v>
      </c>
      <c r="T1989" s="35"/>
    </row>
    <row r="1990" spans="1:20" ht="45" customHeight="1" x14ac:dyDescent="0.25">
      <c r="A1990" s="2" t="str">
        <f t="shared" si="1"/>
        <v/>
      </c>
      <c r="B1990" s="2"/>
      <c r="C1990" s="43"/>
      <c r="D1990" s="2"/>
      <c r="E1990" s="2"/>
      <c r="F1990" s="2"/>
      <c r="G1990" s="11"/>
      <c r="H1990" s="11"/>
      <c r="I1990" s="2"/>
      <c r="J1990" s="2"/>
      <c r="K1990" s="2"/>
      <c r="L1990" s="10"/>
      <c r="M1990" s="9"/>
      <c r="N1990" s="2"/>
      <c r="O1990" s="2"/>
      <c r="P1990" s="2"/>
      <c r="Q1990" s="50"/>
      <c r="R1990" s="50"/>
      <c r="S1990" s="2">
        <f>IFERROR(VLOOKUP(A1990,IMPORT_DESISTENCIA!$A$2:$Q2273,14,0),"NÃO")</f>
        <v>0</v>
      </c>
      <c r="T1990" s="35"/>
    </row>
    <row r="1991" spans="1:20" ht="45" customHeight="1" x14ac:dyDescent="0.25">
      <c r="A1991" s="2" t="str">
        <f t="shared" si="1"/>
        <v/>
      </c>
      <c r="B1991" s="2"/>
      <c r="C1991" s="43"/>
      <c r="D1991" s="2"/>
      <c r="E1991" s="2"/>
      <c r="F1991" s="2"/>
      <c r="G1991" s="11"/>
      <c r="H1991" s="11"/>
      <c r="I1991" s="2"/>
      <c r="J1991" s="2"/>
      <c r="K1991" s="2"/>
      <c r="L1991" s="10"/>
      <c r="M1991" s="9"/>
      <c r="N1991" s="2"/>
      <c r="O1991" s="2"/>
      <c r="P1991" s="2"/>
      <c r="Q1991" s="50"/>
      <c r="R1991" s="50"/>
      <c r="S1991" s="2">
        <f>IFERROR(VLOOKUP(A1991,IMPORT_DESISTENCIA!$A$2:$Q2273,14,0),"NÃO")</f>
        <v>0</v>
      </c>
      <c r="T1991" s="35"/>
    </row>
    <row r="1992" spans="1:20" ht="45" customHeight="1" x14ac:dyDescent="0.25">
      <c r="A1992" s="2" t="str">
        <f t="shared" si="1"/>
        <v/>
      </c>
      <c r="B1992" s="2"/>
      <c r="C1992" s="43"/>
      <c r="D1992" s="2"/>
      <c r="E1992" s="2"/>
      <c r="F1992" s="2"/>
      <c r="G1992" s="11"/>
      <c r="H1992" s="11"/>
      <c r="I1992" s="2"/>
      <c r="J1992" s="2"/>
      <c r="K1992" s="2"/>
      <c r="L1992" s="10"/>
      <c r="M1992" s="9"/>
      <c r="N1992" s="2"/>
      <c r="O1992" s="2"/>
      <c r="P1992" s="2"/>
      <c r="Q1992" s="50"/>
      <c r="R1992" s="50"/>
      <c r="S1992" s="2">
        <f>IFERROR(VLOOKUP(A1992,IMPORT_DESISTENCIA!$A$2:$Q2273,14,0),"NÃO")</f>
        <v>0</v>
      </c>
      <c r="T1992" s="35"/>
    </row>
    <row r="1993" spans="1:20" ht="45" customHeight="1" x14ac:dyDescent="0.25">
      <c r="A1993" s="2" t="str">
        <f t="shared" si="1"/>
        <v/>
      </c>
      <c r="B1993" s="2"/>
      <c r="C1993" s="43"/>
      <c r="D1993" s="2"/>
      <c r="E1993" s="2"/>
      <c r="F1993" s="2"/>
      <c r="G1993" s="11"/>
      <c r="H1993" s="11"/>
      <c r="I1993" s="2"/>
      <c r="J1993" s="2"/>
      <c r="K1993" s="2"/>
      <c r="L1993" s="10"/>
      <c r="M1993" s="9"/>
      <c r="N1993" s="2"/>
      <c r="O1993" s="2"/>
      <c r="P1993" s="2"/>
      <c r="Q1993" s="50"/>
      <c r="R1993" s="50"/>
      <c r="S1993" s="2">
        <f>IFERROR(VLOOKUP(A1993,IMPORT_DESISTENCIA!$A$2:$Q2273,14,0),"NÃO")</f>
        <v>0</v>
      </c>
      <c r="T1993" s="35"/>
    </row>
    <row r="1994" spans="1:20" ht="45" customHeight="1" x14ac:dyDescent="0.25">
      <c r="A1994" s="2" t="str">
        <f t="shared" si="1"/>
        <v/>
      </c>
      <c r="B1994" s="2"/>
      <c r="C1994" s="43"/>
      <c r="D1994" s="2"/>
      <c r="E1994" s="2"/>
      <c r="F1994" s="2"/>
      <c r="G1994" s="11"/>
      <c r="H1994" s="11"/>
      <c r="I1994" s="2"/>
      <c r="J1994" s="2"/>
      <c r="K1994" s="2"/>
      <c r="L1994" s="10"/>
      <c r="M1994" s="9"/>
      <c r="N1994" s="2"/>
      <c r="O1994" s="2"/>
      <c r="P1994" s="2"/>
      <c r="Q1994" s="50"/>
      <c r="R1994" s="50"/>
      <c r="S1994" s="2">
        <f>IFERROR(VLOOKUP(A1994,IMPORT_DESISTENCIA!$A$2:$Q2273,14,0),"NÃO")</f>
        <v>0</v>
      </c>
      <c r="T1994" s="35"/>
    </row>
    <row r="1995" spans="1:20" ht="45" customHeight="1" x14ac:dyDescent="0.25">
      <c r="A1995" s="2" t="str">
        <f t="shared" si="1"/>
        <v/>
      </c>
      <c r="B1995" s="2"/>
      <c r="C1995" s="43"/>
      <c r="D1995" s="2"/>
      <c r="E1995" s="2"/>
      <c r="F1995" s="2"/>
      <c r="G1995" s="11"/>
      <c r="H1995" s="11"/>
      <c r="I1995" s="2"/>
      <c r="J1995" s="2"/>
      <c r="K1995" s="2"/>
      <c r="L1995" s="10"/>
      <c r="M1995" s="9"/>
      <c r="N1995" s="2"/>
      <c r="O1995" s="2"/>
      <c r="P1995" s="2"/>
      <c r="Q1995" s="50"/>
      <c r="R1995" s="50"/>
      <c r="S1995" s="2">
        <f>IFERROR(VLOOKUP(A1995,IMPORT_DESISTENCIA!$A$2:$Q2273,14,0),"NÃO")</f>
        <v>0</v>
      </c>
      <c r="T1995" s="35"/>
    </row>
    <row r="1996" spans="1:20" ht="45" customHeight="1" x14ac:dyDescent="0.25">
      <c r="A1996" s="2" t="str">
        <f t="shared" si="1"/>
        <v/>
      </c>
      <c r="B1996" s="2"/>
      <c r="C1996" s="43"/>
      <c r="D1996" s="2"/>
      <c r="E1996" s="2"/>
      <c r="F1996" s="2"/>
      <c r="G1996" s="11"/>
      <c r="H1996" s="11"/>
      <c r="I1996" s="2"/>
      <c r="J1996" s="2"/>
      <c r="K1996" s="2"/>
      <c r="L1996" s="10"/>
      <c r="M1996" s="9"/>
      <c r="N1996" s="2"/>
      <c r="O1996" s="2"/>
      <c r="P1996" s="2"/>
      <c r="Q1996" s="50"/>
      <c r="R1996" s="50"/>
      <c r="S1996" s="2">
        <f>IFERROR(VLOOKUP(A1996,IMPORT_DESISTENCIA!$A$2:$Q2273,14,0),"NÃO")</f>
        <v>0</v>
      </c>
      <c r="T1996" s="35"/>
    </row>
    <row r="1997" spans="1:20" ht="45" customHeight="1" x14ac:dyDescent="0.25">
      <c r="A1997" s="2" t="str">
        <f t="shared" si="1"/>
        <v/>
      </c>
      <c r="B1997" s="2"/>
      <c r="C1997" s="43"/>
      <c r="D1997" s="2"/>
      <c r="E1997" s="2"/>
      <c r="F1997" s="2"/>
      <c r="G1997" s="11"/>
      <c r="H1997" s="11"/>
      <c r="I1997" s="2"/>
      <c r="J1997" s="2"/>
      <c r="K1997" s="2"/>
      <c r="L1997" s="10"/>
      <c r="M1997" s="9"/>
      <c r="N1997" s="2"/>
      <c r="O1997" s="2"/>
      <c r="P1997" s="2"/>
      <c r="Q1997" s="50"/>
      <c r="R1997" s="50"/>
      <c r="S1997" s="2">
        <f>IFERROR(VLOOKUP(A1997,IMPORT_DESISTENCIA!$A$2:$Q2273,14,0),"NÃO")</f>
        <v>0</v>
      </c>
      <c r="T1997" s="35"/>
    </row>
    <row r="1998" spans="1:20" ht="45" customHeight="1" x14ac:dyDescent="0.25">
      <c r="A1998" s="2" t="str">
        <f t="shared" si="1"/>
        <v/>
      </c>
      <c r="B1998" s="2"/>
      <c r="C1998" s="43"/>
      <c r="D1998" s="2"/>
      <c r="E1998" s="2"/>
      <c r="F1998" s="2"/>
      <c r="G1998" s="11"/>
      <c r="H1998" s="11"/>
      <c r="I1998" s="2"/>
      <c r="J1998" s="2"/>
      <c r="K1998" s="2"/>
      <c r="L1998" s="10"/>
      <c r="M1998" s="9"/>
      <c r="N1998" s="2"/>
      <c r="O1998" s="2"/>
      <c r="P1998" s="2"/>
      <c r="Q1998" s="50"/>
      <c r="R1998" s="50"/>
      <c r="S1998" s="2">
        <f>IFERROR(VLOOKUP(A1998,IMPORT_DESISTENCIA!$A$2:$Q2273,14,0),"NÃO")</f>
        <v>0</v>
      </c>
      <c r="T1998" s="35"/>
    </row>
    <row r="1999" spans="1:20" ht="45" customHeight="1" x14ac:dyDescent="0.25">
      <c r="A1999" s="2" t="str">
        <f t="shared" si="1"/>
        <v/>
      </c>
      <c r="B1999" s="2"/>
      <c r="C1999" s="43"/>
      <c r="D1999" s="2"/>
      <c r="E1999" s="2"/>
      <c r="F1999" s="2"/>
      <c r="G1999" s="11"/>
      <c r="H1999" s="11"/>
      <c r="I1999" s="2"/>
      <c r="J1999" s="2"/>
      <c r="K1999" s="2"/>
      <c r="L1999" s="10"/>
      <c r="M1999" s="9"/>
      <c r="N1999" s="2"/>
      <c r="O1999" s="2"/>
      <c r="P1999" s="2"/>
      <c r="Q1999" s="50"/>
      <c r="R1999" s="50"/>
      <c r="S1999" s="2">
        <f>IFERROR(VLOOKUP(A1999,IMPORT_DESISTENCIA!$A$2:$Q2273,14,0),"NÃO")</f>
        <v>0</v>
      </c>
      <c r="T1999" s="35"/>
    </row>
    <row r="2000" spans="1:20" ht="45" customHeight="1" x14ac:dyDescent="0.25">
      <c r="A2000" s="2" t="str">
        <f t="shared" si="1"/>
        <v/>
      </c>
      <c r="B2000" s="2"/>
      <c r="C2000" s="43"/>
      <c r="D2000" s="2"/>
      <c r="E2000" s="2"/>
      <c r="F2000" s="2"/>
      <c r="G2000" s="11"/>
      <c r="H2000" s="11"/>
      <c r="I2000" s="2"/>
      <c r="J2000" s="2"/>
      <c r="K2000" s="2"/>
      <c r="L2000" s="10"/>
      <c r="M2000" s="9"/>
      <c r="N2000" s="2"/>
      <c r="O2000" s="2"/>
      <c r="P2000" s="2"/>
      <c r="Q2000" s="50"/>
      <c r="R2000" s="50"/>
      <c r="S2000" s="2">
        <f>IFERROR(VLOOKUP(A2000,IMPORT_DESISTENCIA!$A$2:$Q2273,14,0),"NÃO")</f>
        <v>0</v>
      </c>
      <c r="T2000" s="35"/>
    </row>
    <row r="2001" spans="1:20" ht="45" customHeight="1" x14ac:dyDescent="0.25">
      <c r="A2001" s="2" t="str">
        <f t="shared" si="1"/>
        <v/>
      </c>
      <c r="B2001" s="2"/>
      <c r="C2001" s="43"/>
      <c r="D2001" s="2"/>
      <c r="E2001" s="2"/>
      <c r="F2001" s="2"/>
      <c r="G2001" s="11"/>
      <c r="H2001" s="11"/>
      <c r="I2001" s="2"/>
      <c r="J2001" s="2"/>
      <c r="K2001" s="2"/>
      <c r="L2001" s="10"/>
      <c r="M2001" s="9"/>
      <c r="N2001" s="2"/>
      <c r="O2001" s="2"/>
      <c r="P2001" s="2"/>
      <c r="Q2001" s="50"/>
      <c r="R2001" s="50"/>
      <c r="S2001" s="2">
        <f>IFERROR(VLOOKUP(A2001,IMPORT_DESISTENCIA!$A$2:$Q2273,14,0),"NÃO")</f>
        <v>0</v>
      </c>
      <c r="T2001" s="35"/>
    </row>
    <row r="2002" spans="1:20" ht="45" customHeight="1" x14ac:dyDescent="0.25">
      <c r="A2002" s="2" t="str">
        <f t="shared" si="1"/>
        <v/>
      </c>
      <c r="B2002" s="2"/>
      <c r="C2002" s="43"/>
      <c r="D2002" s="2"/>
      <c r="E2002" s="2"/>
      <c r="F2002" s="2"/>
      <c r="G2002" s="11"/>
      <c r="H2002" s="11"/>
      <c r="I2002" s="2"/>
      <c r="J2002" s="2"/>
      <c r="K2002" s="2"/>
      <c r="L2002" s="10"/>
      <c r="M2002" s="9"/>
      <c r="N2002" s="2"/>
      <c r="O2002" s="2"/>
      <c r="P2002" s="2"/>
      <c r="Q2002" s="50"/>
      <c r="R2002" s="50"/>
      <c r="S2002" s="2">
        <f>IFERROR(VLOOKUP(A2002,IMPORT_DESISTENCIA!$A$2:$Q2273,14,0),"NÃO")</f>
        <v>0</v>
      </c>
      <c r="T2002" s="35"/>
    </row>
    <row r="2003" spans="1:20" ht="45" customHeight="1" x14ac:dyDescent="0.25">
      <c r="A2003" s="2" t="str">
        <f t="shared" si="1"/>
        <v/>
      </c>
      <c r="B2003" s="2"/>
      <c r="C2003" s="43"/>
      <c r="D2003" s="2"/>
      <c r="E2003" s="2"/>
      <c r="F2003" s="2"/>
      <c r="G2003" s="11"/>
      <c r="H2003" s="11"/>
      <c r="I2003" s="2"/>
      <c r="J2003" s="2"/>
      <c r="K2003" s="2"/>
      <c r="L2003" s="10"/>
      <c r="M2003" s="9"/>
      <c r="N2003" s="2"/>
      <c r="O2003" s="2"/>
      <c r="P2003" s="2"/>
      <c r="Q2003" s="50"/>
      <c r="R2003" s="50"/>
      <c r="S2003" s="2">
        <f>IFERROR(VLOOKUP(A2003,IMPORT_DESISTENCIA!$A$2:$Q2273,14,0),"NÃO")</f>
        <v>0</v>
      </c>
      <c r="T2003" s="35"/>
    </row>
    <row r="2004" spans="1:20" ht="45" customHeight="1" x14ac:dyDescent="0.25">
      <c r="A2004" s="2" t="str">
        <f t="shared" si="1"/>
        <v/>
      </c>
      <c r="B2004" s="2"/>
      <c r="C2004" s="43"/>
      <c r="D2004" s="2"/>
      <c r="E2004" s="2"/>
      <c r="F2004" s="2"/>
      <c r="G2004" s="11"/>
      <c r="H2004" s="11"/>
      <c r="I2004" s="2"/>
      <c r="J2004" s="2"/>
      <c r="K2004" s="2"/>
      <c r="L2004" s="10"/>
      <c r="M2004" s="9"/>
      <c r="N2004" s="2"/>
      <c r="O2004" s="2"/>
      <c r="P2004" s="2"/>
      <c r="Q2004" s="50"/>
      <c r="R2004" s="50"/>
      <c r="S2004" s="2">
        <f>IFERROR(VLOOKUP(A2004,IMPORT_DESISTENCIA!$A$2:$Q2273,14,0),"NÃO")</f>
        <v>0</v>
      </c>
      <c r="T2004" s="35"/>
    </row>
    <row r="2005" spans="1:20" ht="45" customHeight="1" x14ac:dyDescent="0.25">
      <c r="A2005" s="2" t="str">
        <f t="shared" si="1"/>
        <v/>
      </c>
      <c r="B2005" s="2"/>
      <c r="C2005" s="43"/>
      <c r="D2005" s="2"/>
      <c r="E2005" s="2"/>
      <c r="F2005" s="2"/>
      <c r="G2005" s="11"/>
      <c r="H2005" s="11"/>
      <c r="I2005" s="2"/>
      <c r="J2005" s="2"/>
      <c r="K2005" s="2"/>
      <c r="L2005" s="10"/>
      <c r="M2005" s="9"/>
      <c r="N2005" s="2"/>
      <c r="O2005" s="2"/>
      <c r="P2005" s="2"/>
      <c r="Q2005" s="50"/>
      <c r="R2005" s="50"/>
      <c r="S2005" s="2">
        <f>IFERROR(VLOOKUP(A2005,IMPORT_DESISTENCIA!$A$2:$Q2273,14,0),"NÃO")</f>
        <v>0</v>
      </c>
      <c r="T2005" s="35"/>
    </row>
    <row r="2006" spans="1:20" ht="45" customHeight="1" x14ac:dyDescent="0.25">
      <c r="A2006" s="2" t="str">
        <f t="shared" si="1"/>
        <v/>
      </c>
      <c r="B2006" s="2"/>
      <c r="C2006" s="43"/>
      <c r="D2006" s="2"/>
      <c r="E2006" s="2"/>
      <c r="F2006" s="2"/>
      <c r="G2006" s="11"/>
      <c r="H2006" s="11"/>
      <c r="I2006" s="2"/>
      <c r="J2006" s="2"/>
      <c r="K2006" s="2"/>
      <c r="L2006" s="10"/>
      <c r="M2006" s="9"/>
      <c r="N2006" s="2"/>
      <c r="O2006" s="2"/>
      <c r="P2006" s="2"/>
      <c r="Q2006" s="50"/>
      <c r="R2006" s="50"/>
      <c r="S2006" s="2">
        <f>IFERROR(VLOOKUP(A2006,IMPORT_DESISTENCIA!$A$2:$Q2273,14,0),"NÃO")</f>
        <v>0</v>
      </c>
      <c r="T2006" s="35"/>
    </row>
    <row r="2007" spans="1:20" ht="45" customHeight="1" x14ac:dyDescent="0.25">
      <c r="A2007" s="2" t="str">
        <f t="shared" si="1"/>
        <v/>
      </c>
      <c r="B2007" s="2"/>
      <c r="C2007" s="43"/>
      <c r="D2007" s="2"/>
      <c r="E2007" s="2"/>
      <c r="F2007" s="2"/>
      <c r="G2007" s="11"/>
      <c r="H2007" s="11"/>
      <c r="I2007" s="2"/>
      <c r="J2007" s="2"/>
      <c r="K2007" s="2"/>
      <c r="L2007" s="10"/>
      <c r="M2007" s="9"/>
      <c r="N2007" s="2"/>
      <c r="O2007" s="2"/>
      <c r="P2007" s="2"/>
      <c r="Q2007" s="50"/>
      <c r="R2007" s="50"/>
      <c r="S2007" s="2">
        <f>IFERROR(VLOOKUP(A2007,IMPORT_DESISTENCIA!$A$2:$Q2273,14,0),"NÃO")</f>
        <v>0</v>
      </c>
      <c r="T2007" s="35"/>
    </row>
    <row r="2008" spans="1:20" ht="45" customHeight="1" x14ac:dyDescent="0.25">
      <c r="A2008" s="2" t="str">
        <f t="shared" si="1"/>
        <v/>
      </c>
      <c r="B2008" s="2"/>
      <c r="C2008" s="43"/>
      <c r="D2008" s="2"/>
      <c r="E2008" s="2"/>
      <c r="F2008" s="2"/>
      <c r="G2008" s="11"/>
      <c r="H2008" s="11"/>
      <c r="I2008" s="2"/>
      <c r="J2008" s="2"/>
      <c r="K2008" s="2"/>
      <c r="L2008" s="10"/>
      <c r="M2008" s="9"/>
      <c r="N2008" s="2"/>
      <c r="O2008" s="2"/>
      <c r="P2008" s="2"/>
      <c r="Q2008" s="50"/>
      <c r="R2008" s="50"/>
      <c r="S2008" s="2">
        <f>IFERROR(VLOOKUP(A2008,IMPORT_DESISTENCIA!$A$2:$Q2273,14,0),"NÃO")</f>
        <v>0</v>
      </c>
      <c r="T2008" s="35"/>
    </row>
    <row r="2009" spans="1:20" ht="45" customHeight="1" x14ac:dyDescent="0.25">
      <c r="A2009" s="2" t="str">
        <f t="shared" si="1"/>
        <v/>
      </c>
      <c r="B2009" s="2"/>
      <c r="C2009" s="43"/>
      <c r="D2009" s="2"/>
      <c r="E2009" s="2"/>
      <c r="F2009" s="2"/>
      <c r="G2009" s="11"/>
      <c r="H2009" s="11"/>
      <c r="I2009" s="2"/>
      <c r="J2009" s="2"/>
      <c r="K2009" s="2"/>
      <c r="L2009" s="10"/>
      <c r="M2009" s="9"/>
      <c r="N2009" s="2"/>
      <c r="O2009" s="2"/>
      <c r="P2009" s="2"/>
      <c r="Q2009" s="50"/>
      <c r="R2009" s="50"/>
      <c r="S2009" s="2">
        <f>IFERROR(VLOOKUP(A2009,IMPORT_DESISTENCIA!$A$2:$Q2273,14,0),"NÃO")</f>
        <v>0</v>
      </c>
      <c r="T2009" s="35"/>
    </row>
    <row r="2010" spans="1:20" ht="45" customHeight="1" x14ac:dyDescent="0.25">
      <c r="A2010" s="2" t="str">
        <f t="shared" si="1"/>
        <v/>
      </c>
      <c r="B2010" s="2"/>
      <c r="C2010" s="43"/>
      <c r="D2010" s="2"/>
      <c r="E2010" s="2"/>
      <c r="F2010" s="2"/>
      <c r="G2010" s="11"/>
      <c r="H2010" s="11"/>
      <c r="I2010" s="2"/>
      <c r="J2010" s="2"/>
      <c r="K2010" s="2"/>
      <c r="L2010" s="10"/>
      <c r="M2010" s="9"/>
      <c r="N2010" s="2"/>
      <c r="O2010" s="2"/>
      <c r="P2010" s="2"/>
      <c r="Q2010" s="50"/>
      <c r="R2010" s="50"/>
      <c r="S2010" s="2">
        <f>IFERROR(VLOOKUP(A2010,IMPORT_DESISTENCIA!$A$2:$Q2273,14,0),"NÃO")</f>
        <v>0</v>
      </c>
      <c r="T2010" s="35"/>
    </row>
    <row r="2011" spans="1:20" ht="45" customHeight="1" x14ac:dyDescent="0.25">
      <c r="A2011" s="2" t="str">
        <f t="shared" si="1"/>
        <v/>
      </c>
      <c r="B2011" s="2"/>
      <c r="C2011" s="43"/>
      <c r="D2011" s="2"/>
      <c r="E2011" s="2"/>
      <c r="F2011" s="2"/>
      <c r="G2011" s="11"/>
      <c r="H2011" s="11"/>
      <c r="I2011" s="2"/>
      <c r="J2011" s="2"/>
      <c r="K2011" s="2"/>
      <c r="L2011" s="10"/>
      <c r="M2011" s="9"/>
      <c r="N2011" s="2"/>
      <c r="O2011" s="2"/>
      <c r="P2011" s="2"/>
      <c r="Q2011" s="50"/>
      <c r="R2011" s="50"/>
      <c r="S2011" s="2">
        <f>IFERROR(VLOOKUP(A2011,IMPORT_DESISTENCIA!$A$2:$Q2273,14,0),"NÃO")</f>
        <v>0</v>
      </c>
      <c r="T2011" s="35"/>
    </row>
    <row r="2012" spans="1:20" ht="45" customHeight="1" x14ac:dyDescent="0.25">
      <c r="A2012" s="2" t="str">
        <f t="shared" si="1"/>
        <v/>
      </c>
      <c r="B2012" s="2"/>
      <c r="C2012" s="43"/>
      <c r="D2012" s="2"/>
      <c r="E2012" s="2"/>
      <c r="F2012" s="2"/>
      <c r="G2012" s="11"/>
      <c r="H2012" s="11"/>
      <c r="I2012" s="2"/>
      <c r="J2012" s="2"/>
      <c r="K2012" s="2"/>
      <c r="L2012" s="10"/>
      <c r="M2012" s="9"/>
      <c r="N2012" s="2"/>
      <c r="O2012" s="2"/>
      <c r="P2012" s="2"/>
      <c r="Q2012" s="50"/>
      <c r="R2012" s="50"/>
      <c r="S2012" s="2">
        <f>IFERROR(VLOOKUP(A2012,IMPORT_DESISTENCIA!$A$2:$Q2273,14,0),"NÃO")</f>
        <v>0</v>
      </c>
      <c r="T2012" s="35"/>
    </row>
    <row r="2013" spans="1:20" ht="45" customHeight="1" x14ac:dyDescent="0.25">
      <c r="A2013" s="2" t="str">
        <f t="shared" si="1"/>
        <v/>
      </c>
      <c r="B2013" s="2"/>
      <c r="C2013" s="43"/>
      <c r="D2013" s="2"/>
      <c r="E2013" s="2"/>
      <c r="F2013" s="2"/>
      <c r="G2013" s="11"/>
      <c r="H2013" s="11"/>
      <c r="I2013" s="2"/>
      <c r="J2013" s="2"/>
      <c r="K2013" s="2"/>
      <c r="L2013" s="10"/>
      <c r="M2013" s="9"/>
      <c r="N2013" s="2"/>
      <c r="O2013" s="2"/>
      <c r="P2013" s="2"/>
      <c r="Q2013" s="50"/>
      <c r="R2013" s="50"/>
      <c r="S2013" s="2">
        <f>IFERROR(VLOOKUP(A2013,IMPORT_DESISTENCIA!$A$2:$Q2273,14,0),"NÃO")</f>
        <v>0</v>
      </c>
      <c r="T2013" s="35"/>
    </row>
    <row r="2014" spans="1:20" ht="45" customHeight="1" x14ac:dyDescent="0.25">
      <c r="A2014" s="2" t="str">
        <f t="shared" si="1"/>
        <v/>
      </c>
      <c r="B2014" s="2"/>
      <c r="C2014" s="43"/>
      <c r="D2014" s="2"/>
      <c r="E2014" s="2"/>
      <c r="F2014" s="2"/>
      <c r="G2014" s="11"/>
      <c r="H2014" s="11"/>
      <c r="I2014" s="2"/>
      <c r="J2014" s="2"/>
      <c r="K2014" s="2"/>
      <c r="L2014" s="10"/>
      <c r="M2014" s="9"/>
      <c r="N2014" s="2"/>
      <c r="O2014" s="2"/>
      <c r="P2014" s="2"/>
      <c r="Q2014" s="50"/>
      <c r="R2014" s="50"/>
      <c r="S2014" s="2">
        <f>IFERROR(VLOOKUP(A2014,IMPORT_DESISTENCIA!$A$2:$Q2273,14,0),"NÃO")</f>
        <v>0</v>
      </c>
      <c r="T2014" s="35"/>
    </row>
    <row r="2015" spans="1:20" ht="45" customHeight="1" x14ac:dyDescent="0.25">
      <c r="A2015" s="2" t="str">
        <f t="shared" si="1"/>
        <v/>
      </c>
      <c r="B2015" s="2"/>
      <c r="C2015" s="43"/>
      <c r="D2015" s="2"/>
      <c r="E2015" s="2"/>
      <c r="F2015" s="2"/>
      <c r="G2015" s="11"/>
      <c r="H2015" s="11"/>
      <c r="I2015" s="2"/>
      <c r="J2015" s="2"/>
      <c r="K2015" s="2"/>
      <c r="L2015" s="10"/>
      <c r="M2015" s="9"/>
      <c r="N2015" s="2"/>
      <c r="O2015" s="2"/>
      <c r="P2015" s="2"/>
      <c r="Q2015" s="50"/>
      <c r="R2015" s="50"/>
      <c r="S2015" s="2">
        <f>IFERROR(VLOOKUP(A2015,IMPORT_DESISTENCIA!$A$2:$Q2273,14,0),"NÃO")</f>
        <v>0</v>
      </c>
      <c r="T2015" s="35"/>
    </row>
    <row r="2016" spans="1:20" ht="45" customHeight="1" x14ac:dyDescent="0.25">
      <c r="A2016" s="2" t="str">
        <f t="shared" si="1"/>
        <v/>
      </c>
      <c r="B2016" s="2"/>
      <c r="C2016" s="43"/>
      <c r="D2016" s="2"/>
      <c r="E2016" s="2"/>
      <c r="F2016" s="2"/>
      <c r="G2016" s="11"/>
      <c r="H2016" s="11"/>
      <c r="I2016" s="2"/>
      <c r="J2016" s="2"/>
      <c r="K2016" s="2"/>
      <c r="L2016" s="10"/>
      <c r="M2016" s="9"/>
      <c r="N2016" s="2"/>
      <c r="O2016" s="2"/>
      <c r="P2016" s="2"/>
      <c r="Q2016" s="50"/>
      <c r="R2016" s="50"/>
      <c r="S2016" s="2">
        <f>IFERROR(VLOOKUP(A2016,IMPORT_DESISTENCIA!$A$2:$Q2273,14,0),"NÃO")</f>
        <v>0</v>
      </c>
      <c r="T2016" s="35"/>
    </row>
    <row r="2017" spans="1:20" ht="45" customHeight="1" x14ac:dyDescent="0.25">
      <c r="A2017" s="2" t="str">
        <f t="shared" si="1"/>
        <v/>
      </c>
      <c r="B2017" s="2"/>
      <c r="C2017" s="43"/>
      <c r="D2017" s="2"/>
      <c r="E2017" s="2"/>
      <c r="F2017" s="2"/>
      <c r="G2017" s="11"/>
      <c r="H2017" s="11"/>
      <c r="I2017" s="2"/>
      <c r="J2017" s="2"/>
      <c r="K2017" s="2"/>
      <c r="L2017" s="10"/>
      <c r="M2017" s="9"/>
      <c r="N2017" s="2"/>
      <c r="O2017" s="2"/>
      <c r="P2017" s="2"/>
      <c r="Q2017" s="50"/>
      <c r="R2017" s="50"/>
      <c r="S2017" s="2">
        <f>IFERROR(VLOOKUP(A2017,IMPORT_DESISTENCIA!$A$2:$Q2273,14,0),"NÃO")</f>
        <v>0</v>
      </c>
      <c r="T2017" s="35"/>
    </row>
    <row r="2018" spans="1:20" ht="45" customHeight="1" x14ac:dyDescent="0.25">
      <c r="A2018" s="2" t="str">
        <f t="shared" si="1"/>
        <v/>
      </c>
      <c r="B2018" s="2"/>
      <c r="C2018" s="43"/>
      <c r="D2018" s="2"/>
      <c r="E2018" s="2"/>
      <c r="F2018" s="2"/>
      <c r="G2018" s="11"/>
      <c r="H2018" s="11"/>
      <c r="I2018" s="2"/>
      <c r="J2018" s="2"/>
      <c r="K2018" s="2"/>
      <c r="L2018" s="10"/>
      <c r="M2018" s="9"/>
      <c r="N2018" s="2"/>
      <c r="O2018" s="2"/>
      <c r="P2018" s="2"/>
      <c r="Q2018" s="50"/>
      <c r="R2018" s="50"/>
      <c r="S2018" s="2">
        <f>IFERROR(VLOOKUP(A2018,IMPORT_DESISTENCIA!$A$2:$Q2273,14,0),"NÃO")</f>
        <v>0</v>
      </c>
      <c r="T2018" s="35"/>
    </row>
    <row r="2019" spans="1:20" ht="45" customHeight="1" x14ac:dyDescent="0.25">
      <c r="A2019" s="2" t="str">
        <f t="shared" si="1"/>
        <v/>
      </c>
      <c r="B2019" s="2"/>
      <c r="C2019" s="43"/>
      <c r="D2019" s="2"/>
      <c r="E2019" s="2"/>
      <c r="F2019" s="2"/>
      <c r="G2019" s="11"/>
      <c r="H2019" s="11"/>
      <c r="I2019" s="2"/>
      <c r="J2019" s="2"/>
      <c r="K2019" s="2"/>
      <c r="L2019" s="10"/>
      <c r="M2019" s="9"/>
      <c r="N2019" s="2"/>
      <c r="O2019" s="2"/>
      <c r="P2019" s="2"/>
      <c r="Q2019" s="50"/>
      <c r="R2019" s="50"/>
      <c r="S2019" s="2">
        <f>IFERROR(VLOOKUP(A2019,IMPORT_DESISTENCIA!$A$2:$Q2273,14,0),"NÃO")</f>
        <v>0</v>
      </c>
      <c r="T2019" s="35"/>
    </row>
    <row r="2020" spans="1:20" ht="45" customHeight="1" x14ac:dyDescent="0.25">
      <c r="A2020" s="2" t="str">
        <f t="shared" si="1"/>
        <v/>
      </c>
      <c r="B2020" s="2"/>
      <c r="C2020" s="43"/>
      <c r="D2020" s="2"/>
      <c r="E2020" s="2"/>
      <c r="F2020" s="2"/>
      <c r="G2020" s="11"/>
      <c r="H2020" s="11"/>
      <c r="I2020" s="2"/>
      <c r="J2020" s="2"/>
      <c r="K2020" s="2"/>
      <c r="L2020" s="10"/>
      <c r="M2020" s="9"/>
      <c r="N2020" s="2"/>
      <c r="O2020" s="2"/>
      <c r="P2020" s="2"/>
      <c r="Q2020" s="50"/>
      <c r="R2020" s="50"/>
      <c r="S2020" s="2">
        <f>IFERROR(VLOOKUP(A2020,IMPORT_DESISTENCIA!$A$2:$Q2273,14,0),"NÃO")</f>
        <v>0</v>
      </c>
      <c r="T2020" s="35"/>
    </row>
    <row r="2021" spans="1:20" ht="45" customHeight="1" x14ac:dyDescent="0.25">
      <c r="A2021" s="2" t="str">
        <f t="shared" si="1"/>
        <v/>
      </c>
      <c r="B2021" s="2"/>
      <c r="C2021" s="43"/>
      <c r="D2021" s="2"/>
      <c r="E2021" s="2"/>
      <c r="F2021" s="2"/>
      <c r="G2021" s="11"/>
      <c r="H2021" s="11"/>
      <c r="I2021" s="2"/>
      <c r="J2021" s="2"/>
      <c r="K2021" s="2"/>
      <c r="L2021" s="10"/>
      <c r="M2021" s="9"/>
      <c r="N2021" s="2"/>
      <c r="O2021" s="2"/>
      <c r="P2021" s="2"/>
      <c r="Q2021" s="50"/>
      <c r="R2021" s="50"/>
      <c r="S2021" s="2">
        <f>IFERROR(VLOOKUP(A2021,IMPORT_DESISTENCIA!$A$2:$Q2273,14,0),"NÃO")</f>
        <v>0</v>
      </c>
      <c r="T2021" s="35"/>
    </row>
    <row r="2022" spans="1:20" ht="45" customHeight="1" x14ac:dyDescent="0.25">
      <c r="A2022" s="2" t="str">
        <f t="shared" si="1"/>
        <v/>
      </c>
      <c r="B2022" s="2"/>
      <c r="C2022" s="43"/>
      <c r="D2022" s="2"/>
      <c r="E2022" s="2"/>
      <c r="F2022" s="2"/>
      <c r="G2022" s="11"/>
      <c r="H2022" s="11"/>
      <c r="I2022" s="2"/>
      <c r="J2022" s="2"/>
      <c r="K2022" s="2"/>
      <c r="L2022" s="10"/>
      <c r="M2022" s="9"/>
      <c r="N2022" s="2"/>
      <c r="O2022" s="2"/>
      <c r="P2022" s="2"/>
      <c r="Q2022" s="50"/>
      <c r="R2022" s="50"/>
      <c r="S2022" s="2">
        <f>IFERROR(VLOOKUP(A2022,IMPORT_DESISTENCIA!$A$2:$Q2273,14,0),"NÃO")</f>
        <v>0</v>
      </c>
      <c r="T2022" s="35"/>
    </row>
    <row r="2023" spans="1:20" ht="45" customHeight="1" x14ac:dyDescent="0.25">
      <c r="A2023" s="2" t="str">
        <f t="shared" si="1"/>
        <v/>
      </c>
      <c r="B2023" s="2"/>
      <c r="C2023" s="43"/>
      <c r="D2023" s="2"/>
      <c r="E2023" s="2"/>
      <c r="F2023" s="2"/>
      <c r="G2023" s="11"/>
      <c r="H2023" s="11"/>
      <c r="I2023" s="2"/>
      <c r="J2023" s="2"/>
      <c r="K2023" s="2"/>
      <c r="L2023" s="10"/>
      <c r="M2023" s="9"/>
      <c r="N2023" s="2"/>
      <c r="O2023" s="2"/>
      <c r="P2023" s="2"/>
      <c r="Q2023" s="50"/>
      <c r="R2023" s="50"/>
      <c r="S2023" s="2">
        <f>IFERROR(VLOOKUP(A2023,IMPORT_DESISTENCIA!$A$2:$Q2273,14,0),"NÃO")</f>
        <v>0</v>
      </c>
      <c r="T2023" s="35"/>
    </row>
    <row r="2024" spans="1:20" ht="45" customHeight="1" x14ac:dyDescent="0.25">
      <c r="A2024" s="2" t="str">
        <f t="shared" si="1"/>
        <v/>
      </c>
      <c r="B2024" s="2"/>
      <c r="C2024" s="43"/>
      <c r="D2024" s="2"/>
      <c r="E2024" s="2"/>
      <c r="F2024" s="2"/>
      <c r="G2024" s="11"/>
      <c r="H2024" s="11"/>
      <c r="I2024" s="2"/>
      <c r="J2024" s="2"/>
      <c r="K2024" s="2"/>
      <c r="L2024" s="10"/>
      <c r="M2024" s="9"/>
      <c r="N2024" s="2"/>
      <c r="O2024" s="2"/>
      <c r="P2024" s="2"/>
      <c r="Q2024" s="50"/>
      <c r="R2024" s="50"/>
      <c r="S2024" s="2">
        <f>IFERROR(VLOOKUP(A2024,IMPORT_DESISTENCIA!$A$2:$Q2273,14,0),"NÃO")</f>
        <v>0</v>
      </c>
      <c r="T2024" s="35"/>
    </row>
    <row r="2025" spans="1:20" ht="45" customHeight="1" x14ac:dyDescent="0.25">
      <c r="A2025" s="2" t="str">
        <f t="shared" si="1"/>
        <v/>
      </c>
      <c r="B2025" s="2"/>
      <c r="C2025" s="43"/>
      <c r="D2025" s="2"/>
      <c r="E2025" s="2"/>
      <c r="F2025" s="2"/>
      <c r="G2025" s="11"/>
      <c r="H2025" s="11"/>
      <c r="I2025" s="2"/>
      <c r="J2025" s="2"/>
      <c r="K2025" s="2"/>
      <c r="L2025" s="10"/>
      <c r="M2025" s="9"/>
      <c r="N2025" s="2"/>
      <c r="O2025" s="2"/>
      <c r="P2025" s="2"/>
      <c r="Q2025" s="50"/>
      <c r="R2025" s="50"/>
      <c r="S2025" s="2">
        <f>IFERROR(VLOOKUP(A2025,IMPORT_DESISTENCIA!$A$2:$Q2273,14,0),"NÃO")</f>
        <v>0</v>
      </c>
      <c r="T2025" s="35"/>
    </row>
    <row r="2026" spans="1:20" ht="45" customHeight="1" x14ac:dyDescent="0.25">
      <c r="A2026" s="2" t="str">
        <f t="shared" si="1"/>
        <v/>
      </c>
      <c r="B2026" s="2"/>
      <c r="C2026" s="43"/>
      <c r="D2026" s="2"/>
      <c r="E2026" s="2"/>
      <c r="F2026" s="2"/>
      <c r="G2026" s="11"/>
      <c r="H2026" s="11"/>
      <c r="I2026" s="2"/>
      <c r="J2026" s="2"/>
      <c r="K2026" s="2"/>
      <c r="L2026" s="10"/>
      <c r="M2026" s="9"/>
      <c r="N2026" s="2"/>
      <c r="O2026" s="2"/>
      <c r="P2026" s="2"/>
      <c r="Q2026" s="50"/>
      <c r="R2026" s="50"/>
      <c r="S2026" s="2">
        <f>IFERROR(VLOOKUP(A2026,IMPORT_DESISTENCIA!$A$2:$Q2273,14,0),"NÃO")</f>
        <v>0</v>
      </c>
      <c r="T2026" s="35"/>
    </row>
    <row r="2027" spans="1:20" ht="45" customHeight="1" x14ac:dyDescent="0.25">
      <c r="A2027" s="2" t="str">
        <f t="shared" si="1"/>
        <v/>
      </c>
      <c r="B2027" s="2"/>
      <c r="C2027" s="43"/>
      <c r="D2027" s="2"/>
      <c r="E2027" s="2"/>
      <c r="F2027" s="2"/>
      <c r="G2027" s="11"/>
      <c r="H2027" s="11"/>
      <c r="I2027" s="2"/>
      <c r="J2027" s="2"/>
      <c r="K2027" s="2"/>
      <c r="L2027" s="10"/>
      <c r="M2027" s="9"/>
      <c r="N2027" s="2"/>
      <c r="O2027" s="2"/>
      <c r="P2027" s="2"/>
      <c r="Q2027" s="50"/>
      <c r="R2027" s="50"/>
      <c r="S2027" s="2">
        <f>IFERROR(VLOOKUP(A2027,IMPORT_DESISTENCIA!$A$2:$Q2273,14,0),"NÃO")</f>
        <v>0</v>
      </c>
      <c r="T2027" s="35"/>
    </row>
    <row r="2028" spans="1:20" ht="45" customHeight="1" x14ac:dyDescent="0.25">
      <c r="A2028" s="2" t="str">
        <f t="shared" si="1"/>
        <v/>
      </c>
      <c r="B2028" s="2"/>
      <c r="C2028" s="43"/>
      <c r="D2028" s="2"/>
      <c r="E2028" s="2"/>
      <c r="F2028" s="2"/>
      <c r="G2028" s="11"/>
      <c r="H2028" s="11"/>
      <c r="I2028" s="2"/>
      <c r="J2028" s="2"/>
      <c r="K2028" s="2"/>
      <c r="L2028" s="10"/>
      <c r="M2028" s="9"/>
      <c r="N2028" s="2"/>
      <c r="O2028" s="2"/>
      <c r="P2028" s="2"/>
      <c r="Q2028" s="50"/>
      <c r="R2028" s="50"/>
      <c r="S2028" s="2">
        <f>IFERROR(VLOOKUP(A2028,IMPORT_DESISTENCIA!$A$2:$Q2273,14,0),"NÃO")</f>
        <v>0</v>
      </c>
      <c r="T2028" s="35"/>
    </row>
    <row r="2029" spans="1:20" ht="45" customHeight="1" x14ac:dyDescent="0.25">
      <c r="A2029" s="2" t="str">
        <f t="shared" si="1"/>
        <v/>
      </c>
      <c r="B2029" s="2"/>
      <c r="C2029" s="43"/>
      <c r="D2029" s="2"/>
      <c r="E2029" s="2"/>
      <c r="F2029" s="2"/>
      <c r="G2029" s="11"/>
      <c r="H2029" s="11"/>
      <c r="I2029" s="2"/>
      <c r="J2029" s="2"/>
      <c r="K2029" s="2"/>
      <c r="L2029" s="10"/>
      <c r="M2029" s="9"/>
      <c r="N2029" s="2"/>
      <c r="O2029" s="2"/>
      <c r="P2029" s="2"/>
      <c r="Q2029" s="50"/>
      <c r="R2029" s="50"/>
      <c r="S2029" s="2">
        <f>IFERROR(VLOOKUP(A2029,IMPORT_DESISTENCIA!$A$2:$Q2273,14,0),"NÃO")</f>
        <v>0</v>
      </c>
      <c r="T2029" s="35"/>
    </row>
    <row r="2030" spans="1:20" ht="45" customHeight="1" x14ac:dyDescent="0.25">
      <c r="A2030" s="2" t="str">
        <f t="shared" si="1"/>
        <v/>
      </c>
      <c r="B2030" s="2"/>
      <c r="C2030" s="43"/>
      <c r="D2030" s="2"/>
      <c r="E2030" s="2"/>
      <c r="F2030" s="2"/>
      <c r="G2030" s="11"/>
      <c r="H2030" s="11"/>
      <c r="I2030" s="2"/>
      <c r="J2030" s="2"/>
      <c r="K2030" s="2"/>
      <c r="L2030" s="10"/>
      <c r="M2030" s="9"/>
      <c r="N2030" s="2"/>
      <c r="O2030" s="2"/>
      <c r="P2030" s="2"/>
      <c r="Q2030" s="50"/>
      <c r="R2030" s="50"/>
      <c r="S2030" s="2">
        <f>IFERROR(VLOOKUP(A2030,IMPORT_DESISTENCIA!$A$2:$Q2273,14,0),"NÃO")</f>
        <v>0</v>
      </c>
      <c r="T2030" s="35"/>
    </row>
    <row r="2031" spans="1:20" ht="45" customHeight="1" x14ac:dyDescent="0.25">
      <c r="A2031" s="2" t="str">
        <f t="shared" si="1"/>
        <v/>
      </c>
      <c r="B2031" s="2"/>
      <c r="C2031" s="43"/>
      <c r="D2031" s="2"/>
      <c r="E2031" s="2"/>
      <c r="F2031" s="2"/>
      <c r="G2031" s="11"/>
      <c r="H2031" s="11"/>
      <c r="I2031" s="2"/>
      <c r="J2031" s="2"/>
      <c r="K2031" s="2"/>
      <c r="L2031" s="10"/>
      <c r="M2031" s="9"/>
      <c r="N2031" s="2"/>
      <c r="O2031" s="2"/>
      <c r="P2031" s="2"/>
      <c r="Q2031" s="50"/>
      <c r="R2031" s="50"/>
      <c r="S2031" s="2">
        <f>IFERROR(VLOOKUP(A2031,IMPORT_DESISTENCIA!$A$2:$Q2273,14,0),"NÃO")</f>
        <v>0</v>
      </c>
      <c r="T2031" s="35"/>
    </row>
    <row r="2032" spans="1:20" ht="45" customHeight="1" x14ac:dyDescent="0.25">
      <c r="A2032" s="2" t="str">
        <f t="shared" si="1"/>
        <v/>
      </c>
      <c r="B2032" s="2"/>
      <c r="C2032" s="43"/>
      <c r="D2032" s="2"/>
      <c r="E2032" s="2"/>
      <c r="F2032" s="2"/>
      <c r="G2032" s="11"/>
      <c r="H2032" s="11"/>
      <c r="I2032" s="2"/>
      <c r="J2032" s="2"/>
      <c r="K2032" s="2"/>
      <c r="L2032" s="10"/>
      <c r="M2032" s="9"/>
      <c r="N2032" s="2"/>
      <c r="O2032" s="2"/>
      <c r="P2032" s="2"/>
      <c r="Q2032" s="50"/>
      <c r="R2032" s="50"/>
      <c r="S2032" s="2">
        <f>IFERROR(VLOOKUP(A2032,IMPORT_DESISTENCIA!$A$2:$Q2273,14,0),"NÃO")</f>
        <v>0</v>
      </c>
      <c r="T2032" s="35"/>
    </row>
    <row r="2033" spans="1:20" ht="45" customHeight="1" x14ac:dyDescent="0.25">
      <c r="A2033" s="2" t="str">
        <f t="shared" si="1"/>
        <v/>
      </c>
      <c r="B2033" s="2"/>
      <c r="C2033" s="43"/>
      <c r="D2033" s="2"/>
      <c r="E2033" s="2"/>
      <c r="F2033" s="2"/>
      <c r="G2033" s="11"/>
      <c r="H2033" s="11"/>
      <c r="I2033" s="2"/>
      <c r="J2033" s="2"/>
      <c r="K2033" s="2"/>
      <c r="L2033" s="10"/>
      <c r="M2033" s="9"/>
      <c r="N2033" s="2"/>
      <c r="O2033" s="2"/>
      <c r="P2033" s="2"/>
      <c r="Q2033" s="50"/>
      <c r="R2033" s="50"/>
      <c r="S2033" s="2">
        <f>IFERROR(VLOOKUP(A2033,IMPORT_DESISTENCIA!$A$2:$Q2273,14,0),"NÃO")</f>
        <v>0</v>
      </c>
      <c r="T2033" s="35"/>
    </row>
    <row r="2034" spans="1:20" ht="45" customHeight="1" x14ac:dyDescent="0.25">
      <c r="A2034" s="2" t="str">
        <f t="shared" si="1"/>
        <v/>
      </c>
      <c r="B2034" s="2"/>
      <c r="C2034" s="43"/>
      <c r="D2034" s="2"/>
      <c r="E2034" s="2"/>
      <c r="F2034" s="2"/>
      <c r="G2034" s="11"/>
      <c r="H2034" s="11"/>
      <c r="I2034" s="2"/>
      <c r="J2034" s="2"/>
      <c r="K2034" s="2"/>
      <c r="L2034" s="10"/>
      <c r="M2034" s="9"/>
      <c r="N2034" s="2"/>
      <c r="O2034" s="2"/>
      <c r="P2034" s="2"/>
      <c r="Q2034" s="50"/>
      <c r="R2034" s="50"/>
      <c r="S2034" s="2">
        <f>IFERROR(VLOOKUP(A2034,IMPORT_DESISTENCIA!$A$2:$Q2273,14,0),"NÃO")</f>
        <v>0</v>
      </c>
      <c r="T2034" s="35"/>
    </row>
    <row r="2035" spans="1:20" ht="45" customHeight="1" x14ac:dyDescent="0.25">
      <c r="A2035" s="2" t="str">
        <f t="shared" si="1"/>
        <v/>
      </c>
      <c r="B2035" s="2"/>
      <c r="C2035" s="43"/>
      <c r="D2035" s="2"/>
      <c r="E2035" s="2"/>
      <c r="F2035" s="2"/>
      <c r="G2035" s="11"/>
      <c r="H2035" s="11"/>
      <c r="I2035" s="2"/>
      <c r="J2035" s="2"/>
      <c r="K2035" s="2"/>
      <c r="L2035" s="10"/>
      <c r="M2035" s="9"/>
      <c r="N2035" s="2"/>
      <c r="O2035" s="2"/>
      <c r="P2035" s="2"/>
      <c r="Q2035" s="50"/>
      <c r="R2035" s="50"/>
      <c r="S2035" s="2">
        <f>IFERROR(VLOOKUP(A2035,IMPORT_DESISTENCIA!$A$2:$Q2273,14,0),"NÃO")</f>
        <v>0</v>
      </c>
      <c r="T2035" s="35"/>
    </row>
    <row r="2036" spans="1:20" ht="45" customHeight="1" x14ac:dyDescent="0.25">
      <c r="A2036" s="2" t="str">
        <f t="shared" si="1"/>
        <v/>
      </c>
      <c r="B2036" s="2"/>
      <c r="C2036" s="43"/>
      <c r="D2036" s="2"/>
      <c r="E2036" s="2"/>
      <c r="F2036" s="2"/>
      <c r="G2036" s="11"/>
      <c r="H2036" s="11"/>
      <c r="I2036" s="2"/>
      <c r="J2036" s="2"/>
      <c r="K2036" s="2"/>
      <c r="L2036" s="10"/>
      <c r="M2036" s="9"/>
      <c r="N2036" s="2"/>
      <c r="O2036" s="2"/>
      <c r="P2036" s="2"/>
      <c r="Q2036" s="50"/>
      <c r="R2036" s="50"/>
      <c r="S2036" s="2">
        <f>IFERROR(VLOOKUP(A2036,IMPORT_DESISTENCIA!$A$2:$Q2273,14,0),"NÃO")</f>
        <v>0</v>
      </c>
      <c r="T2036" s="35"/>
    </row>
    <row r="2037" spans="1:20" ht="45" customHeight="1" x14ac:dyDescent="0.25">
      <c r="A2037" s="2" t="str">
        <f t="shared" si="1"/>
        <v/>
      </c>
      <c r="B2037" s="2"/>
      <c r="C2037" s="43"/>
      <c r="D2037" s="2"/>
      <c r="E2037" s="2"/>
      <c r="F2037" s="2"/>
      <c r="G2037" s="11"/>
      <c r="H2037" s="11"/>
      <c r="I2037" s="2"/>
      <c r="J2037" s="2"/>
      <c r="K2037" s="2"/>
      <c r="L2037" s="10"/>
      <c r="M2037" s="9"/>
      <c r="N2037" s="2"/>
      <c r="O2037" s="2"/>
      <c r="P2037" s="2"/>
      <c r="Q2037" s="50"/>
      <c r="R2037" s="50"/>
      <c r="S2037" s="2">
        <f>IFERROR(VLOOKUP(A2037,IMPORT_DESISTENCIA!$A$2:$Q2273,14,0),"NÃO")</f>
        <v>0</v>
      </c>
      <c r="T2037" s="35"/>
    </row>
    <row r="2038" spans="1:20" ht="45" customHeight="1" x14ac:dyDescent="0.25">
      <c r="A2038" s="2" t="str">
        <f t="shared" si="1"/>
        <v/>
      </c>
      <c r="B2038" s="2"/>
      <c r="C2038" s="43"/>
      <c r="D2038" s="2"/>
      <c r="E2038" s="2"/>
      <c r="F2038" s="2"/>
      <c r="G2038" s="11"/>
      <c r="H2038" s="11"/>
      <c r="I2038" s="2"/>
      <c r="J2038" s="2"/>
      <c r="K2038" s="2"/>
      <c r="L2038" s="10"/>
      <c r="M2038" s="9"/>
      <c r="N2038" s="2"/>
      <c r="O2038" s="2"/>
      <c r="P2038" s="2"/>
      <c r="Q2038" s="50"/>
      <c r="R2038" s="50"/>
      <c r="S2038" s="2">
        <f>IFERROR(VLOOKUP(A2038,IMPORT_DESISTENCIA!$A$2:$Q2273,14,0),"NÃO")</f>
        <v>0</v>
      </c>
      <c r="T2038" s="35"/>
    </row>
    <row r="2039" spans="1:20" ht="45" customHeight="1" x14ac:dyDescent="0.25">
      <c r="A2039" s="2" t="str">
        <f t="shared" si="1"/>
        <v/>
      </c>
      <c r="B2039" s="2"/>
      <c r="C2039" s="43"/>
      <c r="D2039" s="2"/>
      <c r="E2039" s="2"/>
      <c r="F2039" s="2"/>
      <c r="G2039" s="11"/>
      <c r="H2039" s="11"/>
      <c r="I2039" s="2"/>
      <c r="J2039" s="2"/>
      <c r="K2039" s="2"/>
      <c r="L2039" s="10"/>
      <c r="M2039" s="9"/>
      <c r="N2039" s="2"/>
      <c r="O2039" s="2"/>
      <c r="P2039" s="2"/>
      <c r="Q2039" s="50"/>
      <c r="R2039" s="50"/>
      <c r="S2039" s="2">
        <f>IFERROR(VLOOKUP(A2039,IMPORT_DESISTENCIA!$A$2:$Q2273,14,0),"NÃO")</f>
        <v>0</v>
      </c>
      <c r="T2039" s="35"/>
    </row>
    <row r="2040" spans="1:20" ht="45" customHeight="1" x14ac:dyDescent="0.25">
      <c r="A2040" s="2" t="str">
        <f t="shared" si="1"/>
        <v/>
      </c>
      <c r="B2040" s="2"/>
      <c r="C2040" s="43"/>
      <c r="D2040" s="2"/>
      <c r="E2040" s="2"/>
      <c r="F2040" s="2"/>
      <c r="G2040" s="11"/>
      <c r="H2040" s="11"/>
      <c r="I2040" s="2"/>
      <c r="J2040" s="2"/>
      <c r="K2040" s="2"/>
      <c r="L2040" s="10"/>
      <c r="M2040" s="9"/>
      <c r="N2040" s="2"/>
      <c r="O2040" s="2"/>
      <c r="P2040" s="2"/>
      <c r="Q2040" s="50"/>
      <c r="R2040" s="50"/>
      <c r="S2040" s="2">
        <f>IFERROR(VLOOKUP(A2040,IMPORT_DESISTENCIA!$A$2:$Q2273,14,0),"NÃO")</f>
        <v>0</v>
      </c>
      <c r="T2040" s="35"/>
    </row>
    <row r="2041" spans="1:20" ht="45" customHeight="1" x14ac:dyDescent="0.25">
      <c r="A2041" s="2" t="str">
        <f t="shared" si="1"/>
        <v/>
      </c>
      <c r="B2041" s="2"/>
      <c r="C2041" s="43"/>
      <c r="D2041" s="2"/>
      <c r="E2041" s="2"/>
      <c r="F2041" s="2"/>
      <c r="G2041" s="11"/>
      <c r="H2041" s="11"/>
      <c r="I2041" s="2"/>
      <c r="J2041" s="2"/>
      <c r="K2041" s="2"/>
      <c r="L2041" s="10"/>
      <c r="M2041" s="9"/>
      <c r="N2041" s="2"/>
      <c r="O2041" s="2"/>
      <c r="P2041" s="2"/>
      <c r="Q2041" s="50"/>
      <c r="R2041" s="50"/>
      <c r="S2041" s="2">
        <f>IFERROR(VLOOKUP(A2041,IMPORT_DESISTENCIA!$A$2:$Q2273,14,0),"NÃO")</f>
        <v>0</v>
      </c>
      <c r="T2041" s="35"/>
    </row>
    <row r="2042" spans="1:20" ht="45" customHeight="1" x14ac:dyDescent="0.25">
      <c r="A2042" s="2" t="str">
        <f t="shared" si="1"/>
        <v/>
      </c>
      <c r="B2042" s="2"/>
      <c r="C2042" s="43"/>
      <c r="D2042" s="2"/>
      <c r="E2042" s="2"/>
      <c r="F2042" s="2"/>
      <c r="G2042" s="11"/>
      <c r="H2042" s="11"/>
      <c r="I2042" s="2"/>
      <c r="J2042" s="2"/>
      <c r="K2042" s="2"/>
      <c r="L2042" s="10"/>
      <c r="M2042" s="9"/>
      <c r="N2042" s="2"/>
      <c r="O2042" s="2"/>
      <c r="P2042" s="2"/>
      <c r="Q2042" s="50"/>
      <c r="R2042" s="50"/>
      <c r="S2042" s="2">
        <f>IFERROR(VLOOKUP(A2042,IMPORT_DESISTENCIA!$A$2:$Q2273,14,0),"NÃO")</f>
        <v>0</v>
      </c>
      <c r="T2042" s="35"/>
    </row>
    <row r="2043" spans="1:20" ht="45" customHeight="1" x14ac:dyDescent="0.25">
      <c r="A2043" s="2" t="str">
        <f t="shared" si="1"/>
        <v/>
      </c>
      <c r="B2043" s="2"/>
      <c r="C2043" s="43"/>
      <c r="D2043" s="2"/>
      <c r="E2043" s="2"/>
      <c r="F2043" s="2"/>
      <c r="G2043" s="11"/>
      <c r="H2043" s="11"/>
      <c r="I2043" s="2"/>
      <c r="J2043" s="2"/>
      <c r="K2043" s="2"/>
      <c r="L2043" s="10"/>
      <c r="M2043" s="9"/>
      <c r="N2043" s="2"/>
      <c r="O2043" s="2"/>
      <c r="P2043" s="2"/>
      <c r="Q2043" s="50"/>
      <c r="R2043" s="50"/>
      <c r="S2043" s="2">
        <f>IFERROR(VLOOKUP(A2043,IMPORT_DESISTENCIA!$A$2:$Q2273,14,0),"NÃO")</f>
        <v>0</v>
      </c>
      <c r="T2043" s="35"/>
    </row>
    <row r="2044" spans="1:20" ht="45" customHeight="1" x14ac:dyDescent="0.25">
      <c r="A2044" s="2" t="str">
        <f t="shared" si="1"/>
        <v/>
      </c>
      <c r="B2044" s="2"/>
      <c r="C2044" s="43"/>
      <c r="D2044" s="2"/>
      <c r="E2044" s="2"/>
      <c r="F2044" s="2"/>
      <c r="G2044" s="11"/>
      <c r="H2044" s="11"/>
      <c r="I2044" s="2"/>
      <c r="J2044" s="2"/>
      <c r="K2044" s="2"/>
      <c r="L2044" s="10"/>
      <c r="M2044" s="9"/>
      <c r="N2044" s="2"/>
      <c r="O2044" s="2"/>
      <c r="P2044" s="2"/>
      <c r="Q2044" s="50"/>
      <c r="R2044" s="50"/>
      <c r="S2044" s="2">
        <f>IFERROR(VLOOKUP(A2044,IMPORT_DESISTENCIA!$A$2:$Q2273,14,0),"NÃO")</f>
        <v>0</v>
      </c>
      <c r="T2044" s="35"/>
    </row>
    <row r="2045" spans="1:20" ht="45" customHeight="1" x14ac:dyDescent="0.25">
      <c r="A2045" s="2" t="str">
        <f t="shared" si="1"/>
        <v/>
      </c>
      <c r="B2045" s="2"/>
      <c r="C2045" s="43"/>
      <c r="D2045" s="2"/>
      <c r="E2045" s="2"/>
      <c r="F2045" s="2"/>
      <c r="G2045" s="11"/>
      <c r="H2045" s="11"/>
      <c r="I2045" s="2"/>
      <c r="J2045" s="2"/>
      <c r="K2045" s="2"/>
      <c r="L2045" s="10"/>
      <c r="M2045" s="9"/>
      <c r="N2045" s="2"/>
      <c r="O2045" s="2"/>
      <c r="P2045" s="2"/>
      <c r="Q2045" s="50"/>
      <c r="R2045" s="50"/>
      <c r="S2045" s="2">
        <f>IFERROR(VLOOKUP(A2045,IMPORT_DESISTENCIA!$A$2:$Q2273,14,0),"NÃO")</f>
        <v>0</v>
      </c>
      <c r="T2045" s="35"/>
    </row>
    <row r="2046" spans="1:20" ht="45" customHeight="1" x14ac:dyDescent="0.25">
      <c r="A2046" s="2" t="str">
        <f t="shared" si="1"/>
        <v/>
      </c>
      <c r="B2046" s="2"/>
      <c r="C2046" s="43"/>
      <c r="D2046" s="2"/>
      <c r="E2046" s="2"/>
      <c r="F2046" s="2"/>
      <c r="G2046" s="11"/>
      <c r="H2046" s="11"/>
      <c r="I2046" s="2"/>
      <c r="J2046" s="2"/>
      <c r="K2046" s="2"/>
      <c r="L2046" s="10"/>
      <c r="M2046" s="9"/>
      <c r="N2046" s="2"/>
      <c r="O2046" s="2"/>
      <c r="P2046" s="2"/>
      <c r="Q2046" s="50"/>
      <c r="R2046" s="50"/>
      <c r="S2046" s="2">
        <f>IFERROR(VLOOKUP(A2046,IMPORT_DESISTENCIA!$A$2:$Q2273,14,0),"NÃO")</f>
        <v>0</v>
      </c>
      <c r="T2046" s="35"/>
    </row>
    <row r="2047" spans="1:20" ht="45" customHeight="1" x14ac:dyDescent="0.25">
      <c r="A2047" s="2" t="str">
        <f t="shared" si="1"/>
        <v/>
      </c>
      <c r="B2047" s="2"/>
      <c r="C2047" s="43"/>
      <c r="D2047" s="2"/>
      <c r="E2047" s="2"/>
      <c r="F2047" s="2"/>
      <c r="G2047" s="11"/>
      <c r="H2047" s="11"/>
      <c r="I2047" s="2"/>
      <c r="J2047" s="2"/>
      <c r="K2047" s="2"/>
      <c r="L2047" s="10"/>
      <c r="M2047" s="9"/>
      <c r="N2047" s="2"/>
      <c r="O2047" s="2"/>
      <c r="P2047" s="2"/>
      <c r="Q2047" s="50"/>
      <c r="R2047" s="50"/>
      <c r="S2047" s="2">
        <f>IFERROR(VLOOKUP(A2047,IMPORT_DESISTENCIA!$A$2:$Q2273,14,0),"NÃO")</f>
        <v>0</v>
      </c>
      <c r="T2047" s="35"/>
    </row>
    <row r="2048" spans="1:20" ht="45" customHeight="1" x14ac:dyDescent="0.25">
      <c r="A2048" s="2" t="str">
        <f t="shared" si="1"/>
        <v/>
      </c>
      <c r="B2048" s="2"/>
      <c r="C2048" s="43"/>
      <c r="D2048" s="2"/>
      <c r="E2048" s="2"/>
      <c r="F2048" s="2"/>
      <c r="G2048" s="11"/>
      <c r="H2048" s="11"/>
      <c r="I2048" s="2"/>
      <c r="J2048" s="2"/>
      <c r="K2048" s="2"/>
      <c r="L2048" s="10"/>
      <c r="M2048" s="9"/>
      <c r="N2048" s="2"/>
      <c r="O2048" s="2"/>
      <c r="P2048" s="2"/>
      <c r="Q2048" s="50"/>
      <c r="R2048" s="50"/>
      <c r="S2048" s="2">
        <f>IFERROR(VLOOKUP(A2048,IMPORT_DESISTENCIA!$A$2:$Q2273,14,0),"NÃO")</f>
        <v>0</v>
      </c>
      <c r="T2048" s="35"/>
    </row>
    <row r="2049" spans="1:20" ht="45" customHeight="1" x14ac:dyDescent="0.25">
      <c r="A2049" s="2" t="str">
        <f t="shared" si="1"/>
        <v/>
      </c>
      <c r="B2049" s="2"/>
      <c r="C2049" s="43"/>
      <c r="D2049" s="2"/>
      <c r="E2049" s="2"/>
      <c r="F2049" s="2"/>
      <c r="G2049" s="11"/>
      <c r="H2049" s="11"/>
      <c r="I2049" s="2"/>
      <c r="J2049" s="2"/>
      <c r="K2049" s="2"/>
      <c r="L2049" s="10"/>
      <c r="M2049" s="9"/>
      <c r="N2049" s="2"/>
      <c r="O2049" s="2"/>
      <c r="P2049" s="2"/>
      <c r="Q2049" s="50"/>
      <c r="R2049" s="50"/>
      <c r="S2049" s="2">
        <f>IFERROR(VLOOKUP(A2049,IMPORT_DESISTENCIA!$A$2:$Q2273,14,0),"NÃO")</f>
        <v>0</v>
      </c>
      <c r="T2049" s="35"/>
    </row>
    <row r="2050" spans="1:20" ht="45" customHeight="1" x14ac:dyDescent="0.25">
      <c r="A2050" s="2" t="str">
        <f t="shared" si="1"/>
        <v/>
      </c>
      <c r="B2050" s="2"/>
      <c r="C2050" s="43"/>
      <c r="D2050" s="2"/>
      <c r="E2050" s="2"/>
      <c r="F2050" s="2"/>
      <c r="G2050" s="11"/>
      <c r="H2050" s="11"/>
      <c r="I2050" s="2"/>
      <c r="J2050" s="2"/>
      <c r="K2050" s="2"/>
      <c r="L2050" s="10"/>
      <c r="M2050" s="9"/>
      <c r="N2050" s="2"/>
      <c r="O2050" s="2"/>
      <c r="P2050" s="2"/>
      <c r="Q2050" s="50"/>
      <c r="R2050" s="50"/>
      <c r="S2050" s="2">
        <f>IFERROR(VLOOKUP(A2050,IMPORT_DESISTENCIA!$A$2:$Q2273,14,0),"NÃO")</f>
        <v>0</v>
      </c>
      <c r="T2050" s="35"/>
    </row>
    <row r="2051" spans="1:20" ht="45" customHeight="1" x14ac:dyDescent="0.25">
      <c r="A2051" s="2" t="str">
        <f t="shared" si="1"/>
        <v/>
      </c>
      <c r="B2051" s="2"/>
      <c r="C2051" s="43"/>
      <c r="D2051" s="2"/>
      <c r="E2051" s="2"/>
      <c r="F2051" s="2"/>
      <c r="G2051" s="11"/>
      <c r="H2051" s="11"/>
      <c r="I2051" s="2"/>
      <c r="J2051" s="2"/>
      <c r="K2051" s="2"/>
      <c r="L2051" s="10"/>
      <c r="M2051" s="9"/>
      <c r="N2051" s="2"/>
      <c r="O2051" s="2"/>
      <c r="P2051" s="2"/>
      <c r="Q2051" s="50"/>
      <c r="R2051" s="50"/>
      <c r="S2051" s="2">
        <f>IFERROR(VLOOKUP(A2051,IMPORT_DESISTENCIA!$A$2:$Q2273,14,0),"NÃO")</f>
        <v>0</v>
      </c>
      <c r="T2051" s="35"/>
    </row>
    <row r="2052" spans="1:20" ht="45" customHeight="1" x14ac:dyDescent="0.25">
      <c r="A2052" s="2" t="str">
        <f t="shared" si="1"/>
        <v/>
      </c>
      <c r="B2052" s="2"/>
      <c r="C2052" s="43"/>
      <c r="D2052" s="2"/>
      <c r="E2052" s="2"/>
      <c r="F2052" s="2"/>
      <c r="G2052" s="11"/>
      <c r="H2052" s="11"/>
      <c r="I2052" s="2"/>
      <c r="J2052" s="2"/>
      <c r="K2052" s="2"/>
      <c r="L2052" s="10"/>
      <c r="M2052" s="9"/>
      <c r="N2052" s="2"/>
      <c r="O2052" s="2"/>
      <c r="P2052" s="2"/>
      <c r="Q2052" s="50"/>
      <c r="R2052" s="50"/>
      <c r="S2052" s="2">
        <f>IFERROR(VLOOKUP(A2052,IMPORT_DESISTENCIA!$A$2:$Q2273,14,0),"NÃO")</f>
        <v>0</v>
      </c>
      <c r="T2052" s="35"/>
    </row>
    <row r="2053" spans="1:20" ht="45" customHeight="1" x14ac:dyDescent="0.25">
      <c r="A2053" s="2" t="str">
        <f t="shared" si="1"/>
        <v/>
      </c>
      <c r="B2053" s="2"/>
      <c r="C2053" s="43"/>
      <c r="D2053" s="2"/>
      <c r="E2053" s="2"/>
      <c r="F2053" s="2"/>
      <c r="G2053" s="11"/>
      <c r="H2053" s="11"/>
      <c r="I2053" s="2"/>
      <c r="J2053" s="2"/>
      <c r="K2053" s="2"/>
      <c r="L2053" s="10"/>
      <c r="M2053" s="9"/>
      <c r="N2053" s="2"/>
      <c r="O2053" s="2"/>
      <c r="P2053" s="2"/>
      <c r="Q2053" s="50"/>
      <c r="R2053" s="50"/>
      <c r="S2053" s="2">
        <f>IFERROR(VLOOKUP(A2053,IMPORT_DESISTENCIA!$A$2:$Q2273,14,0),"NÃO")</f>
        <v>0</v>
      </c>
      <c r="T2053" s="35"/>
    </row>
    <row r="2054" spans="1:20" ht="45" customHeight="1" x14ac:dyDescent="0.25">
      <c r="A2054" s="2" t="str">
        <f t="shared" si="1"/>
        <v/>
      </c>
      <c r="B2054" s="2"/>
      <c r="C2054" s="43"/>
      <c r="D2054" s="2"/>
      <c r="E2054" s="2"/>
      <c r="F2054" s="2"/>
      <c r="G2054" s="11"/>
      <c r="H2054" s="11"/>
      <c r="I2054" s="2"/>
      <c r="J2054" s="2"/>
      <c r="K2054" s="2"/>
      <c r="L2054" s="10"/>
      <c r="M2054" s="9"/>
      <c r="N2054" s="2"/>
      <c r="O2054" s="2"/>
      <c r="P2054" s="2"/>
      <c r="Q2054" s="50"/>
      <c r="R2054" s="50"/>
      <c r="S2054" s="2">
        <f>IFERROR(VLOOKUP(A2054,IMPORT_DESISTENCIA!$A$2:$Q2273,14,0),"NÃO")</f>
        <v>0</v>
      </c>
      <c r="T2054" s="35"/>
    </row>
    <row r="2055" spans="1:20" ht="45" customHeight="1" x14ac:dyDescent="0.25">
      <c r="A2055" s="2" t="str">
        <f t="shared" si="1"/>
        <v/>
      </c>
      <c r="B2055" s="2"/>
      <c r="C2055" s="43"/>
      <c r="D2055" s="2"/>
      <c r="E2055" s="2"/>
      <c r="F2055" s="2"/>
      <c r="G2055" s="11"/>
      <c r="H2055" s="11"/>
      <c r="I2055" s="2"/>
      <c r="J2055" s="2"/>
      <c r="K2055" s="2"/>
      <c r="L2055" s="10"/>
      <c r="M2055" s="9"/>
      <c r="N2055" s="2"/>
      <c r="O2055" s="2"/>
      <c r="P2055" s="2"/>
      <c r="Q2055" s="50"/>
      <c r="R2055" s="50"/>
      <c r="S2055" s="2">
        <f>IFERROR(VLOOKUP(A2055,IMPORT_DESISTENCIA!$A$2:$Q2273,14,0),"NÃO")</f>
        <v>0</v>
      </c>
      <c r="T2055" s="35"/>
    </row>
    <row r="2056" spans="1:20" ht="45" customHeight="1" x14ac:dyDescent="0.25">
      <c r="A2056" s="2" t="str">
        <f t="shared" si="1"/>
        <v/>
      </c>
      <c r="B2056" s="2"/>
      <c r="C2056" s="43"/>
      <c r="D2056" s="2"/>
      <c r="E2056" s="2"/>
      <c r="F2056" s="2"/>
      <c r="G2056" s="11"/>
      <c r="H2056" s="11"/>
      <c r="I2056" s="2"/>
      <c r="J2056" s="2"/>
      <c r="K2056" s="2"/>
      <c r="L2056" s="10"/>
      <c r="M2056" s="9"/>
      <c r="N2056" s="2"/>
      <c r="O2056" s="2"/>
      <c r="P2056" s="2"/>
      <c r="Q2056" s="50"/>
      <c r="R2056" s="50"/>
      <c r="S2056" s="2">
        <f>IFERROR(VLOOKUP(A2056,IMPORT_DESISTENCIA!$A$2:$Q2273,14,0),"NÃO")</f>
        <v>0</v>
      </c>
      <c r="T2056" s="35"/>
    </row>
    <row r="2057" spans="1:20" ht="45" customHeight="1" x14ac:dyDescent="0.25">
      <c r="A2057" s="2" t="str">
        <f t="shared" si="1"/>
        <v/>
      </c>
      <c r="B2057" s="2"/>
      <c r="C2057" s="43"/>
      <c r="D2057" s="2"/>
      <c r="E2057" s="2"/>
      <c r="F2057" s="2"/>
      <c r="G2057" s="11"/>
      <c r="H2057" s="11"/>
      <c r="I2057" s="2"/>
      <c r="J2057" s="2"/>
      <c r="K2057" s="2"/>
      <c r="L2057" s="10"/>
      <c r="M2057" s="9"/>
      <c r="N2057" s="2"/>
      <c r="O2057" s="2"/>
      <c r="P2057" s="2"/>
      <c r="Q2057" s="50"/>
      <c r="R2057" s="50"/>
      <c r="S2057" s="2">
        <f>IFERROR(VLOOKUP(A2057,IMPORT_DESISTENCIA!$A$2:$Q2273,14,0),"NÃO")</f>
        <v>0</v>
      </c>
      <c r="T2057" s="35"/>
    </row>
    <row r="2058" spans="1:20" ht="45" customHeight="1" x14ac:dyDescent="0.25">
      <c r="A2058" s="2" t="str">
        <f t="shared" si="1"/>
        <v/>
      </c>
      <c r="B2058" s="2"/>
      <c r="C2058" s="43"/>
      <c r="D2058" s="2"/>
      <c r="E2058" s="2"/>
      <c r="F2058" s="2"/>
      <c r="G2058" s="11"/>
      <c r="H2058" s="11"/>
      <c r="I2058" s="2"/>
      <c r="J2058" s="2"/>
      <c r="K2058" s="2"/>
      <c r="L2058" s="10"/>
      <c r="M2058" s="9"/>
      <c r="N2058" s="2"/>
      <c r="O2058" s="2"/>
      <c r="P2058" s="2"/>
      <c r="Q2058" s="50"/>
      <c r="R2058" s="50"/>
      <c r="S2058" s="2">
        <f>IFERROR(VLOOKUP(A2058,IMPORT_DESISTENCIA!$A$2:$Q2273,14,0),"NÃO")</f>
        <v>0</v>
      </c>
      <c r="T2058" s="35"/>
    </row>
    <row r="2059" spans="1:20" ht="45" customHeight="1" x14ac:dyDescent="0.25">
      <c r="A2059" s="2" t="str">
        <f t="shared" si="1"/>
        <v/>
      </c>
      <c r="B2059" s="2"/>
      <c r="C2059" s="43"/>
      <c r="D2059" s="2"/>
      <c r="E2059" s="2"/>
      <c r="F2059" s="2"/>
      <c r="G2059" s="11"/>
      <c r="H2059" s="11"/>
      <c r="I2059" s="2"/>
      <c r="J2059" s="2"/>
      <c r="K2059" s="2"/>
      <c r="L2059" s="10"/>
      <c r="M2059" s="9"/>
      <c r="N2059" s="2"/>
      <c r="O2059" s="2"/>
      <c r="P2059" s="2"/>
      <c r="Q2059" s="50"/>
      <c r="R2059" s="50"/>
      <c r="S2059" s="2">
        <f>IFERROR(VLOOKUP(A2059,IMPORT_DESISTENCIA!$A$2:$Q2273,14,0),"NÃO")</f>
        <v>0</v>
      </c>
      <c r="T2059" s="35"/>
    </row>
    <row r="2060" spans="1:20" ht="45" customHeight="1" x14ac:dyDescent="0.25">
      <c r="A2060" s="2" t="str">
        <f t="shared" si="1"/>
        <v/>
      </c>
      <c r="B2060" s="2"/>
      <c r="C2060" s="43"/>
      <c r="D2060" s="2"/>
      <c r="E2060" s="2"/>
      <c r="F2060" s="2"/>
      <c r="G2060" s="11"/>
      <c r="H2060" s="11"/>
      <c r="I2060" s="2"/>
      <c r="J2060" s="2"/>
      <c r="K2060" s="2"/>
      <c r="L2060" s="10"/>
      <c r="M2060" s="9"/>
      <c r="N2060" s="2"/>
      <c r="O2060" s="2"/>
      <c r="P2060" s="2"/>
      <c r="Q2060" s="50"/>
      <c r="R2060" s="50"/>
      <c r="S2060" s="2">
        <f>IFERROR(VLOOKUP(A2060,IMPORT_DESISTENCIA!$A$2:$Q2273,14,0),"NÃO")</f>
        <v>0</v>
      </c>
      <c r="T2060" s="35"/>
    </row>
    <row r="2061" spans="1:20" ht="45" customHeight="1" x14ac:dyDescent="0.25">
      <c r="A2061" s="2" t="str">
        <f t="shared" si="1"/>
        <v/>
      </c>
      <c r="B2061" s="2"/>
      <c r="C2061" s="43"/>
      <c r="D2061" s="2"/>
      <c r="E2061" s="2"/>
      <c r="F2061" s="2"/>
      <c r="G2061" s="11"/>
      <c r="H2061" s="11"/>
      <c r="I2061" s="2"/>
      <c r="J2061" s="2"/>
      <c r="K2061" s="2"/>
      <c r="L2061" s="10"/>
      <c r="M2061" s="9"/>
      <c r="N2061" s="2"/>
      <c r="O2061" s="2"/>
      <c r="P2061" s="2"/>
      <c r="Q2061" s="50"/>
      <c r="R2061" s="50"/>
      <c r="S2061" s="2">
        <f>IFERROR(VLOOKUP(A2061,IMPORT_DESISTENCIA!$A$2:$Q2273,14,0),"NÃO")</f>
        <v>0</v>
      </c>
      <c r="T2061" s="35"/>
    </row>
    <row r="2062" spans="1:20" ht="45" customHeight="1" x14ac:dyDescent="0.25">
      <c r="A2062" s="2" t="str">
        <f t="shared" si="1"/>
        <v/>
      </c>
      <c r="B2062" s="2"/>
      <c r="C2062" s="43"/>
      <c r="D2062" s="2"/>
      <c r="E2062" s="2"/>
      <c r="F2062" s="2"/>
      <c r="G2062" s="11"/>
      <c r="H2062" s="11"/>
      <c r="I2062" s="2"/>
      <c r="J2062" s="2"/>
      <c r="K2062" s="2"/>
      <c r="L2062" s="10"/>
      <c r="M2062" s="9"/>
      <c r="N2062" s="2"/>
      <c r="O2062" s="2"/>
      <c r="P2062" s="2"/>
      <c r="Q2062" s="50"/>
      <c r="R2062" s="50"/>
      <c r="S2062" s="2">
        <f>IFERROR(VLOOKUP(A2062,IMPORT_DESISTENCIA!$A$2:$Q2273,14,0),"NÃO")</f>
        <v>0</v>
      </c>
      <c r="T2062" s="35"/>
    </row>
    <row r="2063" spans="1:20" ht="45" customHeight="1" x14ac:dyDescent="0.25">
      <c r="A2063" s="2" t="str">
        <f t="shared" si="1"/>
        <v/>
      </c>
      <c r="B2063" s="2"/>
      <c r="C2063" s="43"/>
      <c r="D2063" s="2"/>
      <c r="E2063" s="2"/>
      <c r="F2063" s="2"/>
      <c r="G2063" s="11"/>
      <c r="H2063" s="11"/>
      <c r="I2063" s="2"/>
      <c r="J2063" s="2"/>
      <c r="K2063" s="2"/>
      <c r="L2063" s="10"/>
      <c r="M2063" s="9"/>
      <c r="N2063" s="2"/>
      <c r="O2063" s="2"/>
      <c r="P2063" s="2"/>
      <c r="Q2063" s="50"/>
      <c r="R2063" s="50"/>
      <c r="S2063" s="2">
        <f>IFERROR(VLOOKUP(A2063,IMPORT_DESISTENCIA!$A$2:$Q2273,14,0),"NÃO")</f>
        <v>0</v>
      </c>
      <c r="T2063" s="35"/>
    </row>
    <row r="2064" spans="1:20" ht="45" customHeight="1" x14ac:dyDescent="0.25">
      <c r="A2064" s="2" t="str">
        <f t="shared" si="1"/>
        <v/>
      </c>
      <c r="B2064" s="2"/>
      <c r="C2064" s="43"/>
      <c r="D2064" s="2"/>
      <c r="E2064" s="2"/>
      <c r="F2064" s="2"/>
      <c r="G2064" s="11"/>
      <c r="H2064" s="11"/>
      <c r="I2064" s="2"/>
      <c r="J2064" s="2"/>
      <c r="K2064" s="2"/>
      <c r="L2064" s="10"/>
      <c r="M2064" s="9"/>
      <c r="N2064" s="2"/>
      <c r="O2064" s="2"/>
      <c r="P2064" s="2"/>
      <c r="Q2064" s="50"/>
      <c r="R2064" s="50"/>
      <c r="S2064" s="2">
        <f>IFERROR(VLOOKUP(A2064,IMPORT_DESISTENCIA!$A$2:$Q2273,14,0),"NÃO")</f>
        <v>0</v>
      </c>
      <c r="T2064" s="35"/>
    </row>
    <row r="2065" spans="1:20" ht="45" customHeight="1" x14ac:dyDescent="0.25">
      <c r="A2065" s="2" t="str">
        <f t="shared" si="1"/>
        <v/>
      </c>
      <c r="B2065" s="2"/>
      <c r="C2065" s="43"/>
      <c r="D2065" s="2"/>
      <c r="E2065" s="2"/>
      <c r="F2065" s="2"/>
      <c r="G2065" s="11"/>
      <c r="H2065" s="11"/>
      <c r="I2065" s="2"/>
      <c r="J2065" s="2"/>
      <c r="K2065" s="2"/>
      <c r="L2065" s="10"/>
      <c r="M2065" s="9"/>
      <c r="N2065" s="2"/>
      <c r="O2065" s="2"/>
      <c r="P2065" s="2"/>
      <c r="Q2065" s="50"/>
      <c r="R2065" s="50"/>
      <c r="S2065" s="2">
        <f>IFERROR(VLOOKUP(A2065,IMPORT_DESISTENCIA!$A$2:$Q2273,14,0),"NÃO")</f>
        <v>0</v>
      </c>
      <c r="T2065" s="35"/>
    </row>
    <row r="2066" spans="1:20" ht="45" customHeight="1" x14ac:dyDescent="0.25">
      <c r="A2066" s="2" t="str">
        <f t="shared" si="1"/>
        <v/>
      </c>
      <c r="B2066" s="2"/>
      <c r="C2066" s="43"/>
      <c r="D2066" s="2"/>
      <c r="E2066" s="2"/>
      <c r="F2066" s="2"/>
      <c r="G2066" s="11"/>
      <c r="H2066" s="11"/>
      <c r="I2066" s="2"/>
      <c r="J2066" s="2"/>
      <c r="K2066" s="2"/>
      <c r="L2066" s="10"/>
      <c r="M2066" s="9"/>
      <c r="N2066" s="2"/>
      <c r="O2066" s="2"/>
      <c r="P2066" s="2"/>
      <c r="Q2066" s="50"/>
      <c r="R2066" s="50"/>
      <c r="S2066" s="2">
        <f>IFERROR(VLOOKUP(A2066,IMPORT_DESISTENCIA!$A$2:$Q2273,14,0),"NÃO")</f>
        <v>0</v>
      </c>
      <c r="T2066" s="35"/>
    </row>
    <row r="2067" spans="1:20" ht="45" customHeight="1" x14ac:dyDescent="0.25">
      <c r="A2067" s="2" t="str">
        <f t="shared" si="1"/>
        <v/>
      </c>
      <c r="B2067" s="2"/>
      <c r="C2067" s="43"/>
      <c r="D2067" s="2"/>
      <c r="E2067" s="2"/>
      <c r="F2067" s="2"/>
      <c r="G2067" s="11"/>
      <c r="H2067" s="11"/>
      <c r="I2067" s="2"/>
      <c r="J2067" s="2"/>
      <c r="K2067" s="2"/>
      <c r="L2067" s="10"/>
      <c r="M2067" s="9"/>
      <c r="N2067" s="2"/>
      <c r="O2067" s="2"/>
      <c r="P2067" s="2"/>
      <c r="Q2067" s="50"/>
      <c r="R2067" s="50"/>
      <c r="S2067" s="2">
        <f>IFERROR(VLOOKUP(A2067,IMPORT_DESISTENCIA!$A$2:$Q2273,14,0),"NÃO")</f>
        <v>0</v>
      </c>
      <c r="T2067" s="35"/>
    </row>
    <row r="2068" spans="1:20" ht="45" customHeight="1" x14ac:dyDescent="0.25">
      <c r="A2068" s="2" t="str">
        <f t="shared" si="1"/>
        <v/>
      </c>
      <c r="B2068" s="2"/>
      <c r="C2068" s="43"/>
      <c r="D2068" s="2"/>
      <c r="E2068" s="2"/>
      <c r="F2068" s="2"/>
      <c r="G2068" s="11"/>
      <c r="H2068" s="11"/>
      <c r="I2068" s="2"/>
      <c r="J2068" s="2"/>
      <c r="K2068" s="2"/>
      <c r="L2068" s="10"/>
      <c r="M2068" s="9"/>
      <c r="N2068" s="2"/>
      <c r="O2068" s="2"/>
      <c r="P2068" s="2"/>
      <c r="Q2068" s="50"/>
      <c r="R2068" s="50"/>
      <c r="S2068" s="2">
        <f>IFERROR(VLOOKUP(A2068,IMPORT_DESISTENCIA!$A$2:$Q2273,14,0),"NÃO")</f>
        <v>0</v>
      </c>
      <c r="T2068" s="35"/>
    </row>
    <row r="2069" spans="1:20" ht="45" customHeight="1" x14ac:dyDescent="0.25">
      <c r="A2069" s="2" t="str">
        <f t="shared" si="1"/>
        <v/>
      </c>
      <c r="B2069" s="2"/>
      <c r="C2069" s="43"/>
      <c r="D2069" s="2"/>
      <c r="E2069" s="2"/>
      <c r="F2069" s="2"/>
      <c r="G2069" s="11"/>
      <c r="H2069" s="11"/>
      <c r="I2069" s="2"/>
      <c r="J2069" s="2"/>
      <c r="K2069" s="2"/>
      <c r="L2069" s="10"/>
      <c r="M2069" s="9"/>
      <c r="N2069" s="2"/>
      <c r="O2069" s="2"/>
      <c r="P2069" s="2"/>
      <c r="Q2069" s="50"/>
      <c r="R2069" s="50"/>
      <c r="S2069" s="2">
        <f>IFERROR(VLOOKUP(A2069,IMPORT_DESISTENCIA!$A$2:$Q2273,14,0),"NÃO")</f>
        <v>0</v>
      </c>
      <c r="T2069" s="35"/>
    </row>
    <row r="2070" spans="1:20" ht="45" customHeight="1" x14ac:dyDescent="0.25">
      <c r="A2070" s="2" t="str">
        <f t="shared" si="1"/>
        <v/>
      </c>
      <c r="B2070" s="2"/>
      <c r="C2070" s="43"/>
      <c r="D2070" s="2"/>
      <c r="E2070" s="2"/>
      <c r="F2070" s="2"/>
      <c r="G2070" s="11"/>
      <c r="H2070" s="11"/>
      <c r="I2070" s="2"/>
      <c r="J2070" s="2"/>
      <c r="K2070" s="2"/>
      <c r="L2070" s="10"/>
      <c r="M2070" s="9"/>
      <c r="N2070" s="2"/>
      <c r="O2070" s="2"/>
      <c r="P2070" s="2"/>
      <c r="Q2070" s="50"/>
      <c r="R2070" s="50"/>
      <c r="S2070" s="2">
        <f>IFERROR(VLOOKUP(A2070,IMPORT_DESISTENCIA!$A$2:$Q2273,14,0),"NÃO")</f>
        <v>0</v>
      </c>
      <c r="T2070" s="35"/>
    </row>
    <row r="2071" spans="1:20" ht="45" customHeight="1" x14ac:dyDescent="0.25">
      <c r="A2071" s="2" t="str">
        <f t="shared" si="1"/>
        <v/>
      </c>
      <c r="B2071" s="2"/>
      <c r="C2071" s="43"/>
      <c r="D2071" s="2"/>
      <c r="E2071" s="2"/>
      <c r="F2071" s="2"/>
      <c r="G2071" s="11"/>
      <c r="H2071" s="11"/>
      <c r="I2071" s="2"/>
      <c r="J2071" s="2"/>
      <c r="K2071" s="2"/>
      <c r="L2071" s="10"/>
      <c r="M2071" s="9"/>
      <c r="N2071" s="2"/>
      <c r="O2071" s="2"/>
      <c r="P2071" s="2"/>
      <c r="Q2071" s="50"/>
      <c r="R2071" s="50"/>
      <c r="S2071" s="2">
        <f>IFERROR(VLOOKUP(A2071,IMPORT_DESISTENCIA!$A$2:$Q2273,14,0),"NÃO")</f>
        <v>0</v>
      </c>
      <c r="T2071" s="35"/>
    </row>
    <row r="2072" spans="1:20" ht="45" customHeight="1" x14ac:dyDescent="0.25">
      <c r="A2072" s="2" t="str">
        <f t="shared" si="1"/>
        <v/>
      </c>
      <c r="B2072" s="2"/>
      <c r="C2072" s="43"/>
      <c r="D2072" s="2"/>
      <c r="E2072" s="2"/>
      <c r="F2072" s="2"/>
      <c r="G2072" s="11"/>
      <c r="H2072" s="11"/>
      <c r="I2072" s="2"/>
      <c r="J2072" s="2"/>
      <c r="K2072" s="2"/>
      <c r="L2072" s="10"/>
      <c r="M2072" s="9"/>
      <c r="N2072" s="2"/>
      <c r="O2072" s="2"/>
      <c r="P2072" s="2"/>
      <c r="Q2072" s="50"/>
      <c r="R2072" s="50"/>
      <c r="S2072" s="2">
        <f>IFERROR(VLOOKUP(A2072,IMPORT_DESISTENCIA!$A$2:$Q2273,14,0),"NÃO")</f>
        <v>0</v>
      </c>
      <c r="T2072" s="35"/>
    </row>
    <row r="2073" spans="1:20" ht="45" customHeight="1" x14ac:dyDescent="0.25">
      <c r="A2073" s="2" t="str">
        <f t="shared" si="1"/>
        <v/>
      </c>
      <c r="B2073" s="2"/>
      <c r="C2073" s="43"/>
      <c r="D2073" s="2"/>
      <c r="E2073" s="2"/>
      <c r="F2073" s="2"/>
      <c r="G2073" s="11"/>
      <c r="H2073" s="11"/>
      <c r="I2073" s="2"/>
      <c r="J2073" s="2"/>
      <c r="K2073" s="2"/>
      <c r="L2073" s="10"/>
      <c r="M2073" s="9"/>
      <c r="N2073" s="2"/>
      <c r="O2073" s="2"/>
      <c r="P2073" s="2"/>
      <c r="Q2073" s="50"/>
      <c r="R2073" s="50"/>
      <c r="S2073" s="2">
        <f>IFERROR(VLOOKUP(A2073,IMPORT_DESISTENCIA!$A$2:$Q2273,14,0),"NÃO")</f>
        <v>0</v>
      </c>
      <c r="T2073" s="35"/>
    </row>
    <row r="2074" spans="1:20" ht="45" customHeight="1" x14ac:dyDescent="0.25">
      <c r="A2074" s="2" t="str">
        <f t="shared" si="1"/>
        <v/>
      </c>
      <c r="B2074" s="2"/>
      <c r="C2074" s="43"/>
      <c r="D2074" s="2"/>
      <c r="E2074" s="2"/>
      <c r="F2074" s="2"/>
      <c r="G2074" s="11"/>
      <c r="H2074" s="11"/>
      <c r="I2074" s="2"/>
      <c r="J2074" s="2"/>
      <c r="K2074" s="2"/>
      <c r="L2074" s="10"/>
      <c r="M2074" s="9"/>
      <c r="N2074" s="2"/>
      <c r="O2074" s="2"/>
      <c r="P2074" s="2"/>
      <c r="Q2074" s="50"/>
      <c r="R2074" s="50"/>
      <c r="S2074" s="2">
        <f>IFERROR(VLOOKUP(A2074,IMPORT_DESISTENCIA!$A$2:$Q2273,14,0),"NÃO")</f>
        <v>0</v>
      </c>
      <c r="T2074" s="35"/>
    </row>
    <row r="2075" spans="1:20" ht="45" customHeight="1" x14ac:dyDescent="0.25">
      <c r="A2075" s="2" t="str">
        <f t="shared" si="1"/>
        <v/>
      </c>
      <c r="B2075" s="2"/>
      <c r="C2075" s="43"/>
      <c r="D2075" s="2"/>
      <c r="E2075" s="2"/>
      <c r="F2075" s="2"/>
      <c r="G2075" s="11"/>
      <c r="H2075" s="11"/>
      <c r="I2075" s="2"/>
      <c r="J2075" s="2"/>
      <c r="K2075" s="2"/>
      <c r="L2075" s="10"/>
      <c r="M2075" s="9"/>
      <c r="N2075" s="2"/>
      <c r="O2075" s="2"/>
      <c r="P2075" s="2"/>
      <c r="Q2075" s="50"/>
      <c r="R2075" s="50"/>
      <c r="S2075" s="2">
        <f>IFERROR(VLOOKUP(A2075,IMPORT_DESISTENCIA!$A$2:$Q2273,14,0),"NÃO")</f>
        <v>0</v>
      </c>
      <c r="T2075" s="35"/>
    </row>
    <row r="2076" spans="1:20" ht="45" customHeight="1" x14ac:dyDescent="0.25">
      <c r="A2076" s="2" t="str">
        <f t="shared" si="1"/>
        <v/>
      </c>
      <c r="B2076" s="2"/>
      <c r="C2076" s="43"/>
      <c r="D2076" s="2"/>
      <c r="E2076" s="2"/>
      <c r="F2076" s="2"/>
      <c r="G2076" s="11"/>
      <c r="H2076" s="11"/>
      <c r="I2076" s="2"/>
      <c r="J2076" s="2"/>
      <c r="K2076" s="2"/>
      <c r="L2076" s="10"/>
      <c r="M2076" s="9"/>
      <c r="N2076" s="2"/>
      <c r="O2076" s="2"/>
      <c r="P2076" s="2"/>
      <c r="Q2076" s="50"/>
      <c r="R2076" s="50"/>
      <c r="S2076" s="2">
        <f>IFERROR(VLOOKUP(A2076,IMPORT_DESISTENCIA!$A$2:$Q2273,14,0),"NÃO")</f>
        <v>0</v>
      </c>
      <c r="T2076" s="35"/>
    </row>
    <row r="2077" spans="1:20" ht="45" customHeight="1" x14ac:dyDescent="0.25">
      <c r="A2077" s="2" t="str">
        <f t="shared" si="1"/>
        <v/>
      </c>
      <c r="B2077" s="2"/>
      <c r="C2077" s="43"/>
      <c r="D2077" s="2"/>
      <c r="E2077" s="2"/>
      <c r="F2077" s="2"/>
      <c r="G2077" s="11"/>
      <c r="H2077" s="11"/>
      <c r="I2077" s="2"/>
      <c r="J2077" s="2"/>
      <c r="K2077" s="2"/>
      <c r="L2077" s="10"/>
      <c r="M2077" s="9"/>
      <c r="N2077" s="2"/>
      <c r="O2077" s="2"/>
      <c r="P2077" s="2"/>
      <c r="Q2077" s="50"/>
      <c r="R2077" s="50"/>
      <c r="S2077" s="2">
        <f>IFERROR(VLOOKUP(A2077,IMPORT_DESISTENCIA!$A$2:$Q2273,14,0),"NÃO")</f>
        <v>0</v>
      </c>
      <c r="T2077" s="35"/>
    </row>
    <row r="2078" spans="1:20" ht="45" customHeight="1" x14ac:dyDescent="0.25">
      <c r="A2078" s="2" t="str">
        <f t="shared" si="1"/>
        <v/>
      </c>
      <c r="B2078" s="2"/>
      <c r="C2078" s="43"/>
      <c r="D2078" s="2"/>
      <c r="E2078" s="2"/>
      <c r="F2078" s="2"/>
      <c r="G2078" s="11"/>
      <c r="H2078" s="11"/>
      <c r="I2078" s="2"/>
      <c r="J2078" s="2"/>
      <c r="K2078" s="2"/>
      <c r="L2078" s="10"/>
      <c r="M2078" s="9"/>
      <c r="N2078" s="2"/>
      <c r="O2078" s="2"/>
      <c r="P2078" s="2"/>
      <c r="Q2078" s="50"/>
      <c r="R2078" s="50"/>
      <c r="S2078" s="2">
        <f>IFERROR(VLOOKUP(A2078,IMPORT_DESISTENCIA!$A$2:$Q2273,14,0),"NÃO")</f>
        <v>0</v>
      </c>
      <c r="T2078" s="35"/>
    </row>
    <row r="2079" spans="1:20" ht="45" customHeight="1" x14ac:dyDescent="0.25">
      <c r="A2079" s="2" t="str">
        <f t="shared" si="1"/>
        <v/>
      </c>
      <c r="B2079" s="2"/>
      <c r="C2079" s="43"/>
      <c r="D2079" s="2"/>
      <c r="E2079" s="2"/>
      <c r="F2079" s="2"/>
      <c r="G2079" s="11"/>
      <c r="H2079" s="11"/>
      <c r="I2079" s="2"/>
      <c r="J2079" s="2"/>
      <c r="K2079" s="2"/>
      <c r="L2079" s="10"/>
      <c r="M2079" s="9"/>
      <c r="N2079" s="2"/>
      <c r="O2079" s="2"/>
      <c r="P2079" s="2"/>
      <c r="Q2079" s="50"/>
      <c r="R2079" s="50"/>
      <c r="S2079" s="2">
        <f>IFERROR(VLOOKUP(A2079,IMPORT_DESISTENCIA!$A$2:$Q2273,14,0),"NÃO")</f>
        <v>0</v>
      </c>
      <c r="T2079" s="35"/>
    </row>
    <row r="2080" spans="1:20" ht="45" customHeight="1" x14ac:dyDescent="0.25">
      <c r="A2080" s="2" t="str">
        <f t="shared" si="1"/>
        <v/>
      </c>
      <c r="B2080" s="2"/>
      <c r="C2080" s="43"/>
      <c r="D2080" s="2"/>
      <c r="E2080" s="2"/>
      <c r="F2080" s="2"/>
      <c r="G2080" s="11"/>
      <c r="H2080" s="11"/>
      <c r="I2080" s="2"/>
      <c r="J2080" s="2"/>
      <c r="K2080" s="2"/>
      <c r="L2080" s="10"/>
      <c r="M2080" s="9"/>
      <c r="N2080" s="2"/>
      <c r="O2080" s="2"/>
      <c r="P2080" s="2"/>
      <c r="Q2080" s="50"/>
      <c r="R2080" s="50"/>
      <c r="S2080" s="2">
        <f>IFERROR(VLOOKUP(A2080,IMPORT_DESISTENCIA!$A$2:$Q2273,14,0),"NÃO")</f>
        <v>0</v>
      </c>
      <c r="T2080" s="35"/>
    </row>
    <row r="2081" spans="1:20" ht="45" customHeight="1" x14ac:dyDescent="0.25">
      <c r="A2081" s="2" t="str">
        <f t="shared" si="1"/>
        <v/>
      </c>
      <c r="B2081" s="2"/>
      <c r="C2081" s="43"/>
      <c r="D2081" s="2"/>
      <c r="E2081" s="2"/>
      <c r="F2081" s="2"/>
      <c r="G2081" s="11"/>
      <c r="H2081" s="11"/>
      <c r="I2081" s="2"/>
      <c r="J2081" s="2"/>
      <c r="K2081" s="2"/>
      <c r="L2081" s="10"/>
      <c r="M2081" s="9"/>
      <c r="N2081" s="2"/>
      <c r="O2081" s="2"/>
      <c r="P2081" s="2"/>
      <c r="Q2081" s="50"/>
      <c r="R2081" s="50"/>
      <c r="S2081" s="2">
        <f>IFERROR(VLOOKUP(A2081,IMPORT_DESISTENCIA!$A$2:$Q2273,14,0),"NÃO")</f>
        <v>0</v>
      </c>
      <c r="T2081" s="35"/>
    </row>
    <row r="2082" spans="1:20" ht="45" customHeight="1" x14ac:dyDescent="0.25">
      <c r="A2082" s="2" t="str">
        <f t="shared" si="1"/>
        <v/>
      </c>
      <c r="B2082" s="2"/>
      <c r="C2082" s="43"/>
      <c r="D2082" s="2"/>
      <c r="E2082" s="2"/>
      <c r="F2082" s="2"/>
      <c r="G2082" s="11"/>
      <c r="H2082" s="11"/>
      <c r="I2082" s="2"/>
      <c r="J2082" s="2"/>
      <c r="K2082" s="2"/>
      <c r="L2082" s="10"/>
      <c r="M2082" s="9"/>
      <c r="N2082" s="2"/>
      <c r="O2082" s="2"/>
      <c r="P2082" s="2"/>
      <c r="Q2082" s="50"/>
      <c r="R2082" s="50"/>
      <c r="S2082" s="2">
        <f>IFERROR(VLOOKUP(A2082,IMPORT_DESISTENCIA!$A$2:$Q2273,14,0),"NÃO")</f>
        <v>0</v>
      </c>
      <c r="T2082" s="35"/>
    </row>
    <row r="2083" spans="1:20" ht="45" customHeight="1" x14ac:dyDescent="0.25">
      <c r="A2083" s="2" t="str">
        <f t="shared" si="1"/>
        <v/>
      </c>
      <c r="B2083" s="2"/>
      <c r="C2083" s="43"/>
      <c r="D2083" s="2"/>
      <c r="E2083" s="2"/>
      <c r="F2083" s="2"/>
      <c r="G2083" s="11"/>
      <c r="H2083" s="11"/>
      <c r="I2083" s="2"/>
      <c r="J2083" s="2"/>
      <c r="K2083" s="2"/>
      <c r="L2083" s="10"/>
      <c r="M2083" s="9"/>
      <c r="N2083" s="2"/>
      <c r="O2083" s="2"/>
      <c r="P2083" s="2"/>
      <c r="Q2083" s="50"/>
      <c r="R2083" s="50"/>
      <c r="S2083" s="2">
        <f>IFERROR(VLOOKUP(A2083,IMPORT_DESISTENCIA!$A$2:$Q2273,14,0),"NÃO")</f>
        <v>0</v>
      </c>
      <c r="T2083" s="35"/>
    </row>
    <row r="2084" spans="1:20" ht="45" customHeight="1" x14ac:dyDescent="0.25">
      <c r="A2084" s="2" t="str">
        <f t="shared" si="1"/>
        <v/>
      </c>
      <c r="B2084" s="2"/>
      <c r="C2084" s="43"/>
      <c r="D2084" s="2"/>
      <c r="E2084" s="2"/>
      <c r="F2084" s="2"/>
      <c r="G2084" s="11"/>
      <c r="H2084" s="11"/>
      <c r="I2084" s="2"/>
      <c r="J2084" s="2"/>
      <c r="K2084" s="2"/>
      <c r="L2084" s="10"/>
      <c r="M2084" s="9"/>
      <c r="N2084" s="2"/>
      <c r="O2084" s="2"/>
      <c r="P2084" s="2"/>
      <c r="Q2084" s="50"/>
      <c r="R2084" s="50"/>
      <c r="S2084" s="2">
        <f>IFERROR(VLOOKUP(A2084,IMPORT_DESISTENCIA!$A$2:$Q2273,14,0),"NÃO")</f>
        <v>0</v>
      </c>
      <c r="T2084" s="35"/>
    </row>
    <row r="2085" spans="1:20" ht="45" customHeight="1" x14ac:dyDescent="0.25">
      <c r="A2085" s="2" t="str">
        <f t="shared" si="1"/>
        <v/>
      </c>
      <c r="B2085" s="2"/>
      <c r="C2085" s="43"/>
      <c r="D2085" s="2"/>
      <c r="E2085" s="2"/>
      <c r="F2085" s="2"/>
      <c r="G2085" s="11"/>
      <c r="H2085" s="11"/>
      <c r="I2085" s="2"/>
      <c r="J2085" s="2"/>
      <c r="K2085" s="2"/>
      <c r="L2085" s="10"/>
      <c r="M2085" s="9"/>
      <c r="N2085" s="2"/>
      <c r="O2085" s="2"/>
      <c r="P2085" s="2"/>
      <c r="Q2085" s="50"/>
      <c r="R2085" s="50"/>
      <c r="S2085" s="2">
        <f>IFERROR(VLOOKUP(A2085,IMPORT_DESISTENCIA!$A$2:$Q2273,14,0),"NÃO")</f>
        <v>0</v>
      </c>
      <c r="T2085" s="35"/>
    </row>
    <row r="2086" spans="1:20" ht="45" customHeight="1" x14ac:dyDescent="0.25">
      <c r="A2086" s="2" t="str">
        <f t="shared" si="1"/>
        <v/>
      </c>
      <c r="B2086" s="2"/>
      <c r="C2086" s="43"/>
      <c r="D2086" s="2"/>
      <c r="E2086" s="2"/>
      <c r="F2086" s="2"/>
      <c r="G2086" s="11"/>
      <c r="H2086" s="11"/>
      <c r="I2086" s="2"/>
      <c r="J2086" s="2"/>
      <c r="K2086" s="2"/>
      <c r="L2086" s="10"/>
      <c r="M2086" s="9"/>
      <c r="N2086" s="2"/>
      <c r="O2086" s="2"/>
      <c r="P2086" s="2"/>
      <c r="Q2086" s="50"/>
      <c r="R2086" s="50"/>
      <c r="S2086" s="2">
        <f>IFERROR(VLOOKUP(A2086,IMPORT_DESISTENCIA!$A$2:$Q2273,14,0),"NÃO")</f>
        <v>0</v>
      </c>
      <c r="T2086" s="35"/>
    </row>
    <row r="2087" spans="1:20" ht="45" customHeight="1" x14ac:dyDescent="0.25">
      <c r="A2087" s="2" t="str">
        <f t="shared" si="1"/>
        <v/>
      </c>
      <c r="B2087" s="2"/>
      <c r="C2087" s="43"/>
      <c r="D2087" s="2"/>
      <c r="E2087" s="2"/>
      <c r="F2087" s="2"/>
      <c r="G2087" s="11"/>
      <c r="H2087" s="11"/>
      <c r="I2087" s="2"/>
      <c r="J2087" s="2"/>
      <c r="K2087" s="2"/>
      <c r="L2087" s="10"/>
      <c r="M2087" s="9"/>
      <c r="N2087" s="2"/>
      <c r="O2087" s="2"/>
      <c r="P2087" s="2"/>
      <c r="Q2087" s="50"/>
      <c r="R2087" s="50"/>
      <c r="S2087" s="2">
        <f>IFERROR(VLOOKUP(A2087,IMPORT_DESISTENCIA!$A$2:$Q2273,14,0),"NÃO")</f>
        <v>0</v>
      </c>
      <c r="T2087" s="35"/>
    </row>
    <row r="2088" spans="1:20" ht="45" customHeight="1" x14ac:dyDescent="0.25">
      <c r="A2088" s="2" t="str">
        <f t="shared" si="1"/>
        <v/>
      </c>
      <c r="B2088" s="2"/>
      <c r="C2088" s="43"/>
      <c r="D2088" s="2"/>
      <c r="E2088" s="2"/>
      <c r="F2088" s="2"/>
      <c r="G2088" s="11"/>
      <c r="H2088" s="11"/>
      <c r="I2088" s="2"/>
      <c r="J2088" s="2"/>
      <c r="K2088" s="2"/>
      <c r="L2088" s="10"/>
      <c r="M2088" s="9"/>
      <c r="N2088" s="2"/>
      <c r="O2088" s="2"/>
      <c r="P2088" s="2"/>
      <c r="Q2088" s="50"/>
      <c r="R2088" s="50"/>
      <c r="S2088" s="2">
        <f>IFERROR(VLOOKUP(A2088,IMPORT_DESISTENCIA!$A$2:$Q2273,14,0),"NÃO")</f>
        <v>0</v>
      </c>
      <c r="T2088" s="35"/>
    </row>
    <row r="2089" spans="1:20" ht="45" customHeight="1" x14ac:dyDescent="0.25">
      <c r="A2089" s="2" t="str">
        <f t="shared" si="1"/>
        <v/>
      </c>
      <c r="B2089" s="2"/>
      <c r="C2089" s="43"/>
      <c r="D2089" s="2"/>
      <c r="E2089" s="2"/>
      <c r="F2089" s="2"/>
      <c r="G2089" s="11"/>
      <c r="H2089" s="11"/>
      <c r="I2089" s="2"/>
      <c r="J2089" s="2"/>
      <c r="K2089" s="2"/>
      <c r="L2089" s="10"/>
      <c r="M2089" s="9"/>
      <c r="N2089" s="2"/>
      <c r="O2089" s="2"/>
      <c r="P2089" s="2"/>
      <c r="Q2089" s="50"/>
      <c r="R2089" s="50"/>
      <c r="S2089" s="2">
        <f>IFERROR(VLOOKUP(A2089,IMPORT_DESISTENCIA!$A$2:$Q2273,14,0),"NÃO")</f>
        <v>0</v>
      </c>
      <c r="T2089" s="35"/>
    </row>
    <row r="2090" spans="1:20" ht="45" customHeight="1" x14ac:dyDescent="0.25">
      <c r="A2090" s="2" t="str">
        <f t="shared" si="1"/>
        <v/>
      </c>
      <c r="B2090" s="2"/>
      <c r="C2090" s="43"/>
      <c r="D2090" s="2"/>
      <c r="E2090" s="2"/>
      <c r="F2090" s="2"/>
      <c r="G2090" s="11"/>
      <c r="H2090" s="11"/>
      <c r="I2090" s="2"/>
      <c r="J2090" s="2"/>
      <c r="K2090" s="2"/>
      <c r="L2090" s="10"/>
      <c r="M2090" s="9"/>
      <c r="N2090" s="2"/>
      <c r="O2090" s="2"/>
      <c r="P2090" s="2"/>
      <c r="Q2090" s="50"/>
      <c r="R2090" s="50"/>
      <c r="S2090" s="2">
        <f>IFERROR(VLOOKUP(A2090,IMPORT_DESISTENCIA!$A$2:$Q2273,14,0),"NÃO")</f>
        <v>0</v>
      </c>
      <c r="T2090" s="35"/>
    </row>
    <row r="2091" spans="1:20" ht="45" customHeight="1" x14ac:dyDescent="0.25">
      <c r="A2091" s="2" t="str">
        <f t="shared" si="1"/>
        <v/>
      </c>
      <c r="B2091" s="2"/>
      <c r="C2091" s="43"/>
      <c r="D2091" s="2"/>
      <c r="E2091" s="2"/>
      <c r="F2091" s="2"/>
      <c r="G2091" s="11"/>
      <c r="H2091" s="11"/>
      <c r="I2091" s="2"/>
      <c r="J2091" s="2"/>
      <c r="K2091" s="2"/>
      <c r="L2091" s="10"/>
      <c r="M2091" s="9"/>
      <c r="N2091" s="2"/>
      <c r="O2091" s="2"/>
      <c r="P2091" s="2"/>
      <c r="Q2091" s="50"/>
      <c r="R2091" s="50"/>
      <c r="S2091" s="2">
        <f>IFERROR(VLOOKUP(A2091,IMPORT_DESISTENCIA!$A$2:$Q2273,14,0),"NÃO")</f>
        <v>0</v>
      </c>
      <c r="T2091" s="35"/>
    </row>
    <row r="2092" spans="1:20" ht="45" customHeight="1" x14ac:dyDescent="0.25">
      <c r="A2092" s="2" t="str">
        <f t="shared" si="1"/>
        <v/>
      </c>
      <c r="B2092" s="2"/>
      <c r="C2092" s="43"/>
      <c r="D2092" s="2"/>
      <c r="E2092" s="2"/>
      <c r="F2092" s="2"/>
      <c r="G2092" s="11"/>
      <c r="H2092" s="11"/>
      <c r="I2092" s="2"/>
      <c r="J2092" s="2"/>
      <c r="K2092" s="2"/>
      <c r="L2092" s="10"/>
      <c r="M2092" s="9"/>
      <c r="N2092" s="2"/>
      <c r="O2092" s="2"/>
      <c r="P2092" s="2"/>
      <c r="Q2092" s="50"/>
      <c r="R2092" s="50"/>
      <c r="S2092" s="2">
        <f>IFERROR(VLOOKUP(A2092,IMPORT_DESISTENCIA!$A$2:$Q2273,14,0),"NÃO")</f>
        <v>0</v>
      </c>
      <c r="T2092" s="35"/>
    </row>
    <row r="2093" spans="1:20" ht="45" customHeight="1" x14ac:dyDescent="0.25">
      <c r="A2093" s="2" t="str">
        <f t="shared" si="1"/>
        <v/>
      </c>
      <c r="B2093" s="2"/>
      <c r="C2093" s="43"/>
      <c r="D2093" s="2"/>
      <c r="E2093" s="2"/>
      <c r="F2093" s="2"/>
      <c r="G2093" s="11"/>
      <c r="H2093" s="11"/>
      <c r="I2093" s="2"/>
      <c r="J2093" s="2"/>
      <c r="K2093" s="2"/>
      <c r="L2093" s="10"/>
      <c r="M2093" s="9"/>
      <c r="N2093" s="2"/>
      <c r="O2093" s="2"/>
      <c r="P2093" s="2"/>
      <c r="Q2093" s="50"/>
      <c r="R2093" s="50"/>
      <c r="S2093" s="2">
        <f>IFERROR(VLOOKUP(A2093,IMPORT_DESISTENCIA!$A$2:$Q2273,14,0),"NÃO")</f>
        <v>0</v>
      </c>
      <c r="T2093" s="35"/>
    </row>
    <row r="2094" spans="1:20" ht="45" customHeight="1" x14ac:dyDescent="0.25">
      <c r="A2094" s="2" t="str">
        <f t="shared" si="1"/>
        <v/>
      </c>
      <c r="B2094" s="2"/>
      <c r="C2094" s="43"/>
      <c r="D2094" s="2"/>
      <c r="E2094" s="2"/>
      <c r="F2094" s="2"/>
      <c r="G2094" s="11"/>
      <c r="H2094" s="11"/>
      <c r="I2094" s="2"/>
      <c r="J2094" s="2"/>
      <c r="K2094" s="2"/>
      <c r="L2094" s="10"/>
      <c r="M2094" s="9"/>
      <c r="N2094" s="2"/>
      <c r="O2094" s="2"/>
      <c r="P2094" s="2"/>
      <c r="Q2094" s="50"/>
      <c r="R2094" s="50"/>
      <c r="S2094" s="2">
        <f>IFERROR(VLOOKUP(A2094,IMPORT_DESISTENCIA!$A$2:$Q2273,14,0),"NÃO")</f>
        <v>0</v>
      </c>
      <c r="T2094" s="35"/>
    </row>
    <row r="2095" spans="1:20" ht="45" customHeight="1" x14ac:dyDescent="0.25">
      <c r="A2095" s="2" t="str">
        <f t="shared" si="1"/>
        <v/>
      </c>
      <c r="B2095" s="2"/>
      <c r="C2095" s="43"/>
      <c r="D2095" s="2"/>
      <c r="E2095" s="2"/>
      <c r="F2095" s="2"/>
      <c r="G2095" s="11"/>
      <c r="H2095" s="11"/>
      <c r="I2095" s="2"/>
      <c r="J2095" s="2"/>
      <c r="K2095" s="2"/>
      <c r="L2095" s="10"/>
      <c r="M2095" s="9"/>
      <c r="N2095" s="2"/>
      <c r="O2095" s="2"/>
      <c r="P2095" s="2"/>
      <c r="Q2095" s="50"/>
      <c r="R2095" s="50"/>
      <c r="S2095" s="2">
        <f>IFERROR(VLOOKUP(A2095,IMPORT_DESISTENCIA!$A$2:$Q2273,14,0),"NÃO")</f>
        <v>0</v>
      </c>
      <c r="T2095" s="35"/>
    </row>
    <row r="2096" spans="1:20" ht="45" customHeight="1" x14ac:dyDescent="0.25">
      <c r="A2096" s="2" t="str">
        <f t="shared" si="1"/>
        <v/>
      </c>
      <c r="B2096" s="2"/>
      <c r="C2096" s="43"/>
      <c r="D2096" s="2"/>
      <c r="E2096" s="2"/>
      <c r="F2096" s="2"/>
      <c r="G2096" s="11"/>
      <c r="H2096" s="11"/>
      <c r="I2096" s="2"/>
      <c r="J2096" s="2"/>
      <c r="K2096" s="2"/>
      <c r="L2096" s="10"/>
      <c r="M2096" s="9"/>
      <c r="N2096" s="2"/>
      <c r="O2096" s="2"/>
      <c r="P2096" s="2"/>
      <c r="Q2096" s="50"/>
      <c r="R2096" s="50"/>
      <c r="S2096" s="2">
        <f>IFERROR(VLOOKUP(A2096,IMPORT_DESISTENCIA!$A$2:$Q2273,14,0),"NÃO")</f>
        <v>0</v>
      </c>
      <c r="T2096" s="35"/>
    </row>
    <row r="2097" spans="1:20" ht="45" customHeight="1" x14ac:dyDescent="0.25">
      <c r="A2097" s="2" t="str">
        <f t="shared" si="1"/>
        <v/>
      </c>
      <c r="B2097" s="2"/>
      <c r="C2097" s="43"/>
      <c r="D2097" s="2"/>
      <c r="E2097" s="2"/>
      <c r="F2097" s="2"/>
      <c r="G2097" s="11"/>
      <c r="H2097" s="11"/>
      <c r="I2097" s="2"/>
      <c r="J2097" s="2"/>
      <c r="K2097" s="2"/>
      <c r="L2097" s="10"/>
      <c r="M2097" s="9"/>
      <c r="N2097" s="2"/>
      <c r="O2097" s="2"/>
      <c r="P2097" s="2"/>
      <c r="Q2097" s="50"/>
      <c r="R2097" s="50"/>
      <c r="S2097" s="2">
        <f>IFERROR(VLOOKUP(A2097,IMPORT_DESISTENCIA!$A$2:$Q2273,14,0),"NÃO")</f>
        <v>0</v>
      </c>
      <c r="T2097" s="35"/>
    </row>
    <row r="2098" spans="1:20" ht="45" customHeight="1" x14ac:dyDescent="0.25">
      <c r="A2098" s="2" t="str">
        <f t="shared" si="1"/>
        <v/>
      </c>
      <c r="B2098" s="2"/>
      <c r="C2098" s="43"/>
      <c r="D2098" s="2"/>
      <c r="E2098" s="2"/>
      <c r="F2098" s="2"/>
      <c r="G2098" s="11"/>
      <c r="H2098" s="11"/>
      <c r="I2098" s="2"/>
      <c r="J2098" s="2"/>
      <c r="K2098" s="2"/>
      <c r="L2098" s="10"/>
      <c r="M2098" s="9"/>
      <c r="N2098" s="2"/>
      <c r="O2098" s="2"/>
      <c r="P2098" s="2"/>
      <c r="Q2098" s="50"/>
      <c r="R2098" s="50"/>
      <c r="S2098" s="2">
        <f>IFERROR(VLOOKUP(A2098,IMPORT_DESISTENCIA!$A$2:$Q2273,14,0),"NÃO")</f>
        <v>0</v>
      </c>
      <c r="T2098" s="35"/>
    </row>
    <row r="2099" spans="1:20" ht="45" customHeight="1" x14ac:dyDescent="0.25">
      <c r="A2099" s="2" t="str">
        <f t="shared" si="1"/>
        <v/>
      </c>
      <c r="B2099" s="2"/>
      <c r="C2099" s="43"/>
      <c r="D2099" s="2"/>
      <c r="E2099" s="2"/>
      <c r="F2099" s="2"/>
      <c r="G2099" s="11"/>
      <c r="H2099" s="11"/>
      <c r="I2099" s="2"/>
      <c r="J2099" s="2"/>
      <c r="K2099" s="2"/>
      <c r="L2099" s="10"/>
      <c r="M2099" s="9"/>
      <c r="N2099" s="2"/>
      <c r="O2099" s="2"/>
      <c r="P2099" s="2"/>
      <c r="Q2099" s="50"/>
      <c r="R2099" s="50"/>
      <c r="S2099" s="2">
        <f>IFERROR(VLOOKUP(A2099,IMPORT_DESISTENCIA!$A$2:$Q2273,14,0),"NÃO")</f>
        <v>0</v>
      </c>
      <c r="T2099" s="35"/>
    </row>
    <row r="2100" spans="1:20" ht="45" customHeight="1" x14ac:dyDescent="0.25">
      <c r="A2100" s="2" t="str">
        <f t="shared" si="1"/>
        <v/>
      </c>
      <c r="B2100" s="2"/>
      <c r="C2100" s="43"/>
      <c r="D2100" s="2"/>
      <c r="E2100" s="2"/>
      <c r="F2100" s="2"/>
      <c r="G2100" s="11"/>
      <c r="H2100" s="11"/>
      <c r="I2100" s="2"/>
      <c r="J2100" s="2"/>
      <c r="K2100" s="2"/>
      <c r="L2100" s="10"/>
      <c r="M2100" s="9"/>
      <c r="N2100" s="2"/>
      <c r="O2100" s="2"/>
      <c r="P2100" s="2"/>
      <c r="Q2100" s="50"/>
      <c r="R2100" s="50"/>
      <c r="S2100" s="2">
        <f>IFERROR(VLOOKUP(A2100,IMPORT_DESISTENCIA!$A$2:$Q2273,14,0),"NÃO")</f>
        <v>0</v>
      </c>
      <c r="T2100" s="35"/>
    </row>
    <row r="2101" spans="1:20" ht="45" customHeight="1" x14ac:dyDescent="0.25">
      <c r="A2101" s="2" t="str">
        <f t="shared" si="1"/>
        <v/>
      </c>
      <c r="B2101" s="2"/>
      <c r="C2101" s="43"/>
      <c r="D2101" s="2"/>
      <c r="E2101" s="2"/>
      <c r="F2101" s="2"/>
      <c r="G2101" s="11"/>
      <c r="H2101" s="11"/>
      <c r="I2101" s="2"/>
      <c r="J2101" s="2"/>
      <c r="K2101" s="2"/>
      <c r="L2101" s="10"/>
      <c r="M2101" s="9"/>
      <c r="N2101" s="2"/>
      <c r="O2101" s="2"/>
      <c r="P2101" s="2"/>
      <c r="Q2101" s="50"/>
      <c r="R2101" s="50"/>
      <c r="S2101" s="2">
        <f>IFERROR(VLOOKUP(A2101,IMPORT_DESISTENCIA!$A$2:$Q2273,14,0),"NÃO")</f>
        <v>0</v>
      </c>
      <c r="T2101" s="35"/>
    </row>
    <row r="2102" spans="1:20" ht="45" customHeight="1" x14ac:dyDescent="0.25">
      <c r="A2102" s="2" t="str">
        <f t="shared" si="1"/>
        <v/>
      </c>
      <c r="B2102" s="2"/>
      <c r="C2102" s="43"/>
      <c r="D2102" s="2"/>
      <c r="E2102" s="2"/>
      <c r="F2102" s="2"/>
      <c r="G2102" s="11"/>
      <c r="H2102" s="11"/>
      <c r="I2102" s="2"/>
      <c r="J2102" s="2"/>
      <c r="K2102" s="2"/>
      <c r="L2102" s="10"/>
      <c r="M2102" s="9"/>
      <c r="N2102" s="2"/>
      <c r="O2102" s="2"/>
      <c r="P2102" s="2"/>
      <c r="Q2102" s="50"/>
      <c r="R2102" s="50"/>
      <c r="S2102" s="2">
        <f>IFERROR(VLOOKUP(A2102,IMPORT_DESISTENCIA!$A$2:$Q2273,14,0),"NÃO")</f>
        <v>0</v>
      </c>
      <c r="T2102" s="35"/>
    </row>
    <row r="2103" spans="1:20" ht="45" customHeight="1" x14ac:dyDescent="0.25">
      <c r="A2103" s="2" t="str">
        <f t="shared" si="1"/>
        <v/>
      </c>
      <c r="B2103" s="2"/>
      <c r="C2103" s="43"/>
      <c r="D2103" s="2"/>
      <c r="E2103" s="2"/>
      <c r="F2103" s="2"/>
      <c r="G2103" s="11"/>
      <c r="H2103" s="11"/>
      <c r="I2103" s="2"/>
      <c r="J2103" s="2"/>
      <c r="K2103" s="2"/>
      <c r="L2103" s="10"/>
      <c r="M2103" s="9"/>
      <c r="N2103" s="2"/>
      <c r="O2103" s="2"/>
      <c r="P2103" s="2"/>
      <c r="Q2103" s="50"/>
      <c r="R2103" s="50"/>
      <c r="S2103" s="2">
        <f>IFERROR(VLOOKUP(A2103,IMPORT_DESISTENCIA!$A$2:$Q2273,14,0),"NÃO")</f>
        <v>0</v>
      </c>
      <c r="T2103" s="35"/>
    </row>
    <row r="2104" spans="1:20" ht="45" customHeight="1" x14ac:dyDescent="0.25">
      <c r="A2104" s="2" t="str">
        <f t="shared" si="1"/>
        <v/>
      </c>
      <c r="B2104" s="2"/>
      <c r="C2104" s="43"/>
      <c r="D2104" s="2"/>
      <c r="E2104" s="2"/>
      <c r="F2104" s="2"/>
      <c r="G2104" s="11"/>
      <c r="H2104" s="11"/>
      <c r="I2104" s="2"/>
      <c r="J2104" s="2"/>
      <c r="K2104" s="2"/>
      <c r="L2104" s="10"/>
      <c r="M2104" s="9"/>
      <c r="N2104" s="2"/>
      <c r="O2104" s="2"/>
      <c r="P2104" s="2"/>
      <c r="Q2104" s="50"/>
      <c r="R2104" s="50"/>
      <c r="S2104" s="2">
        <f>IFERROR(VLOOKUP(A2104,IMPORT_DESISTENCIA!$A$2:$Q2273,14,0),"NÃO")</f>
        <v>0</v>
      </c>
      <c r="T2104" s="35"/>
    </row>
    <row r="2105" spans="1:20" ht="45" customHeight="1" x14ac:dyDescent="0.25">
      <c r="A2105" s="2" t="str">
        <f t="shared" si="1"/>
        <v/>
      </c>
      <c r="B2105" s="2"/>
      <c r="C2105" s="43"/>
      <c r="D2105" s="2"/>
      <c r="E2105" s="2"/>
      <c r="F2105" s="2"/>
      <c r="G2105" s="11"/>
      <c r="H2105" s="11"/>
      <c r="I2105" s="2"/>
      <c r="J2105" s="2"/>
      <c r="K2105" s="2"/>
      <c r="L2105" s="10"/>
      <c r="M2105" s="9"/>
      <c r="N2105" s="2"/>
      <c r="O2105" s="2"/>
      <c r="P2105" s="2"/>
      <c r="Q2105" s="50"/>
      <c r="R2105" s="50"/>
      <c r="S2105" s="2">
        <f>IFERROR(VLOOKUP(A2105,IMPORT_DESISTENCIA!$A$2:$Q2273,14,0),"NÃO")</f>
        <v>0</v>
      </c>
      <c r="T2105" s="35"/>
    </row>
    <row r="2106" spans="1:20" ht="45" customHeight="1" x14ac:dyDescent="0.25">
      <c r="A2106" s="2" t="str">
        <f t="shared" si="1"/>
        <v/>
      </c>
      <c r="B2106" s="2"/>
      <c r="C2106" s="43"/>
      <c r="D2106" s="2"/>
      <c r="E2106" s="2"/>
      <c r="F2106" s="2"/>
      <c r="G2106" s="11"/>
      <c r="H2106" s="11"/>
      <c r="I2106" s="2"/>
      <c r="J2106" s="2"/>
      <c r="K2106" s="2"/>
      <c r="L2106" s="10"/>
      <c r="M2106" s="9"/>
      <c r="N2106" s="2"/>
      <c r="O2106" s="2"/>
      <c r="P2106" s="2"/>
      <c r="Q2106" s="50"/>
      <c r="R2106" s="50"/>
      <c r="S2106" s="2">
        <f>IFERROR(VLOOKUP(A2106,IMPORT_DESISTENCIA!$A$2:$Q2273,14,0),"NÃO")</f>
        <v>0</v>
      </c>
      <c r="T2106" s="35"/>
    </row>
    <row r="2107" spans="1:20" ht="45" customHeight="1" x14ac:dyDescent="0.25">
      <c r="A2107" s="2" t="str">
        <f t="shared" si="1"/>
        <v/>
      </c>
      <c r="B2107" s="2"/>
      <c r="C2107" s="43"/>
      <c r="D2107" s="2"/>
      <c r="E2107" s="2"/>
      <c r="F2107" s="2"/>
      <c r="G2107" s="11"/>
      <c r="H2107" s="11"/>
      <c r="I2107" s="2"/>
      <c r="J2107" s="2"/>
      <c r="K2107" s="2"/>
      <c r="L2107" s="10"/>
      <c r="M2107" s="9"/>
      <c r="N2107" s="2"/>
      <c r="O2107" s="2"/>
      <c r="P2107" s="2"/>
      <c r="Q2107" s="50"/>
      <c r="R2107" s="50"/>
      <c r="S2107" s="2">
        <f>IFERROR(VLOOKUP(A2107,IMPORT_DESISTENCIA!$A$2:$Q2273,14,0),"NÃO")</f>
        <v>0</v>
      </c>
      <c r="T2107" s="35"/>
    </row>
    <row r="2108" spans="1:20" ht="45" customHeight="1" x14ac:dyDescent="0.25">
      <c r="A2108" s="2" t="str">
        <f t="shared" si="1"/>
        <v/>
      </c>
      <c r="B2108" s="2"/>
      <c r="C2108" s="43"/>
      <c r="D2108" s="2"/>
      <c r="E2108" s="2"/>
      <c r="F2108" s="2"/>
      <c r="G2108" s="11"/>
      <c r="H2108" s="11"/>
      <c r="I2108" s="2"/>
      <c r="J2108" s="2"/>
      <c r="K2108" s="2"/>
      <c r="L2108" s="10"/>
      <c r="M2108" s="9"/>
      <c r="N2108" s="2"/>
      <c r="O2108" s="2"/>
      <c r="P2108" s="2"/>
      <c r="Q2108" s="50"/>
      <c r="R2108" s="50"/>
      <c r="S2108" s="2">
        <f>IFERROR(VLOOKUP(A2108,IMPORT_DESISTENCIA!$A$2:$Q2273,14,0),"NÃO")</f>
        <v>0</v>
      </c>
      <c r="T2108" s="35"/>
    </row>
    <row r="2109" spans="1:20" ht="45" customHeight="1" x14ac:dyDescent="0.25">
      <c r="A2109" s="2" t="str">
        <f t="shared" si="1"/>
        <v/>
      </c>
      <c r="B2109" s="2"/>
      <c r="C2109" s="43"/>
      <c r="D2109" s="2"/>
      <c r="E2109" s="2"/>
      <c r="F2109" s="2"/>
      <c r="G2109" s="11"/>
      <c r="H2109" s="11"/>
      <c r="I2109" s="2"/>
      <c r="J2109" s="2"/>
      <c r="K2109" s="2"/>
      <c r="L2109" s="10"/>
      <c r="M2109" s="9"/>
      <c r="N2109" s="2"/>
      <c r="O2109" s="2"/>
      <c r="P2109" s="2"/>
      <c r="Q2109" s="50"/>
      <c r="R2109" s="50"/>
      <c r="S2109" s="2">
        <f>IFERROR(VLOOKUP(A2109,IMPORT_DESISTENCIA!$A$2:$Q2273,14,0),"NÃO")</f>
        <v>0</v>
      </c>
      <c r="T2109" s="35"/>
    </row>
    <row r="2110" spans="1:20" ht="45" customHeight="1" x14ac:dyDescent="0.25">
      <c r="A2110" s="2" t="str">
        <f t="shared" si="1"/>
        <v/>
      </c>
      <c r="B2110" s="2"/>
      <c r="C2110" s="43"/>
      <c r="D2110" s="2"/>
      <c r="E2110" s="2"/>
      <c r="F2110" s="2"/>
      <c r="G2110" s="11"/>
      <c r="H2110" s="11"/>
      <c r="I2110" s="2"/>
      <c r="J2110" s="2"/>
      <c r="K2110" s="2"/>
      <c r="L2110" s="10"/>
      <c r="M2110" s="9"/>
      <c r="N2110" s="2"/>
      <c r="O2110" s="2"/>
      <c r="P2110" s="2"/>
      <c r="Q2110" s="50"/>
      <c r="R2110" s="50"/>
      <c r="S2110" s="2">
        <f>IFERROR(VLOOKUP(A2110,IMPORT_DESISTENCIA!$A$2:$Q2273,14,0),"NÃO")</f>
        <v>0</v>
      </c>
      <c r="T2110" s="35"/>
    </row>
    <row r="2111" spans="1:20" ht="45" customHeight="1" x14ac:dyDescent="0.25">
      <c r="A2111" s="2" t="str">
        <f t="shared" si="1"/>
        <v/>
      </c>
      <c r="B2111" s="2"/>
      <c r="C2111" s="43"/>
      <c r="D2111" s="2"/>
      <c r="E2111" s="2"/>
      <c r="F2111" s="2"/>
      <c r="G2111" s="11"/>
      <c r="H2111" s="11"/>
      <c r="I2111" s="2"/>
      <c r="J2111" s="2"/>
      <c r="K2111" s="2"/>
      <c r="L2111" s="10"/>
      <c r="M2111" s="9"/>
      <c r="N2111" s="2"/>
      <c r="O2111" s="2"/>
      <c r="P2111" s="2"/>
      <c r="Q2111" s="50"/>
      <c r="R2111" s="50"/>
      <c r="S2111" s="2">
        <f>IFERROR(VLOOKUP(A2111,IMPORT_DESISTENCIA!$A$2:$Q2273,14,0),"NÃO")</f>
        <v>0</v>
      </c>
      <c r="T2111" s="35"/>
    </row>
    <row r="2112" spans="1:20" ht="45" customHeight="1" x14ac:dyDescent="0.25">
      <c r="A2112" s="2" t="str">
        <f t="shared" si="1"/>
        <v/>
      </c>
      <c r="B2112" s="2"/>
      <c r="C2112" s="43"/>
      <c r="D2112" s="2"/>
      <c r="E2112" s="2"/>
      <c r="F2112" s="2"/>
      <c r="G2112" s="11"/>
      <c r="H2112" s="11"/>
      <c r="I2112" s="2"/>
      <c r="J2112" s="2"/>
      <c r="K2112" s="2"/>
      <c r="L2112" s="10"/>
      <c r="M2112" s="9"/>
      <c r="N2112" s="2"/>
      <c r="O2112" s="2"/>
      <c r="P2112" s="2"/>
      <c r="Q2112" s="50"/>
      <c r="R2112" s="50"/>
      <c r="S2112" s="2">
        <f>IFERROR(VLOOKUP(A2112,IMPORT_DESISTENCIA!$A$2:$Q2273,14,0),"NÃO")</f>
        <v>0</v>
      </c>
      <c r="T2112" s="35"/>
    </row>
    <row r="2113" spans="1:20" ht="45" customHeight="1" x14ac:dyDescent="0.25">
      <c r="A2113" s="2" t="str">
        <f t="shared" si="1"/>
        <v/>
      </c>
      <c r="B2113" s="2"/>
      <c r="C2113" s="43"/>
      <c r="D2113" s="2"/>
      <c r="E2113" s="2"/>
      <c r="F2113" s="2"/>
      <c r="G2113" s="11"/>
      <c r="H2113" s="11"/>
      <c r="I2113" s="2"/>
      <c r="J2113" s="2"/>
      <c r="K2113" s="2"/>
      <c r="L2113" s="10"/>
      <c r="M2113" s="9"/>
      <c r="N2113" s="2"/>
      <c r="O2113" s="2"/>
      <c r="P2113" s="2"/>
      <c r="Q2113" s="50"/>
      <c r="R2113" s="50"/>
      <c r="S2113" s="2">
        <f>IFERROR(VLOOKUP(A2113,IMPORT_DESISTENCIA!$A$2:$Q2273,14,0),"NÃO")</f>
        <v>0</v>
      </c>
      <c r="T2113" s="35"/>
    </row>
    <row r="2114" spans="1:20" ht="45" customHeight="1" x14ac:dyDescent="0.25">
      <c r="A2114" s="2" t="str">
        <f t="shared" si="1"/>
        <v/>
      </c>
      <c r="B2114" s="2"/>
      <c r="C2114" s="43"/>
      <c r="D2114" s="2"/>
      <c r="E2114" s="2"/>
      <c r="F2114" s="2"/>
      <c r="G2114" s="11"/>
      <c r="H2114" s="11"/>
      <c r="I2114" s="2"/>
      <c r="J2114" s="2"/>
      <c r="K2114" s="2"/>
      <c r="L2114" s="10"/>
      <c r="M2114" s="9"/>
      <c r="N2114" s="2"/>
      <c r="O2114" s="2"/>
      <c r="P2114" s="2"/>
      <c r="Q2114" s="50"/>
      <c r="R2114" s="50"/>
      <c r="S2114" s="2">
        <f>IFERROR(VLOOKUP(A2114,IMPORT_DESISTENCIA!$A$2:$Q2273,14,0),"NÃO")</f>
        <v>0</v>
      </c>
      <c r="T2114" s="35"/>
    </row>
    <row r="2115" spans="1:20" ht="45" customHeight="1" x14ac:dyDescent="0.25">
      <c r="A2115" s="2" t="str">
        <f t="shared" si="1"/>
        <v/>
      </c>
      <c r="B2115" s="2"/>
      <c r="C2115" s="43"/>
      <c r="D2115" s="2"/>
      <c r="E2115" s="2"/>
      <c r="F2115" s="2"/>
      <c r="G2115" s="11"/>
      <c r="H2115" s="11"/>
      <c r="I2115" s="2"/>
      <c r="J2115" s="2"/>
      <c r="K2115" s="2"/>
      <c r="L2115" s="10"/>
      <c r="M2115" s="9"/>
      <c r="N2115" s="2"/>
      <c r="O2115" s="2"/>
      <c r="P2115" s="2"/>
      <c r="Q2115" s="50"/>
      <c r="R2115" s="50"/>
      <c r="S2115" s="2">
        <f>IFERROR(VLOOKUP(A2115,IMPORT_DESISTENCIA!$A$2:$Q2273,14,0),"NÃO")</f>
        <v>0</v>
      </c>
      <c r="T2115" s="35"/>
    </row>
    <row r="2116" spans="1:20" ht="45" customHeight="1" x14ac:dyDescent="0.25">
      <c r="A2116" s="2" t="str">
        <f t="shared" si="1"/>
        <v/>
      </c>
      <c r="B2116" s="2"/>
      <c r="C2116" s="43"/>
      <c r="D2116" s="2"/>
      <c r="E2116" s="2"/>
      <c r="F2116" s="2"/>
      <c r="G2116" s="11"/>
      <c r="H2116" s="11"/>
      <c r="I2116" s="2"/>
      <c r="J2116" s="2"/>
      <c r="K2116" s="2"/>
      <c r="L2116" s="10"/>
      <c r="M2116" s="9"/>
      <c r="N2116" s="2"/>
      <c r="O2116" s="2"/>
      <c r="P2116" s="2"/>
      <c r="Q2116" s="50"/>
      <c r="R2116" s="50"/>
      <c r="S2116" s="2">
        <f>IFERROR(VLOOKUP(A2116,IMPORT_DESISTENCIA!$A$2:$Q2273,14,0),"NÃO")</f>
        <v>0</v>
      </c>
      <c r="T2116" s="35"/>
    </row>
    <row r="2117" spans="1:20" ht="45" customHeight="1" x14ac:dyDescent="0.25">
      <c r="A2117" s="2" t="str">
        <f t="shared" si="1"/>
        <v/>
      </c>
      <c r="B2117" s="2"/>
      <c r="C2117" s="43"/>
      <c r="D2117" s="2"/>
      <c r="E2117" s="2"/>
      <c r="F2117" s="2"/>
      <c r="G2117" s="11"/>
      <c r="H2117" s="11"/>
      <c r="I2117" s="2"/>
      <c r="J2117" s="2"/>
      <c r="K2117" s="2"/>
      <c r="L2117" s="10"/>
      <c r="M2117" s="9"/>
      <c r="N2117" s="2"/>
      <c r="O2117" s="2"/>
      <c r="P2117" s="2"/>
      <c r="Q2117" s="50"/>
      <c r="R2117" s="50"/>
      <c r="S2117" s="2">
        <f>IFERROR(VLOOKUP(A2117,IMPORT_DESISTENCIA!$A$2:$Q2273,14,0),"NÃO")</f>
        <v>0</v>
      </c>
      <c r="T2117" s="35"/>
    </row>
    <row r="2118" spans="1:20" ht="45" customHeight="1" x14ac:dyDescent="0.25">
      <c r="A2118" s="2" t="str">
        <f t="shared" si="1"/>
        <v/>
      </c>
      <c r="B2118" s="2"/>
      <c r="C2118" s="43"/>
      <c r="D2118" s="2"/>
      <c r="E2118" s="2"/>
      <c r="F2118" s="2"/>
      <c r="G2118" s="11"/>
      <c r="H2118" s="11"/>
      <c r="I2118" s="2"/>
      <c r="J2118" s="2"/>
      <c r="K2118" s="2"/>
      <c r="L2118" s="10"/>
      <c r="M2118" s="9"/>
      <c r="N2118" s="2"/>
      <c r="O2118" s="2"/>
      <c r="P2118" s="2"/>
      <c r="Q2118" s="50"/>
      <c r="R2118" s="50"/>
      <c r="S2118" s="2">
        <f>IFERROR(VLOOKUP(A2118,IMPORT_DESISTENCIA!$A$2:$Q2273,14,0),"NÃO")</f>
        <v>0</v>
      </c>
      <c r="T2118" s="35"/>
    </row>
    <row r="2119" spans="1:20" ht="45" customHeight="1" x14ac:dyDescent="0.25">
      <c r="A2119" s="2" t="str">
        <f t="shared" si="1"/>
        <v/>
      </c>
      <c r="B2119" s="2"/>
      <c r="C2119" s="43"/>
      <c r="D2119" s="2"/>
      <c r="E2119" s="2"/>
      <c r="F2119" s="2"/>
      <c r="G2119" s="11"/>
      <c r="H2119" s="11"/>
      <c r="I2119" s="2"/>
      <c r="J2119" s="2"/>
      <c r="K2119" s="2"/>
      <c r="L2119" s="10"/>
      <c r="M2119" s="9"/>
      <c r="N2119" s="2"/>
      <c r="O2119" s="2"/>
      <c r="P2119" s="2"/>
      <c r="Q2119" s="50"/>
      <c r="R2119" s="50"/>
      <c r="S2119" s="2">
        <f>IFERROR(VLOOKUP(A2119,IMPORT_DESISTENCIA!$A$2:$Q2273,14,0),"NÃO")</f>
        <v>0</v>
      </c>
      <c r="T2119" s="35"/>
    </row>
    <row r="2120" spans="1:20" ht="45" customHeight="1" x14ac:dyDescent="0.25">
      <c r="A2120" s="2" t="str">
        <f t="shared" si="1"/>
        <v/>
      </c>
      <c r="B2120" s="2"/>
      <c r="C2120" s="43"/>
      <c r="D2120" s="2"/>
      <c r="E2120" s="2"/>
      <c r="F2120" s="2"/>
      <c r="G2120" s="11"/>
      <c r="H2120" s="11"/>
      <c r="I2120" s="2"/>
      <c r="J2120" s="2"/>
      <c r="K2120" s="2"/>
      <c r="L2120" s="10"/>
      <c r="M2120" s="9"/>
      <c r="N2120" s="2"/>
      <c r="O2120" s="2"/>
      <c r="P2120" s="2"/>
      <c r="Q2120" s="50"/>
      <c r="R2120" s="50"/>
      <c r="S2120" s="2">
        <f>IFERROR(VLOOKUP(A2120,IMPORT_DESISTENCIA!$A$2:$Q2273,14,0),"NÃO")</f>
        <v>0</v>
      </c>
      <c r="T2120" s="35"/>
    </row>
    <row r="2121" spans="1:20" ht="45" customHeight="1" x14ac:dyDescent="0.25">
      <c r="A2121" s="2" t="str">
        <f t="shared" si="1"/>
        <v/>
      </c>
      <c r="B2121" s="2"/>
      <c r="C2121" s="43"/>
      <c r="D2121" s="2"/>
      <c r="E2121" s="2"/>
      <c r="F2121" s="2"/>
      <c r="G2121" s="11"/>
      <c r="H2121" s="11"/>
      <c r="I2121" s="2"/>
      <c r="J2121" s="2"/>
      <c r="K2121" s="2"/>
      <c r="L2121" s="10"/>
      <c r="M2121" s="9"/>
      <c r="N2121" s="2"/>
      <c r="O2121" s="2"/>
      <c r="P2121" s="2"/>
      <c r="Q2121" s="50"/>
      <c r="R2121" s="50"/>
      <c r="S2121" s="2">
        <f>IFERROR(VLOOKUP(A2121,IMPORT_DESISTENCIA!$A$2:$Q2273,14,0),"NÃO")</f>
        <v>0</v>
      </c>
      <c r="T2121" s="35"/>
    </row>
    <row r="2122" spans="1:20" ht="45" customHeight="1" x14ac:dyDescent="0.25">
      <c r="A2122" s="2" t="str">
        <f t="shared" si="1"/>
        <v/>
      </c>
      <c r="B2122" s="2"/>
      <c r="C2122" s="43"/>
      <c r="D2122" s="2"/>
      <c r="E2122" s="2"/>
      <c r="F2122" s="2"/>
      <c r="G2122" s="11"/>
      <c r="H2122" s="11"/>
      <c r="I2122" s="2"/>
      <c r="J2122" s="2"/>
      <c r="K2122" s="2"/>
      <c r="L2122" s="10"/>
      <c r="M2122" s="9"/>
      <c r="N2122" s="2"/>
      <c r="O2122" s="2"/>
      <c r="P2122" s="2"/>
      <c r="Q2122" s="50"/>
      <c r="R2122" s="50"/>
      <c r="S2122" s="2">
        <f>IFERROR(VLOOKUP(A2122,IMPORT_DESISTENCIA!$A$2:$Q2273,14,0),"NÃO")</f>
        <v>0</v>
      </c>
      <c r="T2122" s="35"/>
    </row>
    <row r="2123" spans="1:20" ht="45" customHeight="1" x14ac:dyDescent="0.25">
      <c r="A2123" s="2" t="str">
        <f t="shared" si="1"/>
        <v/>
      </c>
      <c r="B2123" s="2"/>
      <c r="C2123" s="43"/>
      <c r="D2123" s="2"/>
      <c r="E2123" s="2"/>
      <c r="F2123" s="2"/>
      <c r="G2123" s="11"/>
      <c r="H2123" s="11"/>
      <c r="I2123" s="2"/>
      <c r="J2123" s="2"/>
      <c r="K2123" s="2"/>
      <c r="L2123" s="10"/>
      <c r="M2123" s="9"/>
      <c r="N2123" s="2"/>
      <c r="O2123" s="2"/>
      <c r="P2123" s="2"/>
      <c r="Q2123" s="50"/>
      <c r="R2123" s="50"/>
      <c r="S2123" s="2">
        <f>IFERROR(VLOOKUP(A2123,IMPORT_DESISTENCIA!$A$2:$Q2273,14,0),"NÃO")</f>
        <v>0</v>
      </c>
      <c r="T2123" s="35"/>
    </row>
    <row r="2124" spans="1:20" ht="45" customHeight="1" x14ac:dyDescent="0.25">
      <c r="A2124" s="2" t="str">
        <f t="shared" si="1"/>
        <v/>
      </c>
      <c r="B2124" s="2"/>
      <c r="C2124" s="43"/>
      <c r="D2124" s="2"/>
      <c r="E2124" s="2"/>
      <c r="F2124" s="2"/>
      <c r="G2124" s="11"/>
      <c r="H2124" s="11"/>
      <c r="I2124" s="2"/>
      <c r="J2124" s="2"/>
      <c r="K2124" s="2"/>
      <c r="L2124" s="10"/>
      <c r="M2124" s="9"/>
      <c r="N2124" s="2"/>
      <c r="O2124" s="2"/>
      <c r="P2124" s="2"/>
      <c r="Q2124" s="50"/>
      <c r="R2124" s="50"/>
      <c r="S2124" s="2">
        <f>IFERROR(VLOOKUP(A2124,IMPORT_DESISTENCIA!$A$2:$Q2273,14,0),"NÃO")</f>
        <v>0</v>
      </c>
      <c r="T2124" s="35"/>
    </row>
    <row r="2125" spans="1:20" ht="45" customHeight="1" x14ac:dyDescent="0.25">
      <c r="A2125" s="2" t="str">
        <f t="shared" si="1"/>
        <v/>
      </c>
      <c r="B2125" s="2"/>
      <c r="C2125" s="43"/>
      <c r="D2125" s="2"/>
      <c r="E2125" s="2"/>
      <c r="F2125" s="2"/>
      <c r="G2125" s="11"/>
      <c r="H2125" s="11"/>
      <c r="I2125" s="2"/>
      <c r="J2125" s="2"/>
      <c r="K2125" s="2"/>
      <c r="L2125" s="10"/>
      <c r="M2125" s="9"/>
      <c r="N2125" s="2"/>
      <c r="O2125" s="2"/>
      <c r="P2125" s="2"/>
      <c r="Q2125" s="50"/>
      <c r="R2125" s="50"/>
      <c r="S2125" s="2">
        <f>IFERROR(VLOOKUP(A2125,IMPORT_DESISTENCIA!$A$2:$Q2273,14,0),"NÃO")</f>
        <v>0</v>
      </c>
      <c r="T2125" s="35"/>
    </row>
    <row r="2126" spans="1:20" ht="45" customHeight="1" x14ac:dyDescent="0.25">
      <c r="A2126" s="2" t="str">
        <f t="shared" si="1"/>
        <v/>
      </c>
      <c r="B2126" s="2"/>
      <c r="C2126" s="43"/>
      <c r="D2126" s="2"/>
      <c r="E2126" s="2"/>
      <c r="F2126" s="2"/>
      <c r="G2126" s="11"/>
      <c r="H2126" s="11"/>
      <c r="I2126" s="2"/>
      <c r="J2126" s="2"/>
      <c r="K2126" s="2"/>
      <c r="L2126" s="10"/>
      <c r="M2126" s="9"/>
      <c r="N2126" s="2"/>
      <c r="O2126" s="2"/>
      <c r="P2126" s="2"/>
      <c r="Q2126" s="50"/>
      <c r="R2126" s="50"/>
      <c r="S2126" s="2">
        <f>IFERROR(VLOOKUP(A2126,IMPORT_DESISTENCIA!$A$2:$Q2273,14,0),"NÃO")</f>
        <v>0</v>
      </c>
      <c r="T2126" s="35"/>
    </row>
    <row r="2127" spans="1:20" ht="45" customHeight="1" x14ac:dyDescent="0.25">
      <c r="A2127" s="2" t="str">
        <f t="shared" si="1"/>
        <v/>
      </c>
      <c r="B2127" s="2"/>
      <c r="C2127" s="43"/>
      <c r="D2127" s="2"/>
      <c r="E2127" s="2"/>
      <c r="F2127" s="2"/>
      <c r="G2127" s="11"/>
      <c r="H2127" s="11"/>
      <c r="I2127" s="2"/>
      <c r="J2127" s="2"/>
      <c r="K2127" s="2"/>
      <c r="L2127" s="10"/>
      <c r="M2127" s="9"/>
      <c r="N2127" s="2"/>
      <c r="O2127" s="2"/>
      <c r="P2127" s="2"/>
      <c r="Q2127" s="50"/>
      <c r="R2127" s="50"/>
      <c r="S2127" s="2">
        <f>IFERROR(VLOOKUP(A2127,IMPORT_DESISTENCIA!$A$2:$Q2273,14,0),"NÃO")</f>
        <v>0</v>
      </c>
      <c r="T2127" s="35"/>
    </row>
    <row r="2128" spans="1:20" ht="45" customHeight="1" x14ac:dyDescent="0.25">
      <c r="A2128" s="2" t="str">
        <f t="shared" si="1"/>
        <v/>
      </c>
      <c r="B2128" s="2"/>
      <c r="C2128" s="43"/>
      <c r="D2128" s="2"/>
      <c r="E2128" s="2"/>
      <c r="F2128" s="2"/>
      <c r="G2128" s="11"/>
      <c r="H2128" s="11"/>
      <c r="I2128" s="2"/>
      <c r="J2128" s="2"/>
      <c r="K2128" s="2"/>
      <c r="L2128" s="10"/>
      <c r="M2128" s="9"/>
      <c r="N2128" s="2"/>
      <c r="O2128" s="2"/>
      <c r="P2128" s="2"/>
      <c r="Q2128" s="50"/>
      <c r="R2128" s="50"/>
      <c r="S2128" s="2">
        <f>IFERROR(VLOOKUP(A2128,IMPORT_DESISTENCIA!$A$2:$Q2273,14,0),"NÃO")</f>
        <v>0</v>
      </c>
      <c r="T2128" s="35"/>
    </row>
    <row r="2129" spans="1:20" ht="45" customHeight="1" x14ac:dyDescent="0.25">
      <c r="A2129" s="2" t="str">
        <f t="shared" si="1"/>
        <v/>
      </c>
      <c r="B2129" s="2"/>
      <c r="C2129" s="43"/>
      <c r="D2129" s="2"/>
      <c r="E2129" s="2"/>
      <c r="F2129" s="2"/>
      <c r="G2129" s="11"/>
      <c r="H2129" s="11"/>
      <c r="I2129" s="2"/>
      <c r="J2129" s="2"/>
      <c r="K2129" s="2"/>
      <c r="L2129" s="10"/>
      <c r="M2129" s="9"/>
      <c r="N2129" s="2"/>
      <c r="O2129" s="2"/>
      <c r="P2129" s="2"/>
      <c r="Q2129" s="50"/>
      <c r="R2129" s="50"/>
      <c r="S2129" s="2">
        <f>IFERROR(VLOOKUP(A2129,IMPORT_DESISTENCIA!$A$2:$Q2273,14,0),"NÃO")</f>
        <v>0</v>
      </c>
      <c r="T2129" s="35"/>
    </row>
    <row r="2130" spans="1:20" ht="45" customHeight="1" x14ac:dyDescent="0.25">
      <c r="A2130" s="2" t="str">
        <f t="shared" si="1"/>
        <v/>
      </c>
      <c r="B2130" s="2"/>
      <c r="C2130" s="43"/>
      <c r="D2130" s="2"/>
      <c r="E2130" s="2"/>
      <c r="F2130" s="2"/>
      <c r="G2130" s="11"/>
      <c r="H2130" s="11"/>
      <c r="I2130" s="2"/>
      <c r="J2130" s="2"/>
      <c r="K2130" s="2"/>
      <c r="L2130" s="10"/>
      <c r="M2130" s="9"/>
      <c r="N2130" s="2"/>
      <c r="O2130" s="2"/>
      <c r="P2130" s="2"/>
      <c r="Q2130" s="50"/>
      <c r="R2130" s="50"/>
      <c r="S2130" s="2">
        <f>IFERROR(VLOOKUP(A2130,IMPORT_DESISTENCIA!$A$2:$Q2273,14,0),"NÃO")</f>
        <v>0</v>
      </c>
      <c r="T2130" s="35"/>
    </row>
    <row r="2131" spans="1:20" ht="45" customHeight="1" x14ac:dyDescent="0.25">
      <c r="A2131" s="2" t="str">
        <f t="shared" si="1"/>
        <v/>
      </c>
      <c r="B2131" s="2"/>
      <c r="C2131" s="43"/>
      <c r="D2131" s="2"/>
      <c r="E2131" s="2"/>
      <c r="F2131" s="2"/>
      <c r="G2131" s="11"/>
      <c r="H2131" s="11"/>
      <c r="I2131" s="2"/>
      <c r="J2131" s="2"/>
      <c r="K2131" s="2"/>
      <c r="L2131" s="10"/>
      <c r="M2131" s="9"/>
      <c r="N2131" s="2"/>
      <c r="O2131" s="2"/>
      <c r="P2131" s="2"/>
      <c r="Q2131" s="50"/>
      <c r="R2131" s="50"/>
      <c r="S2131" s="2">
        <f>IFERROR(VLOOKUP(A2131,IMPORT_DESISTENCIA!$A$2:$Q2273,14,0),"NÃO")</f>
        <v>0</v>
      </c>
      <c r="T2131" s="35"/>
    </row>
    <row r="2132" spans="1:20" ht="45" customHeight="1" x14ac:dyDescent="0.25">
      <c r="A2132" s="2" t="str">
        <f t="shared" si="1"/>
        <v/>
      </c>
      <c r="B2132" s="2"/>
      <c r="C2132" s="43"/>
      <c r="D2132" s="2"/>
      <c r="E2132" s="2"/>
      <c r="F2132" s="2"/>
      <c r="G2132" s="11"/>
      <c r="H2132" s="11"/>
      <c r="I2132" s="2"/>
      <c r="J2132" s="2"/>
      <c r="K2132" s="2"/>
      <c r="L2132" s="10"/>
      <c r="M2132" s="9"/>
      <c r="N2132" s="2"/>
      <c r="O2132" s="2"/>
      <c r="P2132" s="2"/>
      <c r="Q2132" s="50"/>
      <c r="R2132" s="50"/>
      <c r="S2132" s="2">
        <f>IFERROR(VLOOKUP(A2132,IMPORT_DESISTENCIA!$A$2:$Q2273,14,0),"NÃO")</f>
        <v>0</v>
      </c>
      <c r="T2132" s="35"/>
    </row>
    <row r="2133" spans="1:20" ht="45" customHeight="1" x14ac:dyDescent="0.25">
      <c r="A2133" s="2" t="str">
        <f t="shared" si="1"/>
        <v/>
      </c>
      <c r="B2133" s="2"/>
      <c r="C2133" s="43"/>
      <c r="D2133" s="2"/>
      <c r="E2133" s="2"/>
      <c r="F2133" s="2"/>
      <c r="G2133" s="11"/>
      <c r="H2133" s="11"/>
      <c r="I2133" s="2"/>
      <c r="J2133" s="2"/>
      <c r="K2133" s="2"/>
      <c r="L2133" s="10"/>
      <c r="M2133" s="9"/>
      <c r="N2133" s="2"/>
      <c r="O2133" s="2"/>
      <c r="P2133" s="2"/>
      <c r="Q2133" s="50"/>
      <c r="R2133" s="50"/>
      <c r="S2133" s="2">
        <f>IFERROR(VLOOKUP(A2133,IMPORT_DESISTENCIA!$A$2:$Q2273,14,0),"NÃO")</f>
        <v>0</v>
      </c>
      <c r="T2133" s="35"/>
    </row>
    <row r="2134" spans="1:20" ht="45" customHeight="1" x14ac:dyDescent="0.25">
      <c r="A2134" s="2" t="str">
        <f t="shared" si="1"/>
        <v/>
      </c>
      <c r="B2134" s="2"/>
      <c r="C2134" s="43"/>
      <c r="D2134" s="2"/>
      <c r="E2134" s="2"/>
      <c r="F2134" s="2"/>
      <c r="G2134" s="11"/>
      <c r="H2134" s="11"/>
      <c r="I2134" s="2"/>
      <c r="J2134" s="2"/>
      <c r="K2134" s="2"/>
      <c r="L2134" s="10"/>
      <c r="M2134" s="9"/>
      <c r="N2134" s="2"/>
      <c r="O2134" s="2"/>
      <c r="P2134" s="2"/>
      <c r="Q2134" s="50"/>
      <c r="R2134" s="50"/>
      <c r="S2134" s="2">
        <f>IFERROR(VLOOKUP(A2134,IMPORT_DESISTENCIA!$A$2:$Q2273,14,0),"NÃO")</f>
        <v>0</v>
      </c>
      <c r="T2134" s="35"/>
    </row>
    <row r="2135" spans="1:20" ht="45" customHeight="1" x14ac:dyDescent="0.25">
      <c r="A2135" s="2" t="str">
        <f t="shared" si="1"/>
        <v/>
      </c>
      <c r="B2135" s="2"/>
      <c r="C2135" s="43"/>
      <c r="D2135" s="2"/>
      <c r="E2135" s="2"/>
      <c r="F2135" s="2"/>
      <c r="G2135" s="11"/>
      <c r="H2135" s="11"/>
      <c r="I2135" s="2"/>
      <c r="J2135" s="2"/>
      <c r="K2135" s="2"/>
      <c r="L2135" s="10"/>
      <c r="M2135" s="9"/>
      <c r="N2135" s="2"/>
      <c r="O2135" s="2"/>
      <c r="P2135" s="2"/>
      <c r="Q2135" s="50"/>
      <c r="R2135" s="50"/>
      <c r="S2135" s="2">
        <f>IFERROR(VLOOKUP(A2135,IMPORT_DESISTENCIA!$A$2:$Q2273,14,0),"NÃO")</f>
        <v>0</v>
      </c>
      <c r="T2135" s="35"/>
    </row>
    <row r="2136" spans="1:20" ht="45" customHeight="1" x14ac:dyDescent="0.25">
      <c r="A2136" s="2" t="str">
        <f t="shared" si="1"/>
        <v/>
      </c>
      <c r="B2136" s="2"/>
      <c r="C2136" s="43"/>
      <c r="D2136" s="2"/>
      <c r="E2136" s="2"/>
      <c r="F2136" s="2"/>
      <c r="G2136" s="11"/>
      <c r="H2136" s="11"/>
      <c r="I2136" s="2"/>
      <c r="J2136" s="2"/>
      <c r="K2136" s="2"/>
      <c r="L2136" s="10"/>
      <c r="M2136" s="9"/>
      <c r="N2136" s="2"/>
      <c r="O2136" s="2"/>
      <c r="P2136" s="2"/>
      <c r="Q2136" s="50"/>
      <c r="R2136" s="50"/>
      <c r="S2136" s="2">
        <f>IFERROR(VLOOKUP(A2136,IMPORT_DESISTENCIA!$A$2:$Q2273,14,0),"NÃO")</f>
        <v>0</v>
      </c>
      <c r="T2136" s="35"/>
    </row>
    <row r="2137" spans="1:20" ht="45" customHeight="1" x14ac:dyDescent="0.25">
      <c r="A2137" s="2" t="str">
        <f t="shared" si="1"/>
        <v/>
      </c>
      <c r="B2137" s="2"/>
      <c r="C2137" s="43"/>
      <c r="D2137" s="2"/>
      <c r="E2137" s="2"/>
      <c r="F2137" s="2"/>
      <c r="G2137" s="11"/>
      <c r="H2137" s="11"/>
      <c r="I2137" s="2"/>
      <c r="J2137" s="2"/>
      <c r="K2137" s="2"/>
      <c r="L2137" s="10"/>
      <c r="M2137" s="9"/>
      <c r="N2137" s="2"/>
      <c r="O2137" s="2"/>
      <c r="P2137" s="2"/>
      <c r="Q2137" s="50"/>
      <c r="R2137" s="50"/>
      <c r="S2137" s="2">
        <f>IFERROR(VLOOKUP(A2137,IMPORT_DESISTENCIA!$A$2:$Q2273,14,0),"NÃO")</f>
        <v>0</v>
      </c>
      <c r="T2137" s="35"/>
    </row>
    <row r="2138" spans="1:20" ht="45" customHeight="1" x14ac:dyDescent="0.25">
      <c r="A2138" s="2" t="str">
        <f t="shared" si="1"/>
        <v/>
      </c>
      <c r="B2138" s="2"/>
      <c r="C2138" s="43"/>
      <c r="D2138" s="2"/>
      <c r="E2138" s="2"/>
      <c r="F2138" s="2"/>
      <c r="G2138" s="11"/>
      <c r="H2138" s="11"/>
      <c r="I2138" s="2"/>
      <c r="J2138" s="2"/>
      <c r="K2138" s="2"/>
      <c r="L2138" s="10"/>
      <c r="M2138" s="9"/>
      <c r="N2138" s="2"/>
      <c r="O2138" s="2"/>
      <c r="P2138" s="2"/>
      <c r="Q2138" s="50"/>
      <c r="R2138" s="50"/>
      <c r="S2138" s="2">
        <f>IFERROR(VLOOKUP(A2138,IMPORT_DESISTENCIA!$A$2:$Q2273,14,0),"NÃO")</f>
        <v>0</v>
      </c>
      <c r="T2138" s="35"/>
    </row>
    <row r="2139" spans="1:20" ht="45" customHeight="1" x14ac:dyDescent="0.25">
      <c r="A2139" s="2" t="str">
        <f t="shared" si="1"/>
        <v/>
      </c>
      <c r="B2139" s="2"/>
      <c r="C2139" s="43"/>
      <c r="D2139" s="2"/>
      <c r="E2139" s="2"/>
      <c r="F2139" s="2"/>
      <c r="G2139" s="11"/>
      <c r="H2139" s="11"/>
      <c r="I2139" s="2"/>
      <c r="J2139" s="2"/>
      <c r="K2139" s="2"/>
      <c r="L2139" s="10"/>
      <c r="M2139" s="9"/>
      <c r="N2139" s="2"/>
      <c r="O2139" s="2"/>
      <c r="P2139" s="2"/>
      <c r="Q2139" s="50"/>
      <c r="R2139" s="50"/>
      <c r="S2139" s="2">
        <f>IFERROR(VLOOKUP(A2139,IMPORT_DESISTENCIA!$A$2:$Q2273,14,0),"NÃO")</f>
        <v>0</v>
      </c>
      <c r="T2139" s="35"/>
    </row>
    <row r="2140" spans="1:20" ht="45" customHeight="1" x14ac:dyDescent="0.25">
      <c r="A2140" s="2" t="str">
        <f t="shared" si="1"/>
        <v/>
      </c>
      <c r="B2140" s="2"/>
      <c r="C2140" s="43"/>
      <c r="D2140" s="2"/>
      <c r="E2140" s="2"/>
      <c r="F2140" s="2"/>
      <c r="G2140" s="11"/>
      <c r="H2140" s="11"/>
      <c r="I2140" s="2"/>
      <c r="J2140" s="2"/>
      <c r="K2140" s="2"/>
      <c r="L2140" s="10"/>
      <c r="M2140" s="9"/>
      <c r="N2140" s="2"/>
      <c r="O2140" s="2"/>
      <c r="P2140" s="2"/>
      <c r="Q2140" s="50"/>
      <c r="R2140" s="50"/>
      <c r="S2140" s="2">
        <f>IFERROR(VLOOKUP(A2140,IMPORT_DESISTENCIA!$A$2:$Q2273,14,0),"NÃO")</f>
        <v>0</v>
      </c>
      <c r="T2140" s="35"/>
    </row>
    <row r="2141" spans="1:20" ht="45" customHeight="1" x14ac:dyDescent="0.25">
      <c r="A2141" s="2" t="str">
        <f t="shared" si="1"/>
        <v/>
      </c>
      <c r="B2141" s="2"/>
      <c r="C2141" s="43"/>
      <c r="D2141" s="2"/>
      <c r="E2141" s="2"/>
      <c r="F2141" s="2"/>
      <c r="G2141" s="11"/>
      <c r="H2141" s="11"/>
      <c r="I2141" s="2"/>
      <c r="J2141" s="2"/>
      <c r="K2141" s="2"/>
      <c r="L2141" s="10"/>
      <c r="M2141" s="9"/>
      <c r="N2141" s="2"/>
      <c r="O2141" s="2"/>
      <c r="P2141" s="2"/>
      <c r="Q2141" s="50"/>
      <c r="R2141" s="50"/>
      <c r="S2141" s="2">
        <f>IFERROR(VLOOKUP(A2141,IMPORT_DESISTENCIA!$A$2:$Q2273,14,0),"NÃO")</f>
        <v>0</v>
      </c>
      <c r="T2141" s="35"/>
    </row>
    <row r="2142" spans="1:20" ht="45" customHeight="1" x14ac:dyDescent="0.25">
      <c r="A2142" s="2" t="str">
        <f t="shared" si="1"/>
        <v/>
      </c>
      <c r="B2142" s="2"/>
      <c r="C2142" s="43"/>
      <c r="D2142" s="2"/>
      <c r="E2142" s="2"/>
      <c r="F2142" s="2"/>
      <c r="G2142" s="11"/>
      <c r="H2142" s="11"/>
      <c r="I2142" s="2"/>
      <c r="J2142" s="2"/>
      <c r="K2142" s="2"/>
      <c r="L2142" s="10"/>
      <c r="M2142" s="9"/>
      <c r="N2142" s="2"/>
      <c r="O2142" s="2"/>
      <c r="P2142" s="2"/>
      <c r="Q2142" s="50"/>
      <c r="R2142" s="50"/>
      <c r="S2142" s="2">
        <f>IFERROR(VLOOKUP(A2142,IMPORT_DESISTENCIA!$A$2:$Q2273,14,0),"NÃO")</f>
        <v>0</v>
      </c>
      <c r="T2142" s="35"/>
    </row>
    <row r="2143" spans="1:20" ht="45" customHeight="1" x14ac:dyDescent="0.25">
      <c r="A2143" s="2" t="str">
        <f t="shared" si="1"/>
        <v/>
      </c>
      <c r="B2143" s="2"/>
      <c r="C2143" s="43"/>
      <c r="D2143" s="2"/>
      <c r="E2143" s="2"/>
      <c r="F2143" s="2"/>
      <c r="G2143" s="11"/>
      <c r="H2143" s="11"/>
      <c r="I2143" s="2"/>
      <c r="J2143" s="2"/>
      <c r="K2143" s="2"/>
      <c r="L2143" s="10"/>
      <c r="M2143" s="9"/>
      <c r="N2143" s="2"/>
      <c r="O2143" s="2"/>
      <c r="P2143" s="2"/>
      <c r="Q2143" s="50"/>
      <c r="R2143" s="50"/>
      <c r="S2143" s="2">
        <f>IFERROR(VLOOKUP(A2143,IMPORT_DESISTENCIA!$A$2:$Q2273,14,0),"NÃO")</f>
        <v>0</v>
      </c>
      <c r="T2143" s="35"/>
    </row>
    <row r="2144" spans="1:20" ht="45" customHeight="1" x14ac:dyDescent="0.25">
      <c r="A2144" s="2" t="str">
        <f t="shared" si="1"/>
        <v/>
      </c>
      <c r="B2144" s="2"/>
      <c r="C2144" s="43"/>
      <c r="D2144" s="2"/>
      <c r="E2144" s="2"/>
      <c r="F2144" s="2"/>
      <c r="G2144" s="11"/>
      <c r="H2144" s="11"/>
      <c r="I2144" s="2"/>
      <c r="J2144" s="2"/>
      <c r="K2144" s="2"/>
      <c r="L2144" s="10"/>
      <c r="M2144" s="9"/>
      <c r="N2144" s="2"/>
      <c r="O2144" s="2"/>
      <c r="P2144" s="2"/>
      <c r="Q2144" s="50"/>
      <c r="R2144" s="50"/>
      <c r="S2144" s="2">
        <f>IFERROR(VLOOKUP(A2144,IMPORT_DESISTENCIA!$A$2:$Q2273,14,0),"NÃO")</f>
        <v>0</v>
      </c>
      <c r="T2144" s="35"/>
    </row>
    <row r="2145" spans="1:20" ht="45" customHeight="1" x14ac:dyDescent="0.25">
      <c r="A2145" s="2" t="str">
        <f t="shared" si="1"/>
        <v/>
      </c>
      <c r="B2145" s="2"/>
      <c r="C2145" s="43"/>
      <c r="D2145" s="2"/>
      <c r="E2145" s="2"/>
      <c r="F2145" s="2"/>
      <c r="G2145" s="11"/>
      <c r="H2145" s="11"/>
      <c r="I2145" s="2"/>
      <c r="J2145" s="2"/>
      <c r="K2145" s="2"/>
      <c r="L2145" s="10"/>
      <c r="M2145" s="9"/>
      <c r="N2145" s="2"/>
      <c r="O2145" s="2"/>
      <c r="P2145" s="2"/>
      <c r="Q2145" s="50"/>
      <c r="R2145" s="50"/>
      <c r="S2145" s="2">
        <f>IFERROR(VLOOKUP(A2145,IMPORT_DESISTENCIA!$A$2:$Q2273,14,0),"NÃO")</f>
        <v>0</v>
      </c>
      <c r="T2145" s="35"/>
    </row>
    <row r="2146" spans="1:20" ht="45" customHeight="1" x14ac:dyDescent="0.25">
      <c r="A2146" s="2" t="str">
        <f t="shared" si="1"/>
        <v/>
      </c>
      <c r="B2146" s="2"/>
      <c r="C2146" s="43"/>
      <c r="D2146" s="2"/>
      <c r="E2146" s="2"/>
      <c r="F2146" s="2"/>
      <c r="G2146" s="11"/>
      <c r="H2146" s="11"/>
      <c r="I2146" s="2"/>
      <c r="J2146" s="2"/>
      <c r="K2146" s="2"/>
      <c r="L2146" s="10"/>
      <c r="M2146" s="9"/>
      <c r="N2146" s="2"/>
      <c r="O2146" s="2"/>
      <c r="P2146" s="2"/>
      <c r="Q2146" s="50"/>
      <c r="R2146" s="50"/>
      <c r="S2146" s="2">
        <f>IFERROR(VLOOKUP(A2146,IMPORT_DESISTENCIA!$A$2:$Q2273,14,0),"NÃO")</f>
        <v>0</v>
      </c>
      <c r="T2146" s="35"/>
    </row>
    <row r="2147" spans="1:20" ht="45" customHeight="1" x14ac:dyDescent="0.25">
      <c r="A2147" s="2" t="str">
        <f t="shared" si="1"/>
        <v/>
      </c>
      <c r="B2147" s="2"/>
      <c r="C2147" s="43"/>
      <c r="D2147" s="2"/>
      <c r="E2147" s="2"/>
      <c r="F2147" s="2"/>
      <c r="G2147" s="11"/>
      <c r="H2147" s="11"/>
      <c r="I2147" s="2"/>
      <c r="J2147" s="2"/>
      <c r="K2147" s="2"/>
      <c r="L2147" s="10"/>
      <c r="M2147" s="9"/>
      <c r="N2147" s="2"/>
      <c r="O2147" s="2"/>
      <c r="P2147" s="2"/>
      <c r="Q2147" s="50"/>
      <c r="R2147" s="50"/>
      <c r="S2147" s="2">
        <f>IFERROR(VLOOKUP(A2147,IMPORT_DESISTENCIA!$A$2:$Q2273,14,0),"NÃO")</f>
        <v>0</v>
      </c>
      <c r="T2147" s="35"/>
    </row>
    <row r="2148" spans="1:20" ht="45" customHeight="1" x14ac:dyDescent="0.25">
      <c r="A2148" s="2" t="str">
        <f t="shared" si="1"/>
        <v/>
      </c>
      <c r="B2148" s="2"/>
      <c r="C2148" s="43"/>
      <c r="D2148" s="2"/>
      <c r="E2148" s="2"/>
      <c r="F2148" s="2"/>
      <c r="G2148" s="11"/>
      <c r="H2148" s="11"/>
      <c r="I2148" s="2"/>
      <c r="J2148" s="2"/>
      <c r="K2148" s="2"/>
      <c r="L2148" s="10"/>
      <c r="M2148" s="9"/>
      <c r="N2148" s="2"/>
      <c r="O2148" s="2"/>
      <c r="P2148" s="2"/>
      <c r="Q2148" s="50"/>
      <c r="R2148" s="50"/>
      <c r="S2148" s="2">
        <f>IFERROR(VLOOKUP(A2148,IMPORT_DESISTENCIA!$A$2:$Q2273,14,0),"NÃO")</f>
        <v>0</v>
      </c>
      <c r="T2148" s="35"/>
    </row>
    <row r="2149" spans="1:20" ht="45" customHeight="1" x14ac:dyDescent="0.25">
      <c r="A2149" s="2" t="str">
        <f t="shared" si="1"/>
        <v/>
      </c>
      <c r="B2149" s="2"/>
      <c r="C2149" s="43"/>
      <c r="D2149" s="2"/>
      <c r="E2149" s="2"/>
      <c r="F2149" s="2"/>
      <c r="G2149" s="11"/>
      <c r="H2149" s="11"/>
      <c r="I2149" s="2"/>
      <c r="J2149" s="2"/>
      <c r="K2149" s="2"/>
      <c r="L2149" s="10"/>
      <c r="M2149" s="9"/>
      <c r="N2149" s="2"/>
      <c r="O2149" s="2"/>
      <c r="P2149" s="2"/>
      <c r="Q2149" s="50"/>
      <c r="R2149" s="50"/>
      <c r="S2149" s="2">
        <f>IFERROR(VLOOKUP(A2149,IMPORT_DESISTENCIA!$A$2:$Q2273,14,0),"NÃO")</f>
        <v>0</v>
      </c>
      <c r="T2149" s="35"/>
    </row>
    <row r="2150" spans="1:20" ht="45" customHeight="1" x14ac:dyDescent="0.25">
      <c r="A2150" s="2" t="str">
        <f t="shared" si="1"/>
        <v/>
      </c>
      <c r="B2150" s="2"/>
      <c r="C2150" s="43"/>
      <c r="D2150" s="2"/>
      <c r="E2150" s="2"/>
      <c r="F2150" s="2"/>
      <c r="G2150" s="11"/>
      <c r="H2150" s="11"/>
      <c r="I2150" s="2"/>
      <c r="J2150" s="2"/>
      <c r="K2150" s="2"/>
      <c r="L2150" s="10"/>
      <c r="M2150" s="9"/>
      <c r="N2150" s="2"/>
      <c r="O2150" s="2"/>
      <c r="P2150" s="2"/>
      <c r="Q2150" s="50"/>
      <c r="R2150" s="50"/>
      <c r="S2150" s="2">
        <f>IFERROR(VLOOKUP(A2150,IMPORT_DESISTENCIA!$A$2:$Q2273,14,0),"NÃO")</f>
        <v>0</v>
      </c>
      <c r="T2150" s="35"/>
    </row>
    <row r="2151" spans="1:20" ht="45" customHeight="1" x14ac:dyDescent="0.25">
      <c r="A2151" s="2" t="str">
        <f t="shared" si="1"/>
        <v/>
      </c>
      <c r="B2151" s="2"/>
      <c r="C2151" s="43"/>
      <c r="D2151" s="2"/>
      <c r="E2151" s="2"/>
      <c r="F2151" s="2"/>
      <c r="G2151" s="11"/>
      <c r="H2151" s="11"/>
      <c r="I2151" s="2"/>
      <c r="J2151" s="2"/>
      <c r="K2151" s="2"/>
      <c r="L2151" s="10"/>
      <c r="M2151" s="9"/>
      <c r="N2151" s="2"/>
      <c r="O2151" s="2"/>
      <c r="P2151" s="2"/>
      <c r="Q2151" s="50"/>
      <c r="R2151" s="50"/>
      <c r="S2151" s="2">
        <f>IFERROR(VLOOKUP(A2151,IMPORT_DESISTENCIA!$A$2:$Q2273,14,0),"NÃO")</f>
        <v>0</v>
      </c>
      <c r="T2151" s="35"/>
    </row>
    <row r="2152" spans="1:20" ht="45" customHeight="1" x14ac:dyDescent="0.25">
      <c r="A2152" s="2" t="str">
        <f t="shared" si="1"/>
        <v/>
      </c>
      <c r="B2152" s="2"/>
      <c r="C2152" s="43"/>
      <c r="D2152" s="2"/>
      <c r="E2152" s="2"/>
      <c r="F2152" s="2"/>
      <c r="G2152" s="11"/>
      <c r="H2152" s="11"/>
      <c r="I2152" s="2"/>
      <c r="J2152" s="2"/>
      <c r="K2152" s="2"/>
      <c r="L2152" s="10"/>
      <c r="M2152" s="9"/>
      <c r="N2152" s="2"/>
      <c r="O2152" s="2"/>
      <c r="P2152" s="2"/>
      <c r="Q2152" s="50"/>
      <c r="R2152" s="50"/>
      <c r="S2152" s="2">
        <f>IFERROR(VLOOKUP(A2152,IMPORT_DESISTENCIA!$A$2:$Q2273,14,0),"NÃO")</f>
        <v>0</v>
      </c>
      <c r="T2152" s="35"/>
    </row>
    <row r="2153" spans="1:20" ht="45" customHeight="1" x14ac:dyDescent="0.25">
      <c r="A2153" s="2" t="str">
        <f t="shared" si="1"/>
        <v/>
      </c>
      <c r="B2153" s="2"/>
      <c r="C2153" s="43"/>
      <c r="D2153" s="2"/>
      <c r="E2153" s="2"/>
      <c r="F2153" s="2"/>
      <c r="G2153" s="11"/>
      <c r="H2153" s="11"/>
      <c r="I2153" s="2"/>
      <c r="J2153" s="2"/>
      <c r="K2153" s="2"/>
      <c r="L2153" s="10"/>
      <c r="M2153" s="9"/>
      <c r="N2153" s="2"/>
      <c r="O2153" s="2"/>
      <c r="P2153" s="2"/>
      <c r="Q2153" s="50"/>
      <c r="R2153" s="50"/>
      <c r="S2153" s="2">
        <f>IFERROR(VLOOKUP(A2153,IMPORT_DESISTENCIA!$A$2:$Q2273,14,0),"NÃO")</f>
        <v>0</v>
      </c>
      <c r="T2153" s="35"/>
    </row>
    <row r="2154" spans="1:20" ht="45" customHeight="1" x14ac:dyDescent="0.25">
      <c r="A2154" s="2" t="str">
        <f t="shared" si="1"/>
        <v/>
      </c>
      <c r="B2154" s="2"/>
      <c r="C2154" s="43"/>
      <c r="D2154" s="2"/>
      <c r="E2154" s="2"/>
      <c r="F2154" s="2"/>
      <c r="G2154" s="11"/>
      <c r="H2154" s="11"/>
      <c r="I2154" s="2"/>
      <c r="J2154" s="2"/>
      <c r="K2154" s="2"/>
      <c r="L2154" s="10"/>
      <c r="M2154" s="9"/>
      <c r="N2154" s="2"/>
      <c r="O2154" s="2"/>
      <c r="P2154" s="2"/>
      <c r="Q2154" s="50"/>
      <c r="R2154" s="50"/>
      <c r="S2154" s="2">
        <f>IFERROR(VLOOKUP(A2154,IMPORT_DESISTENCIA!$A$2:$Q2273,14,0),"NÃO")</f>
        <v>0</v>
      </c>
      <c r="T2154" s="35"/>
    </row>
    <row r="2155" spans="1:20" ht="45" customHeight="1" x14ac:dyDescent="0.25">
      <c r="A2155" s="2" t="str">
        <f t="shared" si="1"/>
        <v/>
      </c>
      <c r="B2155" s="2"/>
      <c r="C2155" s="43"/>
      <c r="D2155" s="2"/>
      <c r="E2155" s="2"/>
      <c r="F2155" s="2"/>
      <c r="G2155" s="11"/>
      <c r="H2155" s="11"/>
      <c r="I2155" s="2"/>
      <c r="J2155" s="2"/>
      <c r="K2155" s="2"/>
      <c r="L2155" s="10"/>
      <c r="M2155" s="9"/>
      <c r="N2155" s="2"/>
      <c r="O2155" s="2"/>
      <c r="P2155" s="2"/>
      <c r="Q2155" s="50"/>
      <c r="R2155" s="50"/>
      <c r="S2155" s="2">
        <f>IFERROR(VLOOKUP(A2155,IMPORT_DESISTENCIA!$A$2:$Q2273,14,0),"NÃO")</f>
        <v>0</v>
      </c>
      <c r="T2155" s="35"/>
    </row>
    <row r="2156" spans="1:20" ht="45" customHeight="1" x14ac:dyDescent="0.25">
      <c r="A2156" s="2" t="str">
        <f t="shared" si="1"/>
        <v/>
      </c>
      <c r="B2156" s="2"/>
      <c r="C2156" s="43"/>
      <c r="D2156" s="2"/>
      <c r="E2156" s="2"/>
      <c r="F2156" s="2"/>
      <c r="G2156" s="11"/>
      <c r="H2156" s="11"/>
      <c r="I2156" s="2"/>
      <c r="J2156" s="2"/>
      <c r="K2156" s="2"/>
      <c r="L2156" s="10"/>
      <c r="M2156" s="9"/>
      <c r="N2156" s="2"/>
      <c r="O2156" s="2"/>
      <c r="P2156" s="2"/>
      <c r="Q2156" s="50"/>
      <c r="R2156" s="50"/>
      <c r="S2156" s="2">
        <f>IFERROR(VLOOKUP(A2156,IMPORT_DESISTENCIA!$A$2:$Q2273,14,0),"NÃO")</f>
        <v>0</v>
      </c>
      <c r="T2156" s="35"/>
    </row>
    <row r="2157" spans="1:20" ht="45" customHeight="1" x14ac:dyDescent="0.25">
      <c r="A2157" s="2" t="str">
        <f t="shared" si="1"/>
        <v/>
      </c>
      <c r="B2157" s="2"/>
      <c r="C2157" s="43"/>
      <c r="D2157" s="2"/>
      <c r="E2157" s="2"/>
      <c r="F2157" s="2"/>
      <c r="G2157" s="11"/>
      <c r="H2157" s="11"/>
      <c r="I2157" s="2"/>
      <c r="J2157" s="2"/>
      <c r="K2157" s="2"/>
      <c r="L2157" s="10"/>
      <c r="M2157" s="9"/>
      <c r="N2157" s="2"/>
      <c r="O2157" s="2"/>
      <c r="P2157" s="2"/>
      <c r="Q2157" s="50"/>
      <c r="R2157" s="50"/>
      <c r="S2157" s="2">
        <f>IFERROR(VLOOKUP(A2157,IMPORT_DESISTENCIA!$A$2:$Q2273,14,0),"NÃO")</f>
        <v>0</v>
      </c>
      <c r="T2157" s="35"/>
    </row>
    <row r="2158" spans="1:20" ht="45" customHeight="1" x14ac:dyDescent="0.25">
      <c r="A2158" s="2" t="str">
        <f t="shared" si="1"/>
        <v/>
      </c>
      <c r="B2158" s="2"/>
      <c r="C2158" s="43"/>
      <c r="D2158" s="2"/>
      <c r="E2158" s="2"/>
      <c r="F2158" s="2"/>
      <c r="G2158" s="11"/>
      <c r="H2158" s="11"/>
      <c r="I2158" s="2"/>
      <c r="J2158" s="2"/>
      <c r="K2158" s="2"/>
      <c r="L2158" s="10"/>
      <c r="M2158" s="9"/>
      <c r="N2158" s="2"/>
      <c r="O2158" s="2"/>
      <c r="P2158" s="2"/>
      <c r="Q2158" s="50"/>
      <c r="R2158" s="50"/>
      <c r="S2158" s="2">
        <f>IFERROR(VLOOKUP(A2158,IMPORT_DESISTENCIA!$A$2:$Q2273,14,0),"NÃO")</f>
        <v>0</v>
      </c>
      <c r="T2158" s="35"/>
    </row>
    <row r="2159" spans="1:20" ht="45" customHeight="1" x14ac:dyDescent="0.25">
      <c r="A2159" s="2" t="str">
        <f t="shared" si="1"/>
        <v/>
      </c>
      <c r="B2159" s="2"/>
      <c r="C2159" s="43"/>
      <c r="D2159" s="2"/>
      <c r="E2159" s="2"/>
      <c r="F2159" s="2"/>
      <c r="G2159" s="11"/>
      <c r="H2159" s="11"/>
      <c r="I2159" s="2"/>
      <c r="J2159" s="2"/>
      <c r="K2159" s="2"/>
      <c r="L2159" s="10"/>
      <c r="M2159" s="9"/>
      <c r="N2159" s="2"/>
      <c r="O2159" s="2"/>
      <c r="P2159" s="2"/>
      <c r="Q2159" s="50"/>
      <c r="R2159" s="50"/>
      <c r="S2159" s="2">
        <f>IFERROR(VLOOKUP(A2159,IMPORT_DESISTENCIA!$A$2:$Q2273,14,0),"NÃO")</f>
        <v>0</v>
      </c>
      <c r="T2159" s="35"/>
    </row>
    <row r="2160" spans="1:20" ht="45" customHeight="1" x14ac:dyDescent="0.25">
      <c r="A2160" s="2" t="str">
        <f t="shared" si="1"/>
        <v/>
      </c>
      <c r="B2160" s="2"/>
      <c r="C2160" s="43"/>
      <c r="D2160" s="2"/>
      <c r="E2160" s="2"/>
      <c r="F2160" s="2"/>
      <c r="G2160" s="11"/>
      <c r="H2160" s="11"/>
      <c r="I2160" s="2"/>
      <c r="J2160" s="2"/>
      <c r="K2160" s="2"/>
      <c r="L2160" s="10"/>
      <c r="M2160" s="9"/>
      <c r="N2160" s="2"/>
      <c r="O2160" s="2"/>
      <c r="P2160" s="2"/>
      <c r="Q2160" s="50"/>
      <c r="R2160" s="50"/>
      <c r="S2160" s="2">
        <f>IFERROR(VLOOKUP(A2160,IMPORT_DESISTENCIA!$A$2:$Q2273,14,0),"NÃO")</f>
        <v>0</v>
      </c>
      <c r="T2160" s="35"/>
    </row>
    <row r="2161" spans="1:20" ht="45" customHeight="1" x14ac:dyDescent="0.25">
      <c r="A2161" s="2" t="str">
        <f t="shared" si="1"/>
        <v/>
      </c>
      <c r="B2161" s="2"/>
      <c r="C2161" s="43"/>
      <c r="D2161" s="2"/>
      <c r="E2161" s="2"/>
      <c r="F2161" s="2"/>
      <c r="G2161" s="11"/>
      <c r="H2161" s="11"/>
      <c r="I2161" s="2"/>
      <c r="J2161" s="2"/>
      <c r="K2161" s="2"/>
      <c r="L2161" s="10"/>
      <c r="M2161" s="9"/>
      <c r="N2161" s="2"/>
      <c r="O2161" s="2"/>
      <c r="P2161" s="2"/>
      <c r="Q2161" s="50"/>
      <c r="R2161" s="50"/>
      <c r="S2161" s="2">
        <f>IFERROR(VLOOKUP(A2161,IMPORT_DESISTENCIA!$A$2:$Q2273,14,0),"NÃO")</f>
        <v>0</v>
      </c>
      <c r="T2161" s="35"/>
    </row>
    <row r="2162" spans="1:20" ht="45" customHeight="1" x14ac:dyDescent="0.25">
      <c r="A2162" s="2" t="str">
        <f t="shared" si="1"/>
        <v/>
      </c>
      <c r="B2162" s="2"/>
      <c r="C2162" s="43"/>
      <c r="D2162" s="2"/>
      <c r="E2162" s="2"/>
      <c r="F2162" s="2"/>
      <c r="G2162" s="11"/>
      <c r="H2162" s="11"/>
      <c r="I2162" s="2"/>
      <c r="J2162" s="2"/>
      <c r="K2162" s="2"/>
      <c r="L2162" s="10"/>
      <c r="M2162" s="9"/>
      <c r="N2162" s="2"/>
      <c r="O2162" s="2"/>
      <c r="P2162" s="2"/>
      <c r="Q2162" s="50"/>
      <c r="R2162" s="50"/>
      <c r="S2162" s="2">
        <f>IFERROR(VLOOKUP(A2162,IMPORT_DESISTENCIA!$A$2:$Q2273,14,0),"NÃO")</f>
        <v>0</v>
      </c>
      <c r="T2162" s="35"/>
    </row>
    <row r="2163" spans="1:20" ht="45" customHeight="1" x14ac:dyDescent="0.25">
      <c r="A2163" s="2" t="str">
        <f t="shared" si="1"/>
        <v/>
      </c>
      <c r="B2163" s="2"/>
      <c r="C2163" s="43"/>
      <c r="D2163" s="2"/>
      <c r="E2163" s="2"/>
      <c r="F2163" s="2"/>
      <c r="G2163" s="11"/>
      <c r="H2163" s="11"/>
      <c r="I2163" s="2"/>
      <c r="J2163" s="2"/>
      <c r="K2163" s="2"/>
      <c r="L2163" s="10"/>
      <c r="M2163" s="9"/>
      <c r="N2163" s="2"/>
      <c r="O2163" s="2"/>
      <c r="P2163" s="2"/>
      <c r="Q2163" s="50"/>
      <c r="R2163" s="50"/>
      <c r="S2163" s="2">
        <f>IFERROR(VLOOKUP(A2163,IMPORT_DESISTENCIA!$A$2:$Q2273,14,0),"NÃO")</f>
        <v>0</v>
      </c>
      <c r="T2163" s="35"/>
    </row>
    <row r="2164" spans="1:20" ht="45" customHeight="1" x14ac:dyDescent="0.25">
      <c r="A2164" s="2" t="str">
        <f t="shared" si="1"/>
        <v/>
      </c>
      <c r="B2164" s="2"/>
      <c r="C2164" s="43"/>
      <c r="D2164" s="2"/>
      <c r="E2164" s="2"/>
      <c r="F2164" s="2"/>
      <c r="G2164" s="11"/>
      <c r="H2164" s="11"/>
      <c r="I2164" s="2"/>
      <c r="J2164" s="2"/>
      <c r="K2164" s="2"/>
      <c r="L2164" s="10"/>
      <c r="M2164" s="9"/>
      <c r="N2164" s="2"/>
      <c r="O2164" s="2"/>
      <c r="P2164" s="2"/>
      <c r="Q2164" s="50"/>
      <c r="R2164" s="50"/>
      <c r="S2164" s="2">
        <f>IFERROR(VLOOKUP(A2164,IMPORT_DESISTENCIA!$A$2:$Q2273,14,0),"NÃO")</f>
        <v>0</v>
      </c>
      <c r="T2164" s="35"/>
    </row>
    <row r="2165" spans="1:20" ht="45" customHeight="1" x14ac:dyDescent="0.25">
      <c r="A2165" s="2" t="str">
        <f t="shared" si="1"/>
        <v/>
      </c>
      <c r="B2165" s="2"/>
      <c r="C2165" s="43"/>
      <c r="D2165" s="2"/>
      <c r="E2165" s="2"/>
      <c r="F2165" s="2"/>
      <c r="G2165" s="11"/>
      <c r="H2165" s="11"/>
      <c r="I2165" s="2"/>
      <c r="J2165" s="2"/>
      <c r="K2165" s="2"/>
      <c r="L2165" s="10"/>
      <c r="M2165" s="9"/>
      <c r="N2165" s="2"/>
      <c r="O2165" s="2"/>
      <c r="P2165" s="2"/>
      <c r="Q2165" s="50"/>
      <c r="R2165" s="50"/>
      <c r="S2165" s="2">
        <f>IFERROR(VLOOKUP(A2165,IMPORT_DESISTENCIA!$A$2:$Q2273,14,0),"NÃO")</f>
        <v>0</v>
      </c>
      <c r="T2165" s="35"/>
    </row>
    <row r="2166" spans="1:20" ht="45" customHeight="1" x14ac:dyDescent="0.25">
      <c r="A2166" s="2" t="str">
        <f t="shared" si="1"/>
        <v/>
      </c>
      <c r="B2166" s="2"/>
      <c r="C2166" s="43"/>
      <c r="D2166" s="2"/>
      <c r="E2166" s="2"/>
      <c r="F2166" s="2"/>
      <c r="G2166" s="11"/>
      <c r="H2166" s="11"/>
      <c r="I2166" s="2"/>
      <c r="J2166" s="2"/>
      <c r="K2166" s="2"/>
      <c r="L2166" s="10"/>
      <c r="M2166" s="9"/>
      <c r="N2166" s="2"/>
      <c r="O2166" s="2"/>
      <c r="P2166" s="2"/>
      <c r="Q2166" s="50"/>
      <c r="R2166" s="50"/>
      <c r="S2166" s="2">
        <f>IFERROR(VLOOKUP(A2166,IMPORT_DESISTENCIA!$A$2:$Q2273,14,0),"NÃO")</f>
        <v>0</v>
      </c>
      <c r="T2166" s="35"/>
    </row>
    <row r="2167" spans="1:20" ht="45" customHeight="1" x14ac:dyDescent="0.25">
      <c r="A2167" s="2" t="str">
        <f t="shared" si="1"/>
        <v/>
      </c>
      <c r="B2167" s="2"/>
      <c r="C2167" s="43"/>
      <c r="D2167" s="2"/>
      <c r="E2167" s="2"/>
      <c r="F2167" s="2"/>
      <c r="G2167" s="11"/>
      <c r="H2167" s="11"/>
      <c r="I2167" s="2"/>
      <c r="J2167" s="2"/>
      <c r="K2167" s="2"/>
      <c r="L2167" s="10"/>
      <c r="M2167" s="9"/>
      <c r="N2167" s="2"/>
      <c r="O2167" s="2"/>
      <c r="P2167" s="2"/>
      <c r="Q2167" s="50"/>
      <c r="R2167" s="50"/>
      <c r="S2167" s="2">
        <f>IFERROR(VLOOKUP(A2167,IMPORT_DESISTENCIA!$A$2:$Q2273,14,0),"NÃO")</f>
        <v>0</v>
      </c>
      <c r="T2167" s="35"/>
    </row>
    <row r="2168" spans="1:20" ht="45" customHeight="1" x14ac:dyDescent="0.25">
      <c r="A2168" s="2" t="str">
        <f t="shared" si="1"/>
        <v/>
      </c>
      <c r="B2168" s="2"/>
      <c r="C2168" s="43"/>
      <c r="D2168" s="2"/>
      <c r="E2168" s="2"/>
      <c r="F2168" s="2"/>
      <c r="G2168" s="11"/>
      <c r="H2168" s="11"/>
      <c r="I2168" s="2"/>
      <c r="J2168" s="2"/>
      <c r="K2168" s="2"/>
      <c r="L2168" s="10"/>
      <c r="M2168" s="9"/>
      <c r="N2168" s="2"/>
      <c r="O2168" s="2"/>
      <c r="P2168" s="2"/>
      <c r="Q2168" s="50"/>
      <c r="R2168" s="50"/>
      <c r="S2168" s="2">
        <f>IFERROR(VLOOKUP(A2168,IMPORT_DESISTENCIA!$A$2:$Q2273,14,0),"NÃO")</f>
        <v>0</v>
      </c>
      <c r="T2168" s="35"/>
    </row>
    <row r="2169" spans="1:20" ht="45" customHeight="1" x14ac:dyDescent="0.25">
      <c r="A2169" s="2" t="str">
        <f t="shared" si="1"/>
        <v/>
      </c>
      <c r="B2169" s="2"/>
      <c r="C2169" s="43"/>
      <c r="D2169" s="2"/>
      <c r="E2169" s="2"/>
      <c r="F2169" s="2"/>
      <c r="G2169" s="11"/>
      <c r="H2169" s="11"/>
      <c r="I2169" s="2"/>
      <c r="J2169" s="2"/>
      <c r="K2169" s="2"/>
      <c r="L2169" s="10"/>
      <c r="M2169" s="9"/>
      <c r="N2169" s="2"/>
      <c r="O2169" s="2"/>
      <c r="P2169" s="2"/>
      <c r="Q2169" s="50"/>
      <c r="R2169" s="50"/>
      <c r="S2169" s="2">
        <f>IFERROR(VLOOKUP(A2169,IMPORT_DESISTENCIA!$A$2:$Q2273,14,0),"NÃO")</f>
        <v>0</v>
      </c>
      <c r="T2169" s="35"/>
    </row>
    <row r="2170" spans="1:20" ht="45" customHeight="1" x14ac:dyDescent="0.25">
      <c r="A2170" s="2" t="str">
        <f t="shared" si="1"/>
        <v/>
      </c>
      <c r="B2170" s="2"/>
      <c r="C2170" s="43"/>
      <c r="D2170" s="2"/>
      <c r="E2170" s="2"/>
      <c r="F2170" s="2"/>
      <c r="G2170" s="11"/>
      <c r="H2170" s="11"/>
      <c r="I2170" s="2"/>
      <c r="J2170" s="2"/>
      <c r="K2170" s="2"/>
      <c r="L2170" s="10"/>
      <c r="M2170" s="9"/>
      <c r="N2170" s="2"/>
      <c r="O2170" s="2"/>
      <c r="P2170" s="2"/>
      <c r="Q2170" s="50"/>
      <c r="R2170" s="50"/>
      <c r="S2170" s="2">
        <f>IFERROR(VLOOKUP(A2170,IMPORT_DESISTENCIA!$A$2:$Q2273,14,0),"NÃO")</f>
        <v>0</v>
      </c>
      <c r="T2170" s="35"/>
    </row>
    <row r="2171" spans="1:20" ht="45" customHeight="1" x14ac:dyDescent="0.25">
      <c r="A2171" s="2" t="str">
        <f t="shared" si="1"/>
        <v/>
      </c>
      <c r="B2171" s="2"/>
      <c r="C2171" s="43"/>
      <c r="D2171" s="2"/>
      <c r="E2171" s="2"/>
      <c r="F2171" s="2"/>
      <c r="G2171" s="11"/>
      <c r="H2171" s="11"/>
      <c r="I2171" s="2"/>
      <c r="J2171" s="2"/>
      <c r="K2171" s="2"/>
      <c r="L2171" s="10"/>
      <c r="M2171" s="9"/>
      <c r="N2171" s="2"/>
      <c r="O2171" s="2"/>
      <c r="P2171" s="2"/>
      <c r="Q2171" s="50"/>
      <c r="R2171" s="50"/>
      <c r="S2171" s="2">
        <f>IFERROR(VLOOKUP(A2171,IMPORT_DESISTENCIA!$A$2:$Q2273,14,0),"NÃO")</f>
        <v>0</v>
      </c>
      <c r="T2171" s="35"/>
    </row>
    <row r="2172" spans="1:20" ht="45" customHeight="1" x14ac:dyDescent="0.25">
      <c r="A2172" s="2" t="str">
        <f t="shared" si="1"/>
        <v/>
      </c>
      <c r="B2172" s="2"/>
      <c r="C2172" s="43"/>
      <c r="D2172" s="2"/>
      <c r="E2172" s="2"/>
      <c r="F2172" s="2"/>
      <c r="G2172" s="11"/>
      <c r="H2172" s="11"/>
      <c r="I2172" s="2"/>
      <c r="J2172" s="2"/>
      <c r="K2172" s="2"/>
      <c r="L2172" s="10"/>
      <c r="M2172" s="9"/>
      <c r="N2172" s="2"/>
      <c r="O2172" s="2"/>
      <c r="P2172" s="2"/>
      <c r="Q2172" s="50"/>
      <c r="R2172" s="50"/>
      <c r="S2172" s="2">
        <f>IFERROR(VLOOKUP(A2172,IMPORT_DESISTENCIA!$A$2:$Q2273,14,0),"NÃO")</f>
        <v>0</v>
      </c>
      <c r="T2172" s="35"/>
    </row>
    <row r="2173" spans="1:20" ht="45" customHeight="1" x14ac:dyDescent="0.25">
      <c r="A2173" s="2" t="str">
        <f t="shared" si="1"/>
        <v/>
      </c>
      <c r="B2173" s="2"/>
      <c r="C2173" s="43"/>
      <c r="D2173" s="2"/>
      <c r="E2173" s="2"/>
      <c r="F2173" s="2"/>
      <c r="G2173" s="11"/>
      <c r="H2173" s="11"/>
      <c r="I2173" s="2"/>
      <c r="J2173" s="2"/>
      <c r="K2173" s="2"/>
      <c r="L2173" s="10"/>
      <c r="M2173" s="9"/>
      <c r="N2173" s="2"/>
      <c r="O2173" s="2"/>
      <c r="P2173" s="2"/>
      <c r="Q2173" s="50"/>
      <c r="R2173" s="50"/>
      <c r="S2173" s="2">
        <f>IFERROR(VLOOKUP(A2173,IMPORT_DESISTENCIA!$A$2:$Q2273,14,0),"NÃO")</f>
        <v>0</v>
      </c>
      <c r="T2173" s="35"/>
    </row>
    <row r="2174" spans="1:20" ht="45" customHeight="1" x14ac:dyDescent="0.25">
      <c r="A2174" s="2" t="str">
        <f t="shared" si="1"/>
        <v/>
      </c>
      <c r="B2174" s="2"/>
      <c r="C2174" s="43"/>
      <c r="D2174" s="2"/>
      <c r="E2174" s="2"/>
      <c r="F2174" s="2"/>
      <c r="G2174" s="11"/>
      <c r="H2174" s="11"/>
      <c r="I2174" s="2"/>
      <c r="J2174" s="2"/>
      <c r="K2174" s="2"/>
      <c r="L2174" s="10"/>
      <c r="M2174" s="9"/>
      <c r="N2174" s="2"/>
      <c r="O2174" s="2"/>
      <c r="P2174" s="2"/>
      <c r="Q2174" s="50"/>
      <c r="R2174" s="50"/>
      <c r="S2174" s="2">
        <f>IFERROR(VLOOKUP(A2174,IMPORT_DESISTENCIA!$A$2:$Q2273,14,0),"NÃO")</f>
        <v>0</v>
      </c>
      <c r="T2174" s="35"/>
    </row>
    <row r="2175" spans="1:20" ht="45" customHeight="1" x14ac:dyDescent="0.25">
      <c r="A2175" s="2" t="str">
        <f t="shared" si="1"/>
        <v/>
      </c>
      <c r="B2175" s="2"/>
      <c r="C2175" s="43"/>
      <c r="D2175" s="2"/>
      <c r="E2175" s="2"/>
      <c r="F2175" s="2"/>
      <c r="G2175" s="11"/>
      <c r="H2175" s="11"/>
      <c r="I2175" s="2"/>
      <c r="J2175" s="2"/>
      <c r="K2175" s="2"/>
      <c r="L2175" s="10"/>
      <c r="M2175" s="9"/>
      <c r="N2175" s="2"/>
      <c r="O2175" s="2"/>
      <c r="P2175" s="2"/>
      <c r="Q2175" s="50"/>
      <c r="R2175" s="50"/>
      <c r="S2175" s="2">
        <f>IFERROR(VLOOKUP(A2175,IMPORT_DESISTENCIA!$A$2:$Q2273,14,0),"NÃO")</f>
        <v>0</v>
      </c>
      <c r="T2175" s="35"/>
    </row>
    <row r="2176" spans="1:20" ht="45" customHeight="1" x14ac:dyDescent="0.25">
      <c r="A2176" s="2" t="str">
        <f t="shared" si="1"/>
        <v/>
      </c>
      <c r="B2176" s="2"/>
      <c r="C2176" s="43"/>
      <c r="D2176" s="2"/>
      <c r="E2176" s="2"/>
      <c r="F2176" s="2"/>
      <c r="G2176" s="11"/>
      <c r="H2176" s="11"/>
      <c r="I2176" s="2"/>
      <c r="J2176" s="2"/>
      <c r="K2176" s="2"/>
      <c r="L2176" s="10"/>
      <c r="M2176" s="9"/>
      <c r="N2176" s="2"/>
      <c r="O2176" s="2"/>
      <c r="P2176" s="2"/>
      <c r="Q2176" s="50"/>
      <c r="R2176" s="50"/>
      <c r="S2176" s="2">
        <f>IFERROR(VLOOKUP(A2176,IMPORT_DESISTENCIA!$A$2:$Q2273,14,0),"NÃO")</f>
        <v>0</v>
      </c>
      <c r="T2176" s="35"/>
    </row>
    <row r="2177" spans="1:20" ht="45" customHeight="1" x14ac:dyDescent="0.25">
      <c r="A2177" s="2" t="str">
        <f t="shared" si="1"/>
        <v/>
      </c>
      <c r="B2177" s="2"/>
      <c r="C2177" s="43"/>
      <c r="D2177" s="2"/>
      <c r="E2177" s="2"/>
      <c r="F2177" s="2"/>
      <c r="G2177" s="11"/>
      <c r="H2177" s="11"/>
      <c r="I2177" s="2"/>
      <c r="J2177" s="2"/>
      <c r="K2177" s="2"/>
      <c r="L2177" s="10"/>
      <c r="M2177" s="9"/>
      <c r="N2177" s="2"/>
      <c r="O2177" s="2"/>
      <c r="P2177" s="2"/>
      <c r="Q2177" s="50"/>
      <c r="R2177" s="50"/>
      <c r="S2177" s="2">
        <f>IFERROR(VLOOKUP(A2177,IMPORT_DESISTENCIA!$A$2:$Q2273,14,0),"NÃO")</f>
        <v>0</v>
      </c>
      <c r="T2177" s="35"/>
    </row>
    <row r="2178" spans="1:20" ht="45" customHeight="1" x14ac:dyDescent="0.25">
      <c r="A2178" s="2" t="str">
        <f t="shared" si="1"/>
        <v/>
      </c>
      <c r="B2178" s="2"/>
      <c r="C2178" s="43"/>
      <c r="D2178" s="2"/>
      <c r="E2178" s="2"/>
      <c r="F2178" s="2"/>
      <c r="G2178" s="11"/>
      <c r="H2178" s="11"/>
      <c r="I2178" s="2"/>
      <c r="J2178" s="2"/>
      <c r="K2178" s="2"/>
      <c r="L2178" s="10"/>
      <c r="M2178" s="9"/>
      <c r="N2178" s="2"/>
      <c r="O2178" s="2"/>
      <c r="P2178" s="2"/>
      <c r="Q2178" s="50"/>
      <c r="R2178" s="50"/>
      <c r="S2178" s="2">
        <f>IFERROR(VLOOKUP(A2178,IMPORT_DESISTENCIA!$A$2:$Q2273,14,0),"NÃO")</f>
        <v>0</v>
      </c>
      <c r="T2178" s="35"/>
    </row>
    <row r="2179" spans="1:20" ht="45" customHeight="1" x14ac:dyDescent="0.25">
      <c r="A2179" s="2" t="str">
        <f t="shared" si="1"/>
        <v/>
      </c>
      <c r="B2179" s="2"/>
      <c r="C2179" s="43"/>
      <c r="D2179" s="2"/>
      <c r="E2179" s="2"/>
      <c r="F2179" s="2"/>
      <c r="G2179" s="11"/>
      <c r="H2179" s="11"/>
      <c r="I2179" s="2"/>
      <c r="J2179" s="2"/>
      <c r="K2179" s="2"/>
      <c r="L2179" s="10"/>
      <c r="M2179" s="9"/>
      <c r="N2179" s="2"/>
      <c r="O2179" s="2"/>
      <c r="P2179" s="2"/>
      <c r="Q2179" s="50"/>
      <c r="R2179" s="50"/>
      <c r="S2179" s="2">
        <f>IFERROR(VLOOKUP(A2179,IMPORT_DESISTENCIA!$A$2:$Q2273,14,0),"NÃO")</f>
        <v>0</v>
      </c>
      <c r="T2179" s="35"/>
    </row>
    <row r="2180" spans="1:20" ht="45" customHeight="1" x14ac:dyDescent="0.25">
      <c r="A2180" s="2" t="str">
        <f t="shared" si="1"/>
        <v/>
      </c>
      <c r="B2180" s="2"/>
      <c r="C2180" s="43"/>
      <c r="D2180" s="2"/>
      <c r="E2180" s="2"/>
      <c r="F2180" s="2"/>
      <c r="G2180" s="11"/>
      <c r="H2180" s="11"/>
      <c r="I2180" s="2"/>
      <c r="J2180" s="2"/>
      <c r="K2180" s="2"/>
      <c r="L2180" s="10"/>
      <c r="M2180" s="9"/>
      <c r="N2180" s="2"/>
      <c r="O2180" s="2"/>
      <c r="P2180" s="2"/>
      <c r="Q2180" s="50"/>
      <c r="R2180" s="50"/>
      <c r="S2180" s="2">
        <f>IFERROR(VLOOKUP(A2180,IMPORT_DESISTENCIA!$A$2:$Q2273,14,0),"NÃO")</f>
        <v>0</v>
      </c>
      <c r="T2180" s="35"/>
    </row>
    <row r="2181" spans="1:20" ht="45" customHeight="1" x14ac:dyDescent="0.25">
      <c r="A2181" s="2" t="str">
        <f t="shared" si="1"/>
        <v/>
      </c>
      <c r="B2181" s="2"/>
      <c r="C2181" s="43"/>
      <c r="D2181" s="2"/>
      <c r="E2181" s="2"/>
      <c r="F2181" s="2"/>
      <c r="G2181" s="11"/>
      <c r="H2181" s="11"/>
      <c r="I2181" s="2"/>
      <c r="J2181" s="2"/>
      <c r="K2181" s="2"/>
      <c r="L2181" s="10"/>
      <c r="M2181" s="9"/>
      <c r="N2181" s="2"/>
      <c r="O2181" s="2"/>
      <c r="P2181" s="2"/>
      <c r="Q2181" s="50"/>
      <c r="R2181" s="50"/>
      <c r="S2181" s="2">
        <f>IFERROR(VLOOKUP(A2181,IMPORT_DESISTENCIA!$A$2:$Q2273,14,0),"NÃO")</f>
        <v>0</v>
      </c>
      <c r="T2181" s="35"/>
    </row>
    <row r="2182" spans="1:20" ht="45" customHeight="1" x14ac:dyDescent="0.25">
      <c r="A2182" s="2" t="str">
        <f t="shared" si="1"/>
        <v/>
      </c>
      <c r="B2182" s="2"/>
      <c r="C2182" s="43"/>
      <c r="D2182" s="2"/>
      <c r="E2182" s="2"/>
      <c r="F2182" s="2"/>
      <c r="G2182" s="11"/>
      <c r="H2182" s="11"/>
      <c r="I2182" s="2"/>
      <c r="J2182" s="2"/>
      <c r="K2182" s="2"/>
      <c r="L2182" s="10"/>
      <c r="M2182" s="9"/>
      <c r="N2182" s="2"/>
      <c r="O2182" s="2"/>
      <c r="P2182" s="2"/>
      <c r="Q2182" s="50"/>
      <c r="R2182" s="50"/>
      <c r="S2182" s="2">
        <f>IFERROR(VLOOKUP(A2182,IMPORT_DESISTENCIA!$A$2:$Q2273,14,0),"NÃO")</f>
        <v>0</v>
      </c>
      <c r="T2182" s="35"/>
    </row>
    <row r="2183" spans="1:20" ht="45" customHeight="1" x14ac:dyDescent="0.25">
      <c r="A2183" s="2" t="str">
        <f t="shared" si="1"/>
        <v/>
      </c>
      <c r="B2183" s="2"/>
      <c r="C2183" s="43"/>
      <c r="D2183" s="2"/>
      <c r="E2183" s="2"/>
      <c r="F2183" s="2"/>
      <c r="G2183" s="11"/>
      <c r="H2183" s="11"/>
      <c r="I2183" s="2"/>
      <c r="J2183" s="2"/>
      <c r="K2183" s="2"/>
      <c r="L2183" s="10"/>
      <c r="M2183" s="9"/>
      <c r="N2183" s="2"/>
      <c r="O2183" s="2"/>
      <c r="P2183" s="2"/>
      <c r="Q2183" s="50"/>
      <c r="R2183" s="50"/>
      <c r="S2183" s="2">
        <f>IFERROR(VLOOKUP(A2183,IMPORT_DESISTENCIA!$A$2:$Q2273,14,0),"NÃO")</f>
        <v>0</v>
      </c>
      <c r="T2183" s="35"/>
    </row>
    <row r="2184" spans="1:20" ht="45" customHeight="1" x14ac:dyDescent="0.25">
      <c r="A2184" s="2" t="str">
        <f t="shared" si="1"/>
        <v/>
      </c>
      <c r="B2184" s="2"/>
      <c r="C2184" s="43"/>
      <c r="D2184" s="2"/>
      <c r="E2184" s="2"/>
      <c r="F2184" s="2"/>
      <c r="G2184" s="11"/>
      <c r="H2184" s="11"/>
      <c r="I2184" s="2"/>
      <c r="J2184" s="2"/>
      <c r="K2184" s="2"/>
      <c r="L2184" s="10"/>
      <c r="M2184" s="9"/>
      <c r="N2184" s="2"/>
      <c r="O2184" s="2"/>
      <c r="P2184" s="2"/>
      <c r="Q2184" s="50"/>
      <c r="R2184" s="50"/>
      <c r="S2184" s="2">
        <f>IFERROR(VLOOKUP(A2184,IMPORT_DESISTENCIA!$A$2:$Q2273,14,0),"NÃO")</f>
        <v>0</v>
      </c>
      <c r="T2184" s="35"/>
    </row>
    <row r="2185" spans="1:20" ht="45" customHeight="1" x14ac:dyDescent="0.25">
      <c r="A2185" s="2" t="str">
        <f t="shared" si="1"/>
        <v/>
      </c>
      <c r="B2185" s="2"/>
      <c r="C2185" s="43"/>
      <c r="D2185" s="2"/>
      <c r="E2185" s="2"/>
      <c r="F2185" s="2"/>
      <c r="G2185" s="11"/>
      <c r="H2185" s="11"/>
      <c r="I2185" s="2"/>
      <c r="J2185" s="2"/>
      <c r="K2185" s="2"/>
      <c r="L2185" s="10"/>
      <c r="M2185" s="9"/>
      <c r="N2185" s="2"/>
      <c r="O2185" s="2"/>
      <c r="P2185" s="2"/>
      <c r="Q2185" s="50"/>
      <c r="R2185" s="50"/>
      <c r="S2185" s="2">
        <f>IFERROR(VLOOKUP(A2185,IMPORT_DESISTENCIA!$A$2:$Q2273,14,0),"NÃO")</f>
        <v>0</v>
      </c>
      <c r="T2185" s="35"/>
    </row>
    <row r="2186" spans="1:20" ht="45" customHeight="1" x14ac:dyDescent="0.25">
      <c r="A2186" s="2" t="str">
        <f t="shared" si="1"/>
        <v/>
      </c>
      <c r="B2186" s="2"/>
      <c r="C2186" s="43"/>
      <c r="D2186" s="2"/>
      <c r="E2186" s="2"/>
      <c r="F2186" s="2"/>
      <c r="G2186" s="11"/>
      <c r="H2186" s="11"/>
      <c r="I2186" s="2"/>
      <c r="J2186" s="2"/>
      <c r="K2186" s="2"/>
      <c r="L2186" s="10"/>
      <c r="M2186" s="9"/>
      <c r="N2186" s="2"/>
      <c r="O2186" s="2"/>
      <c r="P2186" s="2"/>
      <c r="Q2186" s="50"/>
      <c r="R2186" s="50"/>
      <c r="S2186" s="2">
        <f>IFERROR(VLOOKUP(A2186,IMPORT_DESISTENCIA!$A$2:$Q2273,14,0),"NÃO")</f>
        <v>0</v>
      </c>
      <c r="T2186" s="35"/>
    </row>
    <row r="2187" spans="1:20" ht="45" customHeight="1" x14ac:dyDescent="0.25">
      <c r="A2187" s="2" t="str">
        <f t="shared" si="1"/>
        <v/>
      </c>
      <c r="B2187" s="2"/>
      <c r="C2187" s="43"/>
      <c r="D2187" s="2"/>
      <c r="E2187" s="2"/>
      <c r="F2187" s="2"/>
      <c r="G2187" s="11"/>
      <c r="H2187" s="11"/>
      <c r="I2187" s="2"/>
      <c r="J2187" s="2"/>
      <c r="K2187" s="2"/>
      <c r="L2187" s="10"/>
      <c r="M2187" s="9"/>
      <c r="N2187" s="2"/>
      <c r="O2187" s="2"/>
      <c r="P2187" s="2"/>
      <c r="Q2187" s="50"/>
      <c r="R2187" s="50"/>
      <c r="S2187" s="2">
        <f>IFERROR(VLOOKUP(A2187,IMPORT_DESISTENCIA!$A$2:$Q2273,14,0),"NÃO")</f>
        <v>0</v>
      </c>
      <c r="T2187" s="35"/>
    </row>
    <row r="2188" spans="1:20" ht="45" customHeight="1" x14ac:dyDescent="0.25">
      <c r="A2188" s="2" t="str">
        <f t="shared" si="1"/>
        <v/>
      </c>
      <c r="B2188" s="2"/>
      <c r="C2188" s="43"/>
      <c r="D2188" s="2"/>
      <c r="E2188" s="2"/>
      <c r="F2188" s="2"/>
      <c r="G2188" s="11"/>
      <c r="H2188" s="11"/>
      <c r="I2188" s="2"/>
      <c r="J2188" s="2"/>
      <c r="K2188" s="2"/>
      <c r="L2188" s="10"/>
      <c r="M2188" s="9"/>
      <c r="N2188" s="2"/>
      <c r="O2188" s="2"/>
      <c r="P2188" s="2"/>
      <c r="Q2188" s="50"/>
      <c r="R2188" s="50"/>
      <c r="S2188" s="2">
        <f>IFERROR(VLOOKUP(A2188,IMPORT_DESISTENCIA!$A$2:$Q2273,14,0),"NÃO")</f>
        <v>0</v>
      </c>
      <c r="T2188" s="35"/>
    </row>
    <row r="2189" spans="1:20" ht="45" customHeight="1" x14ac:dyDescent="0.25">
      <c r="A2189" s="2" t="str">
        <f t="shared" si="1"/>
        <v/>
      </c>
      <c r="B2189" s="2"/>
      <c r="C2189" s="43"/>
      <c r="D2189" s="2"/>
      <c r="E2189" s="2"/>
      <c r="F2189" s="2"/>
      <c r="G2189" s="11"/>
      <c r="H2189" s="11"/>
      <c r="I2189" s="2"/>
      <c r="J2189" s="2"/>
      <c r="K2189" s="2"/>
      <c r="L2189" s="10"/>
      <c r="M2189" s="9"/>
      <c r="N2189" s="2"/>
      <c r="O2189" s="2"/>
      <c r="P2189" s="2"/>
      <c r="Q2189" s="50"/>
      <c r="R2189" s="50"/>
      <c r="S2189" s="2">
        <f>IFERROR(VLOOKUP(A2189,IMPORT_DESISTENCIA!$A$2:$Q2273,14,0),"NÃO")</f>
        <v>0</v>
      </c>
      <c r="T2189" s="35"/>
    </row>
    <row r="2190" spans="1:20" ht="45" customHeight="1" x14ac:dyDescent="0.25">
      <c r="A2190" s="2" t="str">
        <f t="shared" si="1"/>
        <v/>
      </c>
      <c r="B2190" s="2"/>
      <c r="C2190" s="43"/>
      <c r="D2190" s="2"/>
      <c r="E2190" s="2"/>
      <c r="F2190" s="2"/>
      <c r="G2190" s="11"/>
      <c r="H2190" s="11"/>
      <c r="I2190" s="2"/>
      <c r="J2190" s="2"/>
      <c r="K2190" s="2"/>
      <c r="L2190" s="10"/>
      <c r="M2190" s="9"/>
      <c r="N2190" s="2"/>
      <c r="O2190" s="2"/>
      <c r="P2190" s="2"/>
      <c r="Q2190" s="50"/>
      <c r="R2190" s="50"/>
      <c r="S2190" s="2">
        <f>IFERROR(VLOOKUP(A2190,IMPORT_DESISTENCIA!$A$2:$Q2273,14,0),"NÃO")</f>
        <v>0</v>
      </c>
      <c r="T2190" s="35"/>
    </row>
    <row r="2191" spans="1:20" ht="45" customHeight="1" x14ac:dyDescent="0.25">
      <c r="A2191" s="2" t="str">
        <f t="shared" si="1"/>
        <v/>
      </c>
      <c r="B2191" s="2"/>
      <c r="C2191" s="43"/>
      <c r="D2191" s="2"/>
      <c r="E2191" s="2"/>
      <c r="F2191" s="2"/>
      <c r="G2191" s="11"/>
      <c r="H2191" s="11"/>
      <c r="I2191" s="2"/>
      <c r="J2191" s="2"/>
      <c r="K2191" s="2"/>
      <c r="L2191" s="10"/>
      <c r="M2191" s="9"/>
      <c r="N2191" s="2"/>
      <c r="O2191" s="2"/>
      <c r="P2191" s="2"/>
      <c r="Q2191" s="50"/>
      <c r="R2191" s="50"/>
      <c r="S2191" s="2">
        <f>IFERROR(VLOOKUP(A2191,IMPORT_DESISTENCIA!$A$2:$Q2273,14,0),"NÃO")</f>
        <v>0</v>
      </c>
      <c r="T2191" s="35"/>
    </row>
    <row r="2192" spans="1:20" ht="45" customHeight="1" x14ac:dyDescent="0.25">
      <c r="A2192" s="2" t="str">
        <f t="shared" si="1"/>
        <v/>
      </c>
      <c r="B2192" s="2"/>
      <c r="C2192" s="43"/>
      <c r="D2192" s="2"/>
      <c r="E2192" s="2"/>
      <c r="F2192" s="2"/>
      <c r="G2192" s="11"/>
      <c r="H2192" s="11"/>
      <c r="I2192" s="2"/>
      <c r="J2192" s="2"/>
      <c r="K2192" s="2"/>
      <c r="L2192" s="10"/>
      <c r="M2192" s="9"/>
      <c r="N2192" s="2"/>
      <c r="O2192" s="2"/>
      <c r="P2192" s="2"/>
      <c r="Q2192" s="50"/>
      <c r="R2192" s="50"/>
      <c r="S2192" s="2">
        <f>IFERROR(VLOOKUP(A2192,IMPORT_DESISTENCIA!$A$2:$Q2273,14,0),"NÃO")</f>
        <v>0</v>
      </c>
      <c r="T2192" s="35"/>
    </row>
    <row r="2193" spans="1:20" ht="45" customHeight="1" x14ac:dyDescent="0.25">
      <c r="A2193" s="2" t="str">
        <f t="shared" si="1"/>
        <v/>
      </c>
      <c r="B2193" s="2"/>
      <c r="C2193" s="43"/>
      <c r="D2193" s="2"/>
      <c r="E2193" s="2"/>
      <c r="F2193" s="2"/>
      <c r="G2193" s="11"/>
      <c r="H2193" s="11"/>
      <c r="I2193" s="2"/>
      <c r="J2193" s="2"/>
      <c r="K2193" s="2"/>
      <c r="L2193" s="10"/>
      <c r="M2193" s="9"/>
      <c r="N2193" s="2"/>
      <c r="O2193" s="2"/>
      <c r="P2193" s="2"/>
      <c r="Q2193" s="50"/>
      <c r="R2193" s="50"/>
      <c r="S2193" s="2">
        <f>IFERROR(VLOOKUP(A2193,IMPORT_DESISTENCIA!$A$2:$Q2273,14,0),"NÃO")</f>
        <v>0</v>
      </c>
      <c r="T2193" s="35"/>
    </row>
    <row r="2194" spans="1:20" ht="45" customHeight="1" x14ac:dyDescent="0.25">
      <c r="A2194" s="2" t="str">
        <f t="shared" si="1"/>
        <v/>
      </c>
      <c r="B2194" s="2"/>
      <c r="C2194" s="43"/>
      <c r="D2194" s="2"/>
      <c r="E2194" s="2"/>
      <c r="F2194" s="2"/>
      <c r="G2194" s="11"/>
      <c r="H2194" s="11"/>
      <c r="I2194" s="2"/>
      <c r="J2194" s="2"/>
      <c r="K2194" s="2"/>
      <c r="L2194" s="10"/>
      <c r="M2194" s="9"/>
      <c r="N2194" s="2"/>
      <c r="O2194" s="2"/>
      <c r="P2194" s="2"/>
      <c r="Q2194" s="50"/>
      <c r="R2194" s="50"/>
      <c r="S2194" s="2">
        <f>IFERROR(VLOOKUP(A2194,IMPORT_DESISTENCIA!$A$2:$Q2273,14,0),"NÃO")</f>
        <v>0</v>
      </c>
      <c r="T2194" s="35"/>
    </row>
    <row r="2195" spans="1:20" ht="45" customHeight="1" x14ac:dyDescent="0.25">
      <c r="A2195" s="2" t="str">
        <f t="shared" si="1"/>
        <v/>
      </c>
      <c r="B2195" s="2"/>
      <c r="C2195" s="43"/>
      <c r="D2195" s="2"/>
      <c r="E2195" s="2"/>
      <c r="F2195" s="2"/>
      <c r="G2195" s="11"/>
      <c r="H2195" s="11"/>
      <c r="I2195" s="2"/>
      <c r="J2195" s="2"/>
      <c r="K2195" s="2"/>
      <c r="L2195" s="10"/>
      <c r="M2195" s="9"/>
      <c r="N2195" s="2"/>
      <c r="O2195" s="2"/>
      <c r="P2195" s="2"/>
      <c r="Q2195" s="50"/>
      <c r="R2195" s="50"/>
      <c r="S2195" s="2">
        <f>IFERROR(VLOOKUP(A2195,IMPORT_DESISTENCIA!$A$2:$Q2273,14,0),"NÃO")</f>
        <v>0</v>
      </c>
      <c r="T2195" s="35"/>
    </row>
    <row r="2196" spans="1:20" ht="45" customHeight="1" x14ac:dyDescent="0.25">
      <c r="A2196" s="2" t="str">
        <f t="shared" si="1"/>
        <v/>
      </c>
      <c r="B2196" s="2"/>
      <c r="C2196" s="43"/>
      <c r="D2196" s="2"/>
      <c r="E2196" s="2"/>
      <c r="F2196" s="2"/>
      <c r="G2196" s="11"/>
      <c r="H2196" s="11"/>
      <c r="I2196" s="2"/>
      <c r="J2196" s="2"/>
      <c r="K2196" s="2"/>
      <c r="L2196" s="10"/>
      <c r="M2196" s="9"/>
      <c r="N2196" s="2"/>
      <c r="O2196" s="2"/>
      <c r="P2196" s="2"/>
      <c r="Q2196" s="50"/>
      <c r="R2196" s="50"/>
      <c r="S2196" s="2">
        <f>IFERROR(VLOOKUP(A2196,IMPORT_DESISTENCIA!$A$2:$Q2273,14,0),"NÃO")</f>
        <v>0</v>
      </c>
      <c r="T2196" s="35"/>
    </row>
    <row r="2197" spans="1:20" ht="45" customHeight="1" x14ac:dyDescent="0.25">
      <c r="A2197" s="2" t="str">
        <f t="shared" si="1"/>
        <v/>
      </c>
      <c r="B2197" s="2"/>
      <c r="C2197" s="43"/>
      <c r="D2197" s="2"/>
      <c r="E2197" s="2"/>
      <c r="F2197" s="2"/>
      <c r="G2197" s="11"/>
      <c r="H2197" s="11"/>
      <c r="I2197" s="2"/>
      <c r="J2197" s="2"/>
      <c r="K2197" s="2"/>
      <c r="L2197" s="10"/>
      <c r="M2197" s="9"/>
      <c r="N2197" s="2"/>
      <c r="O2197" s="2"/>
      <c r="P2197" s="2"/>
      <c r="Q2197" s="50"/>
      <c r="R2197" s="50"/>
      <c r="S2197" s="2">
        <f>IFERROR(VLOOKUP(A2197,IMPORT_DESISTENCIA!$A$2:$Q2273,14,0),"NÃO")</f>
        <v>0</v>
      </c>
      <c r="T2197" s="35"/>
    </row>
    <row r="2198" spans="1:20" ht="45" customHeight="1" x14ac:dyDescent="0.25">
      <c r="A2198" s="2" t="str">
        <f t="shared" si="1"/>
        <v/>
      </c>
      <c r="B2198" s="2"/>
      <c r="C2198" s="43"/>
      <c r="D2198" s="2"/>
      <c r="E2198" s="2"/>
      <c r="F2198" s="2"/>
      <c r="G2198" s="11"/>
      <c r="H2198" s="11"/>
      <c r="I2198" s="2"/>
      <c r="J2198" s="2"/>
      <c r="K2198" s="2"/>
      <c r="L2198" s="10"/>
      <c r="M2198" s="9"/>
      <c r="N2198" s="2"/>
      <c r="O2198" s="2"/>
      <c r="P2198" s="2"/>
      <c r="Q2198" s="50"/>
      <c r="R2198" s="50"/>
      <c r="S2198" s="2">
        <f>IFERROR(VLOOKUP(A2198,IMPORT_DESISTENCIA!$A$2:$Q2273,14,0),"NÃO")</f>
        <v>0</v>
      </c>
      <c r="T2198" s="35"/>
    </row>
    <row r="2199" spans="1:20" ht="45" customHeight="1" x14ac:dyDescent="0.25">
      <c r="A2199" s="2" t="str">
        <f t="shared" si="1"/>
        <v/>
      </c>
      <c r="B2199" s="2"/>
      <c r="C2199" s="43"/>
      <c r="D2199" s="2"/>
      <c r="E2199" s="2"/>
      <c r="F2199" s="2"/>
      <c r="G2199" s="11"/>
      <c r="H2199" s="11"/>
      <c r="I2199" s="2"/>
      <c r="J2199" s="2"/>
      <c r="K2199" s="2"/>
      <c r="L2199" s="10"/>
      <c r="M2199" s="9"/>
      <c r="N2199" s="2"/>
      <c r="O2199" s="2"/>
      <c r="P2199" s="2"/>
      <c r="Q2199" s="50"/>
      <c r="R2199" s="50"/>
      <c r="S2199" s="2">
        <f>IFERROR(VLOOKUP(A2199,IMPORT_DESISTENCIA!$A$2:$Q2273,14,0),"NÃO")</f>
        <v>0</v>
      </c>
      <c r="T2199" s="35"/>
    </row>
    <row r="2200" spans="1:20" ht="45" customHeight="1" x14ac:dyDescent="0.25">
      <c r="A2200" s="2" t="str">
        <f t="shared" si="1"/>
        <v/>
      </c>
      <c r="B2200" s="2"/>
      <c r="C2200" s="43"/>
      <c r="D2200" s="2"/>
      <c r="E2200" s="2"/>
      <c r="F2200" s="2"/>
      <c r="G2200" s="11"/>
      <c r="H2200" s="11"/>
      <c r="I2200" s="2"/>
      <c r="J2200" s="2"/>
      <c r="K2200" s="2"/>
      <c r="L2200" s="10"/>
      <c r="M2200" s="9"/>
      <c r="N2200" s="2"/>
      <c r="O2200" s="2"/>
      <c r="P2200" s="2"/>
      <c r="Q2200" s="50"/>
      <c r="R2200" s="50"/>
      <c r="S2200" s="2">
        <f>IFERROR(VLOOKUP(A2200,IMPORT_DESISTENCIA!$A$2:$Q2273,14,0),"NÃO")</f>
        <v>0</v>
      </c>
      <c r="T2200" s="35"/>
    </row>
    <row r="2201" spans="1:20" ht="45" customHeight="1" x14ac:dyDescent="0.25">
      <c r="A2201" s="2" t="str">
        <f t="shared" si="1"/>
        <v/>
      </c>
      <c r="B2201" s="2"/>
      <c r="C2201" s="43"/>
      <c r="D2201" s="2"/>
      <c r="E2201" s="2"/>
      <c r="F2201" s="2"/>
      <c r="G2201" s="11"/>
      <c r="H2201" s="11"/>
      <c r="I2201" s="2"/>
      <c r="J2201" s="2"/>
      <c r="K2201" s="2"/>
      <c r="L2201" s="10"/>
      <c r="M2201" s="9"/>
      <c r="N2201" s="2"/>
      <c r="O2201" s="2"/>
      <c r="P2201" s="2"/>
      <c r="Q2201" s="50"/>
      <c r="R2201" s="50"/>
      <c r="S2201" s="2">
        <f>IFERROR(VLOOKUP(A2201,IMPORT_DESISTENCIA!$A$2:$Q2273,14,0),"NÃO")</f>
        <v>0</v>
      </c>
      <c r="T2201" s="35"/>
    </row>
    <row r="2202" spans="1:20" ht="45" customHeight="1" x14ac:dyDescent="0.25">
      <c r="A2202" s="2" t="str">
        <f t="shared" si="1"/>
        <v/>
      </c>
      <c r="B2202" s="2"/>
      <c r="C2202" s="43"/>
      <c r="D2202" s="2"/>
      <c r="E2202" s="2"/>
      <c r="F2202" s="2"/>
      <c r="G2202" s="11"/>
      <c r="H2202" s="11"/>
      <c r="I2202" s="2"/>
      <c r="J2202" s="2"/>
      <c r="K2202" s="2"/>
      <c r="L2202" s="10"/>
      <c r="M2202" s="9"/>
      <c r="N2202" s="2"/>
      <c r="O2202" s="2"/>
      <c r="P2202" s="2"/>
      <c r="Q2202" s="50"/>
      <c r="R2202" s="50"/>
      <c r="S2202" s="2">
        <f>IFERROR(VLOOKUP(A2202,IMPORT_DESISTENCIA!$A$2:$Q2273,14,0),"NÃO")</f>
        <v>0</v>
      </c>
      <c r="T2202" s="35"/>
    </row>
    <row r="2203" spans="1:20" ht="45" customHeight="1" x14ac:dyDescent="0.25">
      <c r="A2203" s="2" t="str">
        <f t="shared" si="1"/>
        <v/>
      </c>
      <c r="B2203" s="2"/>
      <c r="C2203" s="43"/>
      <c r="D2203" s="2"/>
      <c r="E2203" s="2"/>
      <c r="F2203" s="2"/>
      <c r="G2203" s="11"/>
      <c r="H2203" s="11"/>
      <c r="I2203" s="2"/>
      <c r="J2203" s="2"/>
      <c r="K2203" s="2"/>
      <c r="L2203" s="10"/>
      <c r="M2203" s="9"/>
      <c r="N2203" s="2"/>
      <c r="O2203" s="2"/>
      <c r="P2203" s="2"/>
      <c r="Q2203" s="50"/>
      <c r="R2203" s="50"/>
      <c r="S2203" s="2">
        <f>IFERROR(VLOOKUP(A2203,IMPORT_DESISTENCIA!$A$2:$Q2273,14,0),"NÃO")</f>
        <v>0</v>
      </c>
      <c r="T2203" s="35"/>
    </row>
    <row r="2204" spans="1:20" ht="45" customHeight="1" x14ac:dyDescent="0.25">
      <c r="A2204" s="2" t="str">
        <f t="shared" si="1"/>
        <v/>
      </c>
      <c r="B2204" s="2"/>
      <c r="C2204" s="43"/>
      <c r="D2204" s="2"/>
      <c r="E2204" s="2"/>
      <c r="F2204" s="2"/>
      <c r="G2204" s="11"/>
      <c r="H2204" s="11"/>
      <c r="I2204" s="2"/>
      <c r="J2204" s="2"/>
      <c r="K2204" s="2"/>
      <c r="L2204" s="10"/>
      <c r="M2204" s="9"/>
      <c r="N2204" s="2"/>
      <c r="O2204" s="2"/>
      <c r="P2204" s="2"/>
      <c r="Q2204" s="50"/>
      <c r="R2204" s="50"/>
      <c r="S2204" s="2">
        <f>IFERROR(VLOOKUP(A2204,IMPORT_DESISTENCIA!$A$2:$Q2273,14,0),"NÃO")</f>
        <v>0</v>
      </c>
      <c r="T2204" s="35"/>
    </row>
    <row r="2205" spans="1:20" ht="45" customHeight="1" x14ac:dyDescent="0.25">
      <c r="A2205" s="2" t="str">
        <f t="shared" si="1"/>
        <v/>
      </c>
      <c r="B2205" s="2"/>
      <c r="C2205" s="43"/>
      <c r="D2205" s="2"/>
      <c r="E2205" s="2"/>
      <c r="F2205" s="2"/>
      <c r="G2205" s="11"/>
      <c r="H2205" s="11"/>
      <c r="I2205" s="2"/>
      <c r="J2205" s="2"/>
      <c r="K2205" s="2"/>
      <c r="L2205" s="10"/>
      <c r="M2205" s="9"/>
      <c r="N2205" s="2"/>
      <c r="O2205" s="2"/>
      <c r="P2205" s="2"/>
      <c r="Q2205" s="50"/>
      <c r="R2205" s="50"/>
      <c r="S2205" s="2">
        <f>IFERROR(VLOOKUP(A2205,IMPORT_DESISTENCIA!$A$2:$Q2273,14,0),"NÃO")</f>
        <v>0</v>
      </c>
      <c r="T2205" s="35"/>
    </row>
    <row r="2206" spans="1:20" ht="45" customHeight="1" x14ac:dyDescent="0.25">
      <c r="A2206" s="2" t="str">
        <f t="shared" si="1"/>
        <v/>
      </c>
      <c r="B2206" s="2"/>
      <c r="C2206" s="43"/>
      <c r="D2206" s="2"/>
      <c r="E2206" s="2"/>
      <c r="F2206" s="2"/>
      <c r="G2206" s="11"/>
      <c r="H2206" s="11"/>
      <c r="I2206" s="2"/>
      <c r="J2206" s="2"/>
      <c r="K2206" s="2"/>
      <c r="L2206" s="10"/>
      <c r="M2206" s="9"/>
      <c r="N2206" s="2"/>
      <c r="O2206" s="2"/>
      <c r="P2206" s="2"/>
      <c r="Q2206" s="50"/>
      <c r="R2206" s="50"/>
      <c r="S2206" s="2">
        <f>IFERROR(VLOOKUP(A2206,IMPORT_DESISTENCIA!$A$2:$Q2273,14,0),"NÃO")</f>
        <v>0</v>
      </c>
      <c r="T2206" s="35"/>
    </row>
    <row r="2207" spans="1:20" ht="45" customHeight="1" x14ac:dyDescent="0.25">
      <c r="A2207" s="2" t="str">
        <f t="shared" si="1"/>
        <v/>
      </c>
      <c r="B2207" s="2"/>
      <c r="C2207" s="43"/>
      <c r="D2207" s="2"/>
      <c r="E2207" s="2"/>
      <c r="F2207" s="2"/>
      <c r="G2207" s="11"/>
      <c r="H2207" s="11"/>
      <c r="I2207" s="2"/>
      <c r="J2207" s="2"/>
      <c r="K2207" s="2"/>
      <c r="L2207" s="10"/>
      <c r="M2207" s="9"/>
      <c r="N2207" s="2"/>
      <c r="O2207" s="2"/>
      <c r="P2207" s="2"/>
      <c r="Q2207" s="50"/>
      <c r="R2207" s="50"/>
      <c r="S2207" s="2">
        <f>IFERROR(VLOOKUP(A2207,IMPORT_DESISTENCIA!$A$2:$Q2273,14,0),"NÃO")</f>
        <v>0</v>
      </c>
      <c r="T2207" s="35"/>
    </row>
    <row r="2208" spans="1:20" ht="45" customHeight="1" x14ac:dyDescent="0.25">
      <c r="A2208" s="2" t="str">
        <f t="shared" si="1"/>
        <v/>
      </c>
      <c r="B2208" s="2"/>
      <c r="C2208" s="43"/>
      <c r="D2208" s="2"/>
      <c r="E2208" s="2"/>
      <c r="F2208" s="2"/>
      <c r="G2208" s="11"/>
      <c r="H2208" s="11"/>
      <c r="I2208" s="2"/>
      <c r="J2208" s="2"/>
      <c r="K2208" s="2"/>
      <c r="L2208" s="10"/>
      <c r="M2208" s="9"/>
      <c r="N2208" s="2"/>
      <c r="O2208" s="2"/>
      <c r="P2208" s="2"/>
      <c r="Q2208" s="50"/>
      <c r="R2208" s="50"/>
      <c r="S2208" s="2">
        <f>IFERROR(VLOOKUP(A2208,IMPORT_DESISTENCIA!$A$2:$Q2273,14,0),"NÃO")</f>
        <v>0</v>
      </c>
      <c r="T2208" s="35"/>
    </row>
    <row r="2209" spans="1:20" ht="45" customHeight="1" x14ac:dyDescent="0.25">
      <c r="A2209" s="2" t="str">
        <f t="shared" si="1"/>
        <v/>
      </c>
      <c r="B2209" s="2"/>
      <c r="C2209" s="43"/>
      <c r="D2209" s="2"/>
      <c r="E2209" s="2"/>
      <c r="F2209" s="2"/>
      <c r="G2209" s="11"/>
      <c r="H2209" s="11"/>
      <c r="I2209" s="2"/>
      <c r="J2209" s="2"/>
      <c r="K2209" s="2"/>
      <c r="L2209" s="10"/>
      <c r="M2209" s="9"/>
      <c r="N2209" s="2"/>
      <c r="O2209" s="2"/>
      <c r="P2209" s="2"/>
      <c r="Q2209" s="50"/>
      <c r="R2209" s="50"/>
      <c r="S2209" s="2">
        <f>IFERROR(VLOOKUP(A2209,IMPORT_DESISTENCIA!$A$2:$Q2273,14,0),"NÃO")</f>
        <v>0</v>
      </c>
      <c r="T2209" s="35"/>
    </row>
    <row r="2210" spans="1:20" ht="45" customHeight="1" x14ac:dyDescent="0.25">
      <c r="A2210" s="2" t="str">
        <f t="shared" si="1"/>
        <v/>
      </c>
      <c r="B2210" s="2"/>
      <c r="C2210" s="43"/>
      <c r="D2210" s="2"/>
      <c r="E2210" s="2"/>
      <c r="F2210" s="2"/>
      <c r="G2210" s="11"/>
      <c r="H2210" s="11"/>
      <c r="I2210" s="2"/>
      <c r="J2210" s="2"/>
      <c r="K2210" s="2"/>
      <c r="L2210" s="10"/>
      <c r="M2210" s="9"/>
      <c r="N2210" s="2"/>
      <c r="O2210" s="2"/>
      <c r="P2210" s="2"/>
      <c r="Q2210" s="50"/>
      <c r="R2210" s="50"/>
      <c r="S2210" s="2">
        <f>IFERROR(VLOOKUP(A2210,IMPORT_DESISTENCIA!$A$2:$Q2273,14,0),"NÃO")</f>
        <v>0</v>
      </c>
      <c r="T2210" s="35"/>
    </row>
    <row r="2211" spans="1:20" ht="45" customHeight="1" x14ac:dyDescent="0.25">
      <c r="A2211" s="2" t="str">
        <f t="shared" si="1"/>
        <v/>
      </c>
      <c r="B2211" s="2"/>
      <c r="C2211" s="43"/>
      <c r="D2211" s="2"/>
      <c r="E2211" s="2"/>
      <c r="F2211" s="2"/>
      <c r="G2211" s="11"/>
      <c r="H2211" s="11"/>
      <c r="I2211" s="2"/>
      <c r="J2211" s="2"/>
      <c r="K2211" s="2"/>
      <c r="L2211" s="10"/>
      <c r="M2211" s="9"/>
      <c r="N2211" s="2"/>
      <c r="O2211" s="2"/>
      <c r="P2211" s="2"/>
      <c r="Q2211" s="50"/>
      <c r="R2211" s="50"/>
      <c r="S2211" s="2">
        <f>IFERROR(VLOOKUP(A2211,IMPORT_DESISTENCIA!$A$2:$Q2273,14,0),"NÃO")</f>
        <v>0</v>
      </c>
      <c r="T2211" s="35"/>
    </row>
    <row r="2212" spans="1:20" ht="45" customHeight="1" x14ac:dyDescent="0.25">
      <c r="A2212" s="2" t="str">
        <f t="shared" si="1"/>
        <v/>
      </c>
      <c r="B2212" s="2"/>
      <c r="C2212" s="43"/>
      <c r="D2212" s="2"/>
      <c r="E2212" s="2"/>
      <c r="F2212" s="2"/>
      <c r="G2212" s="11"/>
      <c r="H2212" s="11"/>
      <c r="I2212" s="2"/>
      <c r="J2212" s="2"/>
      <c r="K2212" s="2"/>
      <c r="L2212" s="10"/>
      <c r="M2212" s="9"/>
      <c r="N2212" s="2"/>
      <c r="O2212" s="2"/>
      <c r="P2212" s="2"/>
      <c r="Q2212" s="50"/>
      <c r="R2212" s="50"/>
      <c r="S2212" s="2">
        <f>IFERROR(VLOOKUP(A2212,IMPORT_DESISTENCIA!$A$2:$Q2273,14,0),"NÃO")</f>
        <v>0</v>
      </c>
      <c r="T2212" s="35"/>
    </row>
    <row r="2213" spans="1:20" ht="45" customHeight="1" x14ac:dyDescent="0.25">
      <c r="A2213" s="2" t="str">
        <f t="shared" si="1"/>
        <v/>
      </c>
      <c r="B2213" s="2"/>
      <c r="C2213" s="43"/>
      <c r="D2213" s="2"/>
      <c r="E2213" s="2"/>
      <c r="F2213" s="2"/>
      <c r="G2213" s="11"/>
      <c r="H2213" s="11"/>
      <c r="I2213" s="2"/>
      <c r="J2213" s="2"/>
      <c r="K2213" s="2"/>
      <c r="L2213" s="10"/>
      <c r="M2213" s="9"/>
      <c r="N2213" s="2"/>
      <c r="O2213" s="2"/>
      <c r="P2213" s="2"/>
      <c r="Q2213" s="50"/>
      <c r="R2213" s="50"/>
      <c r="S2213" s="2">
        <f>IFERROR(VLOOKUP(A2213,IMPORT_DESISTENCIA!$A$2:$Q2273,14,0),"NÃO")</f>
        <v>0</v>
      </c>
      <c r="T2213" s="35"/>
    </row>
    <row r="2214" spans="1:20" ht="45" customHeight="1" x14ac:dyDescent="0.25">
      <c r="A2214" s="2" t="str">
        <f t="shared" si="1"/>
        <v/>
      </c>
      <c r="B2214" s="2"/>
      <c r="C2214" s="43"/>
      <c r="D2214" s="2"/>
      <c r="E2214" s="2"/>
      <c r="F2214" s="2"/>
      <c r="G2214" s="11"/>
      <c r="H2214" s="11"/>
      <c r="I2214" s="2"/>
      <c r="J2214" s="2"/>
      <c r="K2214" s="2"/>
      <c r="L2214" s="10"/>
      <c r="M2214" s="9"/>
      <c r="N2214" s="2"/>
      <c r="O2214" s="2"/>
      <c r="P2214" s="2"/>
      <c r="Q2214" s="50"/>
      <c r="R2214" s="50"/>
      <c r="S2214" s="2">
        <f>IFERROR(VLOOKUP(A2214,IMPORT_DESISTENCIA!$A$2:$Q2273,14,0),"NÃO")</f>
        <v>0</v>
      </c>
      <c r="T2214" s="35"/>
    </row>
    <row r="2215" spans="1:20" ht="45" customHeight="1" x14ac:dyDescent="0.25">
      <c r="A2215" s="2" t="str">
        <f t="shared" si="1"/>
        <v/>
      </c>
      <c r="B2215" s="2"/>
      <c r="C2215" s="43"/>
      <c r="D2215" s="2"/>
      <c r="E2215" s="2"/>
      <c r="F2215" s="2"/>
      <c r="G2215" s="11"/>
      <c r="H2215" s="11"/>
      <c r="I2215" s="2"/>
      <c r="J2215" s="2"/>
      <c r="K2215" s="2"/>
      <c r="L2215" s="10"/>
      <c r="M2215" s="9"/>
      <c r="N2215" s="2"/>
      <c r="O2215" s="2"/>
      <c r="P2215" s="2"/>
      <c r="Q2215" s="50"/>
      <c r="R2215" s="50"/>
      <c r="S2215" s="2">
        <f>IFERROR(VLOOKUP(A2215,IMPORT_DESISTENCIA!$A$2:$Q2273,14,0),"NÃO")</f>
        <v>0</v>
      </c>
      <c r="T2215" s="35"/>
    </row>
    <row r="2216" spans="1:20" ht="45" customHeight="1" x14ac:dyDescent="0.25">
      <c r="A2216" s="2" t="str">
        <f t="shared" si="1"/>
        <v/>
      </c>
      <c r="B2216" s="2"/>
      <c r="C2216" s="43"/>
      <c r="D2216" s="2"/>
      <c r="E2216" s="2"/>
      <c r="F2216" s="2"/>
      <c r="G2216" s="11"/>
      <c r="H2216" s="11"/>
      <c r="I2216" s="2"/>
      <c r="J2216" s="2"/>
      <c r="K2216" s="2"/>
      <c r="L2216" s="10"/>
      <c r="M2216" s="9"/>
      <c r="N2216" s="2"/>
      <c r="O2216" s="2"/>
      <c r="P2216" s="2"/>
      <c r="Q2216" s="50"/>
      <c r="R2216" s="50"/>
      <c r="S2216" s="2">
        <f>IFERROR(VLOOKUP(A2216,IMPORT_DESISTENCIA!$A$2:$Q2273,14,0),"NÃO")</f>
        <v>0</v>
      </c>
      <c r="T2216" s="35"/>
    </row>
    <row r="2217" spans="1:20" ht="45" customHeight="1" x14ac:dyDescent="0.25">
      <c r="A2217" s="2" t="str">
        <f t="shared" si="1"/>
        <v/>
      </c>
      <c r="B2217" s="2"/>
      <c r="C2217" s="43"/>
      <c r="D2217" s="2"/>
      <c r="E2217" s="2"/>
      <c r="F2217" s="2"/>
      <c r="G2217" s="11"/>
      <c r="H2217" s="11"/>
      <c r="I2217" s="2"/>
      <c r="J2217" s="2"/>
      <c r="K2217" s="2"/>
      <c r="L2217" s="10"/>
      <c r="M2217" s="9"/>
      <c r="N2217" s="2"/>
      <c r="O2217" s="2"/>
      <c r="P2217" s="2"/>
      <c r="Q2217" s="50"/>
      <c r="R2217" s="50"/>
      <c r="S2217" s="2">
        <f>IFERROR(VLOOKUP(A2217,IMPORT_DESISTENCIA!$A$2:$Q2273,14,0),"NÃO")</f>
        <v>0</v>
      </c>
      <c r="T2217" s="35"/>
    </row>
    <row r="2218" spans="1:20" ht="45" customHeight="1" x14ac:dyDescent="0.25">
      <c r="A2218" s="2" t="str">
        <f t="shared" si="1"/>
        <v/>
      </c>
      <c r="B2218" s="2"/>
      <c r="C2218" s="43"/>
      <c r="D2218" s="2"/>
      <c r="E2218" s="2"/>
      <c r="F2218" s="2"/>
      <c r="G2218" s="11"/>
      <c r="H2218" s="11"/>
      <c r="I2218" s="2"/>
      <c r="J2218" s="2"/>
      <c r="K2218" s="2"/>
      <c r="L2218" s="10"/>
      <c r="M2218" s="9"/>
      <c r="N2218" s="2"/>
      <c r="O2218" s="2"/>
      <c r="P2218" s="2"/>
      <c r="Q2218" s="50"/>
      <c r="R2218" s="50"/>
      <c r="S2218" s="2">
        <f>IFERROR(VLOOKUP(A2218,IMPORT_DESISTENCIA!$A$2:$Q2273,14,0),"NÃO")</f>
        <v>0</v>
      </c>
      <c r="T2218" s="35"/>
    </row>
    <row r="2219" spans="1:20" ht="45" customHeight="1" x14ac:dyDescent="0.25">
      <c r="A2219" s="2" t="str">
        <f t="shared" si="1"/>
        <v/>
      </c>
      <c r="B2219" s="2"/>
      <c r="C2219" s="43"/>
      <c r="D2219" s="2"/>
      <c r="E2219" s="2"/>
      <c r="F2219" s="2"/>
      <c r="G2219" s="11"/>
      <c r="H2219" s="11"/>
      <c r="I2219" s="2"/>
      <c r="J2219" s="2"/>
      <c r="K2219" s="2"/>
      <c r="L2219" s="10"/>
      <c r="M2219" s="9"/>
      <c r="N2219" s="2"/>
      <c r="O2219" s="2"/>
      <c r="P2219" s="2"/>
      <c r="Q2219" s="50"/>
      <c r="R2219" s="50"/>
      <c r="S2219" s="2">
        <f>IFERROR(VLOOKUP(A2219,IMPORT_DESISTENCIA!$A$2:$Q2273,14,0),"NÃO")</f>
        <v>0</v>
      </c>
      <c r="T2219" s="35"/>
    </row>
    <row r="2220" spans="1:20" ht="45" customHeight="1" x14ac:dyDescent="0.25">
      <c r="A2220" s="2" t="str">
        <f t="shared" si="1"/>
        <v/>
      </c>
      <c r="B2220" s="2"/>
      <c r="C2220" s="43"/>
      <c r="D2220" s="2"/>
      <c r="E2220" s="2"/>
      <c r="F2220" s="2"/>
      <c r="G2220" s="11"/>
      <c r="H2220" s="11"/>
      <c r="I2220" s="2"/>
      <c r="J2220" s="2"/>
      <c r="K2220" s="2"/>
      <c r="L2220" s="10"/>
      <c r="M2220" s="9"/>
      <c r="N2220" s="2"/>
      <c r="O2220" s="2"/>
      <c r="P2220" s="2"/>
      <c r="Q2220" s="50"/>
      <c r="R2220" s="50"/>
      <c r="S2220" s="2">
        <f>IFERROR(VLOOKUP(A2220,IMPORT_DESISTENCIA!$A$2:$Q2273,14,0),"NÃO")</f>
        <v>0</v>
      </c>
      <c r="T2220" s="35"/>
    </row>
    <row r="2221" spans="1:20" ht="45" customHeight="1" x14ac:dyDescent="0.25">
      <c r="A2221" s="2" t="str">
        <f t="shared" si="1"/>
        <v/>
      </c>
      <c r="B2221" s="2"/>
      <c r="C2221" s="43"/>
      <c r="D2221" s="2"/>
      <c r="E2221" s="2"/>
      <c r="F2221" s="2"/>
      <c r="G2221" s="11"/>
      <c r="H2221" s="11"/>
      <c r="I2221" s="2"/>
      <c r="J2221" s="2"/>
      <c r="K2221" s="2"/>
      <c r="L2221" s="10"/>
      <c r="M2221" s="9"/>
      <c r="N2221" s="2"/>
      <c r="O2221" s="2"/>
      <c r="P2221" s="2"/>
      <c r="Q2221" s="50"/>
      <c r="R2221" s="50"/>
      <c r="S2221" s="2">
        <f>IFERROR(VLOOKUP(A2221,IMPORT_DESISTENCIA!$A$2:$Q2273,14,0),"NÃO")</f>
        <v>0</v>
      </c>
      <c r="T2221" s="35"/>
    </row>
    <row r="2222" spans="1:20" ht="45" customHeight="1" x14ac:dyDescent="0.25">
      <c r="A2222" s="2" t="str">
        <f t="shared" si="1"/>
        <v/>
      </c>
      <c r="B2222" s="2"/>
      <c r="C2222" s="43"/>
      <c r="D2222" s="2"/>
      <c r="E2222" s="2"/>
      <c r="F2222" s="2"/>
      <c r="G2222" s="11"/>
      <c r="H2222" s="11"/>
      <c r="I2222" s="2"/>
      <c r="J2222" s="2"/>
      <c r="K2222" s="2"/>
      <c r="L2222" s="10"/>
      <c r="M2222" s="9"/>
      <c r="N2222" s="2"/>
      <c r="O2222" s="2"/>
      <c r="P2222" s="2"/>
      <c r="Q2222" s="50"/>
      <c r="R2222" s="50"/>
      <c r="S2222" s="2">
        <f>IFERROR(VLOOKUP(A2222,IMPORT_DESISTENCIA!$A$2:$Q2273,14,0),"NÃO")</f>
        <v>0</v>
      </c>
      <c r="T2222" s="35"/>
    </row>
    <row r="2223" spans="1:20" ht="45" customHeight="1" x14ac:dyDescent="0.25">
      <c r="A2223" s="2" t="str">
        <f t="shared" si="1"/>
        <v/>
      </c>
      <c r="B2223" s="2"/>
      <c r="C2223" s="43"/>
      <c r="D2223" s="2"/>
      <c r="E2223" s="2"/>
      <c r="F2223" s="2"/>
      <c r="G2223" s="11"/>
      <c r="H2223" s="11"/>
      <c r="I2223" s="2"/>
      <c r="J2223" s="2"/>
      <c r="K2223" s="2"/>
      <c r="L2223" s="10"/>
      <c r="M2223" s="9"/>
      <c r="N2223" s="2"/>
      <c r="O2223" s="2"/>
      <c r="P2223" s="2"/>
      <c r="Q2223" s="50"/>
      <c r="R2223" s="50"/>
      <c r="S2223" s="2">
        <f>IFERROR(VLOOKUP(A2223,IMPORT_DESISTENCIA!$A$2:$Q2273,14,0),"NÃO")</f>
        <v>0</v>
      </c>
      <c r="T2223" s="35"/>
    </row>
    <row r="2224" spans="1:20" ht="45" customHeight="1" x14ac:dyDescent="0.25">
      <c r="A2224" s="2" t="str">
        <f t="shared" si="1"/>
        <v/>
      </c>
      <c r="B2224" s="2"/>
      <c r="C2224" s="43"/>
      <c r="D2224" s="2"/>
      <c r="E2224" s="2"/>
      <c r="F2224" s="2"/>
      <c r="G2224" s="11"/>
      <c r="H2224" s="11"/>
      <c r="I2224" s="2"/>
      <c r="J2224" s="2"/>
      <c r="K2224" s="2"/>
      <c r="L2224" s="10"/>
      <c r="M2224" s="9"/>
      <c r="N2224" s="2"/>
      <c r="O2224" s="2"/>
      <c r="P2224" s="2"/>
      <c r="Q2224" s="50"/>
      <c r="R2224" s="50"/>
      <c r="S2224" s="2">
        <f>IFERROR(VLOOKUP(A2224,IMPORT_DESISTENCIA!$A$2:$Q2273,14,0),"NÃO")</f>
        <v>0</v>
      </c>
      <c r="T2224" s="35"/>
    </row>
    <row r="2225" spans="1:20" ht="45" customHeight="1" x14ac:dyDescent="0.25">
      <c r="A2225" s="2" t="str">
        <f t="shared" si="1"/>
        <v/>
      </c>
      <c r="B2225" s="2"/>
      <c r="C2225" s="43"/>
      <c r="D2225" s="2"/>
      <c r="E2225" s="2"/>
      <c r="F2225" s="2"/>
      <c r="G2225" s="11"/>
      <c r="H2225" s="11"/>
      <c r="I2225" s="2"/>
      <c r="J2225" s="2"/>
      <c r="K2225" s="2"/>
      <c r="L2225" s="10"/>
      <c r="M2225" s="9"/>
      <c r="N2225" s="2"/>
      <c r="O2225" s="2"/>
      <c r="P2225" s="2"/>
      <c r="Q2225" s="50"/>
      <c r="R2225" s="50"/>
      <c r="S2225" s="2">
        <f>IFERROR(VLOOKUP(A2225,IMPORT_DESISTENCIA!$A$2:$Q2273,14,0),"NÃO")</f>
        <v>0</v>
      </c>
      <c r="T2225" s="35"/>
    </row>
    <row r="2226" spans="1:20" ht="45" customHeight="1" x14ac:dyDescent="0.25">
      <c r="A2226" s="2" t="str">
        <f t="shared" si="1"/>
        <v/>
      </c>
      <c r="B2226" s="2"/>
      <c r="C2226" s="43"/>
      <c r="D2226" s="2"/>
      <c r="E2226" s="2"/>
      <c r="F2226" s="2"/>
      <c r="G2226" s="11"/>
      <c r="H2226" s="11"/>
      <c r="I2226" s="2"/>
      <c r="J2226" s="2"/>
      <c r="K2226" s="2"/>
      <c r="L2226" s="10"/>
      <c r="M2226" s="9"/>
      <c r="N2226" s="2"/>
      <c r="O2226" s="2"/>
      <c r="P2226" s="2"/>
      <c r="Q2226" s="50"/>
      <c r="R2226" s="50"/>
      <c r="S2226" s="2">
        <f>IFERROR(VLOOKUP(A2226,IMPORT_DESISTENCIA!$A$2:$Q2273,14,0),"NÃO")</f>
        <v>0</v>
      </c>
      <c r="T2226" s="35"/>
    </row>
    <row r="2227" spans="1:20" ht="45" customHeight="1" x14ac:dyDescent="0.25">
      <c r="A2227" s="2" t="str">
        <f t="shared" si="1"/>
        <v/>
      </c>
      <c r="B2227" s="2"/>
      <c r="C2227" s="43"/>
      <c r="D2227" s="2"/>
      <c r="E2227" s="2"/>
      <c r="F2227" s="2"/>
      <c r="G2227" s="11"/>
      <c r="H2227" s="11"/>
      <c r="I2227" s="2"/>
      <c r="J2227" s="2"/>
      <c r="K2227" s="2"/>
      <c r="L2227" s="10"/>
      <c r="M2227" s="9"/>
      <c r="N2227" s="2"/>
      <c r="O2227" s="2"/>
      <c r="P2227" s="2"/>
      <c r="Q2227" s="50"/>
      <c r="R2227" s="50"/>
      <c r="S2227" s="2">
        <f>IFERROR(VLOOKUP(A2227,IMPORT_DESISTENCIA!$A$2:$Q2273,14,0),"NÃO")</f>
        <v>0</v>
      </c>
      <c r="T2227" s="35"/>
    </row>
    <row r="2228" spans="1:20" ht="45" customHeight="1" x14ac:dyDescent="0.25">
      <c r="A2228" s="2" t="str">
        <f t="shared" si="1"/>
        <v/>
      </c>
      <c r="B2228" s="2"/>
      <c r="C2228" s="43"/>
      <c r="D2228" s="2"/>
      <c r="E2228" s="2"/>
      <c r="F2228" s="2"/>
      <c r="G2228" s="11"/>
      <c r="H2228" s="11"/>
      <c r="I2228" s="2"/>
      <c r="J2228" s="2"/>
      <c r="K2228" s="2"/>
      <c r="L2228" s="10"/>
      <c r="M2228" s="9"/>
      <c r="N2228" s="2"/>
      <c r="O2228" s="2"/>
      <c r="P2228" s="2"/>
      <c r="Q2228" s="50"/>
      <c r="R2228" s="50"/>
      <c r="S2228" s="2">
        <f>IFERROR(VLOOKUP(A2228,IMPORT_DESISTENCIA!$A$2:$Q2273,14,0),"NÃO")</f>
        <v>0</v>
      </c>
      <c r="T2228" s="35"/>
    </row>
    <row r="2229" spans="1:20" ht="45" customHeight="1" x14ac:dyDescent="0.25">
      <c r="A2229" s="2" t="str">
        <f t="shared" si="1"/>
        <v/>
      </c>
      <c r="B2229" s="2"/>
      <c r="C2229" s="43"/>
      <c r="D2229" s="2"/>
      <c r="E2229" s="2"/>
      <c r="F2229" s="2"/>
      <c r="G2229" s="11"/>
      <c r="H2229" s="11"/>
      <c r="I2229" s="2"/>
      <c r="J2229" s="2"/>
      <c r="K2229" s="2"/>
      <c r="L2229" s="10"/>
      <c r="M2229" s="9"/>
      <c r="N2229" s="2"/>
      <c r="O2229" s="2"/>
      <c r="P2229" s="2"/>
      <c r="Q2229" s="50"/>
      <c r="R2229" s="50"/>
      <c r="S2229" s="2">
        <f>IFERROR(VLOOKUP(A2229,IMPORT_DESISTENCIA!$A$2:$Q2273,14,0),"NÃO")</f>
        <v>0</v>
      </c>
      <c r="T2229" s="35"/>
    </row>
    <row r="2230" spans="1:20" ht="45" customHeight="1" x14ac:dyDescent="0.25">
      <c r="A2230" s="2" t="str">
        <f t="shared" si="1"/>
        <v/>
      </c>
      <c r="B2230" s="2"/>
      <c r="C2230" s="43"/>
      <c r="D2230" s="2"/>
      <c r="E2230" s="2"/>
      <c r="F2230" s="2"/>
      <c r="G2230" s="11"/>
      <c r="H2230" s="11"/>
      <c r="I2230" s="2"/>
      <c r="J2230" s="2"/>
      <c r="K2230" s="2"/>
      <c r="L2230" s="10"/>
      <c r="M2230" s="9"/>
      <c r="N2230" s="2"/>
      <c r="O2230" s="2"/>
      <c r="P2230" s="2"/>
      <c r="Q2230" s="50"/>
      <c r="R2230" s="50"/>
      <c r="S2230" s="2">
        <f>IFERROR(VLOOKUP(A2230,IMPORT_DESISTENCIA!$A$2:$Q2273,14,0),"NÃO")</f>
        <v>0</v>
      </c>
      <c r="T2230" s="35"/>
    </row>
    <row r="2231" spans="1:20" ht="45" customHeight="1" x14ac:dyDescent="0.25">
      <c r="A2231" s="2" t="str">
        <f t="shared" si="1"/>
        <v/>
      </c>
      <c r="B2231" s="2"/>
      <c r="C2231" s="43"/>
      <c r="D2231" s="2"/>
      <c r="E2231" s="2"/>
      <c r="F2231" s="2"/>
      <c r="G2231" s="11"/>
      <c r="H2231" s="11"/>
      <c r="I2231" s="2"/>
      <c r="J2231" s="2"/>
      <c r="K2231" s="2"/>
      <c r="L2231" s="10"/>
      <c r="M2231" s="9"/>
      <c r="N2231" s="2"/>
      <c r="O2231" s="2"/>
      <c r="P2231" s="2"/>
      <c r="Q2231" s="50"/>
      <c r="R2231" s="50"/>
      <c r="S2231" s="2">
        <f>IFERROR(VLOOKUP(A2231,IMPORT_DESISTENCIA!$A$2:$Q2273,14,0),"NÃO")</f>
        <v>0</v>
      </c>
      <c r="T2231" s="35"/>
    </row>
    <row r="2232" spans="1:20" ht="45" customHeight="1" x14ac:dyDescent="0.25">
      <c r="A2232" s="2" t="str">
        <f t="shared" si="1"/>
        <v/>
      </c>
      <c r="B2232" s="2"/>
      <c r="C2232" s="43"/>
      <c r="D2232" s="2"/>
      <c r="E2232" s="2"/>
      <c r="F2232" s="2"/>
      <c r="G2232" s="11"/>
      <c r="H2232" s="11"/>
      <c r="I2232" s="2"/>
      <c r="J2232" s="2"/>
      <c r="K2232" s="2"/>
      <c r="L2232" s="10"/>
      <c r="M2232" s="9"/>
      <c r="N2232" s="2"/>
      <c r="O2232" s="2"/>
      <c r="P2232" s="2"/>
      <c r="Q2232" s="50"/>
      <c r="R2232" s="50"/>
      <c r="S2232" s="2">
        <f>IFERROR(VLOOKUP(A2232,IMPORT_DESISTENCIA!$A$2:$Q2273,14,0),"NÃO")</f>
        <v>0</v>
      </c>
      <c r="T2232" s="35"/>
    </row>
    <row r="2233" spans="1:20" ht="45" customHeight="1" x14ac:dyDescent="0.25">
      <c r="A2233" s="2" t="str">
        <f t="shared" si="1"/>
        <v/>
      </c>
      <c r="B2233" s="2"/>
      <c r="C2233" s="43"/>
      <c r="D2233" s="2"/>
      <c r="E2233" s="2"/>
      <c r="F2233" s="2"/>
      <c r="G2233" s="11"/>
      <c r="H2233" s="11"/>
      <c r="I2233" s="2"/>
      <c r="J2233" s="2"/>
      <c r="K2233" s="2"/>
      <c r="L2233" s="10"/>
      <c r="M2233" s="9"/>
      <c r="N2233" s="2"/>
      <c r="O2233" s="2"/>
      <c r="P2233" s="2"/>
      <c r="Q2233" s="50"/>
      <c r="R2233" s="50"/>
      <c r="S2233" s="2">
        <f>IFERROR(VLOOKUP(A2233,IMPORT_DESISTENCIA!$A$2:$Q2273,14,0),"NÃO")</f>
        <v>0</v>
      </c>
      <c r="T2233" s="35"/>
    </row>
    <row r="2234" spans="1:20" ht="45" customHeight="1" x14ac:dyDescent="0.25">
      <c r="A2234" s="2" t="str">
        <f t="shared" si="1"/>
        <v/>
      </c>
      <c r="B2234" s="2"/>
      <c r="C2234" s="43"/>
      <c r="D2234" s="2"/>
      <c r="E2234" s="2"/>
      <c r="F2234" s="2"/>
      <c r="G2234" s="11"/>
      <c r="H2234" s="11"/>
      <c r="I2234" s="2"/>
      <c r="J2234" s="2"/>
      <c r="K2234" s="2"/>
      <c r="L2234" s="10"/>
      <c r="M2234" s="9"/>
      <c r="N2234" s="2"/>
      <c r="O2234" s="2"/>
      <c r="P2234" s="2"/>
      <c r="Q2234" s="50"/>
      <c r="R2234" s="50"/>
      <c r="S2234" s="2">
        <f>IFERROR(VLOOKUP(A2234,IMPORT_DESISTENCIA!$A$2:$Q2273,14,0),"NÃO")</f>
        <v>0</v>
      </c>
      <c r="T2234" s="35"/>
    </row>
    <row r="2235" spans="1:20" ht="45" customHeight="1" x14ac:dyDescent="0.25">
      <c r="A2235" s="2" t="str">
        <f t="shared" si="1"/>
        <v/>
      </c>
      <c r="B2235" s="2"/>
      <c r="C2235" s="43"/>
      <c r="D2235" s="2"/>
      <c r="E2235" s="2"/>
      <c r="F2235" s="2"/>
      <c r="G2235" s="11"/>
      <c r="H2235" s="11"/>
      <c r="I2235" s="2"/>
      <c r="J2235" s="2"/>
      <c r="K2235" s="2"/>
      <c r="L2235" s="10"/>
      <c r="M2235" s="9"/>
      <c r="N2235" s="2"/>
      <c r="O2235" s="2"/>
      <c r="P2235" s="2"/>
      <c r="Q2235" s="50"/>
      <c r="R2235" s="50"/>
      <c r="S2235" s="2">
        <f>IFERROR(VLOOKUP(A2235,IMPORT_DESISTENCIA!$A$2:$Q2273,14,0),"NÃO")</f>
        <v>0</v>
      </c>
      <c r="T2235" s="35"/>
    </row>
    <row r="2236" spans="1:20" ht="45" customHeight="1" x14ac:dyDescent="0.25">
      <c r="A2236" s="2" t="str">
        <f t="shared" si="1"/>
        <v/>
      </c>
      <c r="B2236" s="2"/>
      <c r="C2236" s="43"/>
      <c r="D2236" s="2"/>
      <c r="E2236" s="2"/>
      <c r="F2236" s="2"/>
      <c r="G2236" s="11"/>
      <c r="H2236" s="11"/>
      <c r="I2236" s="2"/>
      <c r="J2236" s="2"/>
      <c r="K2236" s="2"/>
      <c r="L2236" s="10"/>
      <c r="M2236" s="9"/>
      <c r="N2236" s="2"/>
      <c r="O2236" s="2"/>
      <c r="P2236" s="2"/>
      <c r="Q2236" s="50"/>
      <c r="R2236" s="50"/>
      <c r="S2236" s="2">
        <f>IFERROR(VLOOKUP(A2236,IMPORT_DESISTENCIA!$A$2:$Q2273,14,0),"NÃO")</f>
        <v>0</v>
      </c>
      <c r="T2236" s="35"/>
    </row>
    <row r="2237" spans="1:20" ht="45" customHeight="1" x14ac:dyDescent="0.25">
      <c r="A2237" s="2" t="str">
        <f t="shared" si="1"/>
        <v/>
      </c>
      <c r="B2237" s="2"/>
      <c r="C2237" s="43"/>
      <c r="D2237" s="2"/>
      <c r="E2237" s="2"/>
      <c r="F2237" s="2"/>
      <c r="G2237" s="11"/>
      <c r="H2237" s="11"/>
      <c r="I2237" s="2"/>
      <c r="J2237" s="2"/>
      <c r="K2237" s="2"/>
      <c r="L2237" s="10"/>
      <c r="M2237" s="9"/>
      <c r="N2237" s="2"/>
      <c r="O2237" s="2"/>
      <c r="P2237" s="2"/>
      <c r="Q2237" s="50"/>
      <c r="R2237" s="50"/>
      <c r="S2237" s="2">
        <f>IFERROR(VLOOKUP(A2237,IMPORT_DESISTENCIA!$A$2:$Q2273,14,0),"NÃO")</f>
        <v>0</v>
      </c>
      <c r="T2237" s="35"/>
    </row>
    <row r="2238" spans="1:20" ht="45" customHeight="1" x14ac:dyDescent="0.25">
      <c r="A2238" s="2" t="str">
        <f t="shared" si="1"/>
        <v/>
      </c>
      <c r="B2238" s="2"/>
      <c r="C2238" s="43"/>
      <c r="D2238" s="2"/>
      <c r="E2238" s="2"/>
      <c r="F2238" s="2"/>
      <c r="G2238" s="11"/>
      <c r="H2238" s="11"/>
      <c r="I2238" s="2"/>
      <c r="J2238" s="2"/>
      <c r="K2238" s="2"/>
      <c r="L2238" s="10"/>
      <c r="M2238" s="9"/>
      <c r="N2238" s="2"/>
      <c r="O2238" s="2"/>
      <c r="P2238" s="2"/>
      <c r="Q2238" s="50"/>
      <c r="R2238" s="50"/>
      <c r="S2238" s="2">
        <f>IFERROR(VLOOKUP(A2238,IMPORT_DESISTENCIA!$A$2:$Q2273,14,0),"NÃO")</f>
        <v>0</v>
      </c>
      <c r="T2238" s="35"/>
    </row>
    <row r="2239" spans="1:20" ht="45" customHeight="1" x14ac:dyDescent="0.25">
      <c r="A2239" s="2" t="str">
        <f t="shared" si="1"/>
        <v/>
      </c>
      <c r="B2239" s="2"/>
      <c r="C2239" s="43"/>
      <c r="D2239" s="2"/>
      <c r="E2239" s="2"/>
      <c r="F2239" s="2"/>
      <c r="G2239" s="11"/>
      <c r="H2239" s="11"/>
      <c r="I2239" s="2"/>
      <c r="J2239" s="2"/>
      <c r="K2239" s="2"/>
      <c r="L2239" s="10"/>
      <c r="M2239" s="9"/>
      <c r="N2239" s="2"/>
      <c r="O2239" s="2"/>
      <c r="P2239" s="2"/>
      <c r="Q2239" s="50"/>
      <c r="R2239" s="50"/>
      <c r="S2239" s="2">
        <f>IFERROR(VLOOKUP(A2239,IMPORT_DESISTENCIA!$A$2:$Q2273,14,0),"NÃO")</f>
        <v>0</v>
      </c>
      <c r="T2239" s="35"/>
    </row>
    <row r="2240" spans="1:20" ht="45" customHeight="1" x14ac:dyDescent="0.25">
      <c r="A2240" s="2" t="str">
        <f t="shared" si="1"/>
        <v/>
      </c>
      <c r="B2240" s="2"/>
      <c r="C2240" s="43"/>
      <c r="D2240" s="2"/>
      <c r="E2240" s="2"/>
      <c r="F2240" s="2"/>
      <c r="G2240" s="11"/>
      <c r="H2240" s="11"/>
      <c r="I2240" s="2"/>
      <c r="J2240" s="2"/>
      <c r="K2240" s="2"/>
      <c r="L2240" s="10"/>
      <c r="M2240" s="9"/>
      <c r="N2240" s="2"/>
      <c r="O2240" s="2"/>
      <c r="P2240" s="2"/>
      <c r="Q2240" s="50"/>
      <c r="R2240" s="50"/>
      <c r="S2240" s="2">
        <f>IFERROR(VLOOKUP(A2240,IMPORT_DESISTENCIA!$A$2:$Q2273,14,0),"NÃO")</f>
        <v>0</v>
      </c>
      <c r="T2240" s="35"/>
    </row>
    <row r="2241" spans="1:20" ht="45" customHeight="1" x14ac:dyDescent="0.25">
      <c r="A2241" s="2" t="str">
        <f t="shared" si="1"/>
        <v/>
      </c>
      <c r="B2241" s="2"/>
      <c r="C2241" s="43"/>
      <c r="D2241" s="2"/>
      <c r="E2241" s="2"/>
      <c r="F2241" s="2"/>
      <c r="G2241" s="11"/>
      <c r="H2241" s="11"/>
      <c r="I2241" s="2"/>
      <c r="J2241" s="2"/>
      <c r="K2241" s="2"/>
      <c r="L2241" s="10"/>
      <c r="M2241" s="9"/>
      <c r="N2241" s="2"/>
      <c r="O2241" s="2"/>
      <c r="P2241" s="2"/>
      <c r="Q2241" s="50"/>
      <c r="R2241" s="50"/>
      <c r="S2241" s="2">
        <f>IFERROR(VLOOKUP(A2241,IMPORT_DESISTENCIA!$A$2:$Q2273,14,0),"NÃO")</f>
        <v>0</v>
      </c>
      <c r="T2241" s="35"/>
    </row>
    <row r="2242" spans="1:20" ht="45" customHeight="1" x14ac:dyDescent="0.25">
      <c r="A2242" s="2" t="str">
        <f t="shared" si="1"/>
        <v/>
      </c>
      <c r="B2242" s="2"/>
      <c r="C2242" s="43"/>
      <c r="D2242" s="2"/>
      <c r="E2242" s="2"/>
      <c r="F2242" s="2"/>
      <c r="G2242" s="11"/>
      <c r="H2242" s="11"/>
      <c r="I2242" s="2"/>
      <c r="J2242" s="2"/>
      <c r="K2242" s="2"/>
      <c r="L2242" s="10"/>
      <c r="M2242" s="9"/>
      <c r="N2242" s="2"/>
      <c r="O2242" s="2"/>
      <c r="P2242" s="2"/>
      <c r="Q2242" s="50"/>
      <c r="R2242" s="50"/>
      <c r="S2242" s="2">
        <f>IFERROR(VLOOKUP(A2242,IMPORT_DESISTENCIA!$A$2:$Q2273,14,0),"NÃO")</f>
        <v>0</v>
      </c>
      <c r="T2242" s="35"/>
    </row>
    <row r="2243" spans="1:20" ht="45" customHeight="1" x14ac:dyDescent="0.25">
      <c r="A2243" s="2" t="str">
        <f t="shared" si="1"/>
        <v/>
      </c>
      <c r="B2243" s="2"/>
      <c r="C2243" s="43"/>
      <c r="D2243" s="2"/>
      <c r="E2243" s="2"/>
      <c r="F2243" s="2"/>
      <c r="G2243" s="11"/>
      <c r="H2243" s="11"/>
      <c r="I2243" s="2"/>
      <c r="J2243" s="2"/>
      <c r="K2243" s="2"/>
      <c r="L2243" s="10"/>
      <c r="M2243" s="9"/>
      <c r="N2243" s="2"/>
      <c r="O2243" s="2"/>
      <c r="P2243" s="2"/>
      <c r="Q2243" s="50"/>
      <c r="R2243" s="50"/>
      <c r="S2243" s="2">
        <f>IFERROR(VLOOKUP(A2243,IMPORT_DESISTENCIA!$A$2:$Q2273,14,0),"NÃO")</f>
        <v>0</v>
      </c>
      <c r="T2243" s="35"/>
    </row>
    <row r="2244" spans="1:20" ht="45" customHeight="1" x14ac:dyDescent="0.25">
      <c r="A2244" s="2" t="str">
        <f t="shared" si="1"/>
        <v/>
      </c>
      <c r="B2244" s="2"/>
      <c r="C2244" s="43"/>
      <c r="D2244" s="2"/>
      <c r="E2244" s="2"/>
      <c r="F2244" s="2"/>
      <c r="G2244" s="11"/>
      <c r="H2244" s="11"/>
      <c r="I2244" s="2"/>
      <c r="J2244" s="2"/>
      <c r="K2244" s="2"/>
      <c r="L2244" s="10"/>
      <c r="M2244" s="9"/>
      <c r="N2244" s="2"/>
      <c r="O2244" s="2"/>
      <c r="P2244" s="2"/>
      <c r="Q2244" s="50"/>
      <c r="R2244" s="50"/>
      <c r="S2244" s="2">
        <f>IFERROR(VLOOKUP(A2244,IMPORT_DESISTENCIA!$A$2:$Q2273,14,0),"NÃO")</f>
        <v>0</v>
      </c>
      <c r="T2244" s="35"/>
    </row>
    <row r="2245" spans="1:20" ht="45" customHeight="1" x14ac:dyDescent="0.25">
      <c r="A2245" s="2" t="str">
        <f t="shared" si="1"/>
        <v/>
      </c>
      <c r="B2245" s="2"/>
      <c r="C2245" s="43"/>
      <c r="D2245" s="2"/>
      <c r="E2245" s="2"/>
      <c r="F2245" s="2"/>
      <c r="G2245" s="11"/>
      <c r="H2245" s="11"/>
      <c r="I2245" s="2"/>
      <c r="J2245" s="2"/>
      <c r="K2245" s="2"/>
      <c r="L2245" s="10"/>
      <c r="M2245" s="9"/>
      <c r="N2245" s="2"/>
      <c r="O2245" s="2"/>
      <c r="P2245" s="2"/>
      <c r="Q2245" s="50"/>
      <c r="R2245" s="50"/>
      <c r="S2245" s="2">
        <f>IFERROR(VLOOKUP(A2245,IMPORT_DESISTENCIA!$A$2:$Q2273,14,0),"NÃO")</f>
        <v>0</v>
      </c>
      <c r="T2245" s="35"/>
    </row>
    <row r="2246" spans="1:20" ht="45" customHeight="1" x14ac:dyDescent="0.25">
      <c r="A2246" s="2" t="str">
        <f t="shared" si="1"/>
        <v/>
      </c>
      <c r="B2246" s="2"/>
      <c r="C2246" s="43"/>
      <c r="D2246" s="2"/>
      <c r="E2246" s="2"/>
      <c r="F2246" s="2"/>
      <c r="G2246" s="11"/>
      <c r="H2246" s="11"/>
      <c r="I2246" s="2"/>
      <c r="J2246" s="2"/>
      <c r="K2246" s="2"/>
      <c r="L2246" s="10"/>
      <c r="M2246" s="9"/>
      <c r="N2246" s="2"/>
      <c r="O2246" s="2"/>
      <c r="P2246" s="2"/>
      <c r="Q2246" s="50"/>
      <c r="R2246" s="50"/>
      <c r="S2246" s="2">
        <f>IFERROR(VLOOKUP(A2246,IMPORT_DESISTENCIA!$A$2:$Q2273,14,0),"NÃO")</f>
        <v>0</v>
      </c>
      <c r="T2246" s="35"/>
    </row>
    <row r="2247" spans="1:20" ht="45" customHeight="1" x14ac:dyDescent="0.25">
      <c r="A2247" s="2" t="str">
        <f t="shared" si="1"/>
        <v/>
      </c>
      <c r="B2247" s="2"/>
      <c r="C2247" s="43"/>
      <c r="D2247" s="2"/>
      <c r="E2247" s="2"/>
      <c r="F2247" s="2"/>
      <c r="G2247" s="11"/>
      <c r="H2247" s="11"/>
      <c r="I2247" s="2"/>
      <c r="J2247" s="2"/>
      <c r="K2247" s="2"/>
      <c r="L2247" s="10"/>
      <c r="M2247" s="9"/>
      <c r="N2247" s="2"/>
      <c r="O2247" s="2"/>
      <c r="P2247" s="2"/>
      <c r="Q2247" s="50"/>
      <c r="R2247" s="50"/>
      <c r="S2247" s="2">
        <f>IFERROR(VLOOKUP(A2247,IMPORT_DESISTENCIA!$A$2:$Q2273,14,0),"NÃO")</f>
        <v>0</v>
      </c>
      <c r="T2247" s="35"/>
    </row>
    <row r="2248" spans="1:20" ht="45" customHeight="1" x14ac:dyDescent="0.25">
      <c r="A2248" s="2" t="str">
        <f t="shared" si="1"/>
        <v/>
      </c>
      <c r="B2248" s="2"/>
      <c r="C2248" s="43"/>
      <c r="D2248" s="2"/>
      <c r="E2248" s="2"/>
      <c r="F2248" s="2"/>
      <c r="G2248" s="11"/>
      <c r="H2248" s="11"/>
      <c r="I2248" s="2"/>
      <c r="J2248" s="2"/>
      <c r="K2248" s="2"/>
      <c r="L2248" s="10"/>
      <c r="M2248" s="9"/>
      <c r="N2248" s="2"/>
      <c r="O2248" s="2"/>
      <c r="P2248" s="2"/>
      <c r="Q2248" s="50"/>
      <c r="R2248" s="50"/>
      <c r="S2248" s="2">
        <f>IFERROR(VLOOKUP(A2248,IMPORT_DESISTENCIA!$A$2:$Q2273,14,0),"NÃO")</f>
        <v>0</v>
      </c>
      <c r="T2248" s="35"/>
    </row>
    <row r="2249" spans="1:20" ht="45" customHeight="1" x14ac:dyDescent="0.25">
      <c r="A2249" s="2" t="str">
        <f t="shared" si="1"/>
        <v/>
      </c>
      <c r="B2249" s="2"/>
      <c r="C2249" s="43"/>
      <c r="D2249" s="2"/>
      <c r="E2249" s="2"/>
      <c r="F2249" s="2"/>
      <c r="G2249" s="11"/>
      <c r="H2249" s="11"/>
      <c r="I2249" s="2"/>
      <c r="J2249" s="2"/>
      <c r="K2249" s="2"/>
      <c r="L2249" s="10"/>
      <c r="M2249" s="9"/>
      <c r="N2249" s="2"/>
      <c r="O2249" s="2"/>
      <c r="P2249" s="2"/>
      <c r="Q2249" s="50"/>
      <c r="R2249" s="50"/>
      <c r="S2249" s="2">
        <f>IFERROR(VLOOKUP(A2249,IMPORT_DESISTENCIA!$A$2:$Q2273,14,0),"NÃO")</f>
        <v>0</v>
      </c>
      <c r="T2249" s="35"/>
    </row>
    <row r="2250" spans="1:20" ht="45" customHeight="1" x14ac:dyDescent="0.25">
      <c r="A2250" s="2" t="str">
        <f t="shared" si="1"/>
        <v/>
      </c>
      <c r="B2250" s="2"/>
      <c r="C2250" s="43"/>
      <c r="D2250" s="2"/>
      <c r="E2250" s="2"/>
      <c r="F2250" s="2"/>
      <c r="G2250" s="11"/>
      <c r="H2250" s="11"/>
      <c r="I2250" s="2"/>
      <c r="J2250" s="2"/>
      <c r="K2250" s="2"/>
      <c r="L2250" s="10"/>
      <c r="M2250" s="9"/>
      <c r="N2250" s="2"/>
      <c r="O2250" s="2"/>
      <c r="P2250" s="2"/>
      <c r="Q2250" s="50"/>
      <c r="R2250" s="50"/>
      <c r="S2250" s="2">
        <f>IFERROR(VLOOKUP(A2250,IMPORT_DESISTENCIA!$A$2:$Q2273,14,0),"NÃO")</f>
        <v>0</v>
      </c>
      <c r="T2250" s="35"/>
    </row>
    <row r="2251" spans="1:20" ht="45" customHeight="1" x14ac:dyDescent="0.25">
      <c r="A2251" s="2" t="str">
        <f t="shared" si="1"/>
        <v/>
      </c>
      <c r="B2251" s="2"/>
      <c r="C2251" s="43"/>
      <c r="D2251" s="2"/>
      <c r="E2251" s="2"/>
      <c r="F2251" s="2"/>
      <c r="G2251" s="11"/>
      <c r="H2251" s="11"/>
      <c r="I2251" s="2"/>
      <c r="J2251" s="2"/>
      <c r="K2251" s="2"/>
      <c r="L2251" s="10"/>
      <c r="M2251" s="9"/>
      <c r="N2251" s="2"/>
      <c r="O2251" s="2"/>
      <c r="P2251" s="2"/>
      <c r="Q2251" s="50"/>
      <c r="R2251" s="50"/>
      <c r="S2251" s="2">
        <f>IFERROR(VLOOKUP(A2251,IMPORT_DESISTENCIA!$A$2:$Q2273,14,0),"NÃO")</f>
        <v>0</v>
      </c>
      <c r="T2251" s="35"/>
    </row>
    <row r="2252" spans="1:20" ht="45" customHeight="1" x14ac:dyDescent="0.25">
      <c r="A2252" s="2" t="str">
        <f t="shared" si="1"/>
        <v/>
      </c>
      <c r="B2252" s="2"/>
      <c r="C2252" s="43"/>
      <c r="D2252" s="2"/>
      <c r="E2252" s="2"/>
      <c r="F2252" s="2"/>
      <c r="G2252" s="11"/>
      <c r="H2252" s="11"/>
      <c r="I2252" s="2"/>
      <c r="J2252" s="2"/>
      <c r="K2252" s="2"/>
      <c r="L2252" s="10"/>
      <c r="M2252" s="9"/>
      <c r="N2252" s="2"/>
      <c r="O2252" s="2"/>
      <c r="P2252" s="2"/>
      <c r="Q2252" s="50"/>
      <c r="R2252" s="50"/>
      <c r="S2252" s="2">
        <f>IFERROR(VLOOKUP(A2252,IMPORT_DESISTENCIA!$A$2:$Q2273,14,0),"NÃO")</f>
        <v>0</v>
      </c>
      <c r="T2252" s="35"/>
    </row>
    <row r="2253" spans="1:20" ht="45" customHeight="1" x14ac:dyDescent="0.25">
      <c r="A2253" s="2" t="str">
        <f t="shared" si="1"/>
        <v/>
      </c>
      <c r="B2253" s="2"/>
      <c r="C2253" s="43"/>
      <c r="D2253" s="2"/>
      <c r="E2253" s="2"/>
      <c r="F2253" s="2"/>
      <c r="G2253" s="11"/>
      <c r="H2253" s="11"/>
      <c r="I2253" s="2"/>
      <c r="J2253" s="2"/>
      <c r="K2253" s="2"/>
      <c r="L2253" s="10"/>
      <c r="M2253" s="9"/>
      <c r="N2253" s="2"/>
      <c r="O2253" s="2"/>
      <c r="P2253" s="2"/>
      <c r="Q2253" s="50"/>
      <c r="R2253" s="50"/>
      <c r="S2253" s="2">
        <f>IFERROR(VLOOKUP(A2253,IMPORT_DESISTENCIA!$A$2:$Q2273,14,0),"NÃO")</f>
        <v>0</v>
      </c>
      <c r="T2253" s="35"/>
    </row>
    <row r="2254" spans="1:20" ht="45" customHeight="1" x14ac:dyDescent="0.25">
      <c r="A2254" s="2" t="str">
        <f t="shared" si="1"/>
        <v/>
      </c>
      <c r="B2254" s="2"/>
      <c r="C2254" s="43"/>
      <c r="D2254" s="2"/>
      <c r="E2254" s="2"/>
      <c r="F2254" s="2"/>
      <c r="G2254" s="11"/>
      <c r="H2254" s="11"/>
      <c r="I2254" s="2"/>
      <c r="J2254" s="2"/>
      <c r="K2254" s="2"/>
      <c r="L2254" s="10"/>
      <c r="M2254" s="9"/>
      <c r="N2254" s="2"/>
      <c r="O2254" s="2"/>
      <c r="P2254" s="2"/>
      <c r="Q2254" s="50"/>
      <c r="R2254" s="50"/>
      <c r="S2254" s="2">
        <f>IFERROR(VLOOKUP(A2254,IMPORT_DESISTENCIA!$A$2:$Q2273,14,0),"NÃO")</f>
        <v>0</v>
      </c>
      <c r="T2254" s="35"/>
    </row>
    <row r="2255" spans="1:20" ht="45" customHeight="1" x14ac:dyDescent="0.25">
      <c r="A2255" s="2" t="str">
        <f t="shared" si="1"/>
        <v/>
      </c>
      <c r="B2255" s="2"/>
      <c r="C2255" s="43"/>
      <c r="D2255" s="2"/>
      <c r="E2255" s="2"/>
      <c r="F2255" s="2"/>
      <c r="G2255" s="11"/>
      <c r="H2255" s="11"/>
      <c r="I2255" s="2"/>
      <c r="J2255" s="2"/>
      <c r="K2255" s="2"/>
      <c r="L2255" s="10"/>
      <c r="M2255" s="9"/>
      <c r="N2255" s="2"/>
      <c r="O2255" s="2"/>
      <c r="P2255" s="2"/>
      <c r="Q2255" s="50"/>
      <c r="R2255" s="50"/>
      <c r="S2255" s="2">
        <f>IFERROR(VLOOKUP(A2255,IMPORT_DESISTENCIA!$A$2:$Q2273,14,0),"NÃO")</f>
        <v>0</v>
      </c>
      <c r="T2255" s="35"/>
    </row>
    <row r="2256" spans="1:20" ht="45" customHeight="1" x14ac:dyDescent="0.25">
      <c r="A2256" s="2" t="str">
        <f t="shared" si="1"/>
        <v/>
      </c>
      <c r="B2256" s="2"/>
      <c r="C2256" s="43"/>
      <c r="D2256" s="2"/>
      <c r="E2256" s="2"/>
      <c r="F2256" s="2"/>
      <c r="G2256" s="11"/>
      <c r="H2256" s="11"/>
      <c r="I2256" s="2"/>
      <c r="J2256" s="2"/>
      <c r="K2256" s="2"/>
      <c r="L2256" s="10"/>
      <c r="M2256" s="9"/>
      <c r="N2256" s="2"/>
      <c r="O2256" s="2"/>
      <c r="P2256" s="2"/>
      <c r="Q2256" s="50"/>
      <c r="R2256" s="50"/>
      <c r="S2256" s="2">
        <f>IFERROR(VLOOKUP(A2256,IMPORT_DESISTENCIA!$A$2:$Q2273,14,0),"NÃO")</f>
        <v>0</v>
      </c>
      <c r="T2256" s="35"/>
    </row>
    <row r="2257" spans="1:20" ht="45" customHeight="1" x14ac:dyDescent="0.25">
      <c r="A2257" s="2" t="str">
        <f t="shared" si="1"/>
        <v/>
      </c>
      <c r="B2257" s="2"/>
      <c r="C2257" s="43"/>
      <c r="D2257" s="2"/>
      <c r="E2257" s="2"/>
      <c r="F2257" s="2"/>
      <c r="G2257" s="11"/>
      <c r="H2257" s="11"/>
      <c r="I2257" s="2"/>
      <c r="J2257" s="2"/>
      <c r="K2257" s="2"/>
      <c r="L2257" s="10"/>
      <c r="M2257" s="9"/>
      <c r="N2257" s="2"/>
      <c r="O2257" s="2"/>
      <c r="P2257" s="2"/>
      <c r="Q2257" s="50"/>
      <c r="R2257" s="50"/>
      <c r="S2257" s="2">
        <f>IFERROR(VLOOKUP(A2257,IMPORT_DESISTENCIA!$A$2:$Q2273,14,0),"NÃO")</f>
        <v>0</v>
      </c>
      <c r="T2257" s="35"/>
    </row>
    <row r="2258" spans="1:20" ht="45" customHeight="1" x14ac:dyDescent="0.25">
      <c r="A2258" s="2" t="str">
        <f t="shared" si="1"/>
        <v/>
      </c>
      <c r="B2258" s="2"/>
      <c r="C2258" s="43"/>
      <c r="D2258" s="2"/>
      <c r="E2258" s="2"/>
      <c r="F2258" s="2"/>
      <c r="G2258" s="11"/>
      <c r="H2258" s="11"/>
      <c r="I2258" s="2"/>
      <c r="J2258" s="2"/>
      <c r="K2258" s="2"/>
      <c r="L2258" s="10"/>
      <c r="M2258" s="9"/>
      <c r="N2258" s="2"/>
      <c r="O2258" s="2"/>
      <c r="P2258" s="2"/>
      <c r="Q2258" s="50"/>
      <c r="R2258" s="50"/>
      <c r="S2258" s="2">
        <f>IFERROR(VLOOKUP(A2258,IMPORT_DESISTENCIA!$A$2:$Q2273,14,0),"NÃO")</f>
        <v>0</v>
      </c>
      <c r="T2258" s="35"/>
    </row>
    <row r="2259" spans="1:20" ht="45" customHeight="1" x14ac:dyDescent="0.25">
      <c r="A2259" s="2" t="str">
        <f t="shared" si="1"/>
        <v/>
      </c>
      <c r="B2259" s="2"/>
      <c r="C2259" s="43"/>
      <c r="D2259" s="2"/>
      <c r="E2259" s="2"/>
      <c r="F2259" s="2"/>
      <c r="G2259" s="11"/>
      <c r="H2259" s="11"/>
      <c r="I2259" s="2"/>
      <c r="J2259" s="2"/>
      <c r="K2259" s="2"/>
      <c r="L2259" s="10"/>
      <c r="M2259" s="9"/>
      <c r="N2259" s="2"/>
      <c r="O2259" s="2"/>
      <c r="P2259" s="2"/>
      <c r="Q2259" s="50"/>
      <c r="R2259" s="50"/>
      <c r="S2259" s="2">
        <f>IFERROR(VLOOKUP(A2259,IMPORT_DESISTENCIA!$A$2:$Q2273,14,0),"NÃO")</f>
        <v>0</v>
      </c>
      <c r="T2259" s="35"/>
    </row>
    <row r="2260" spans="1:20" ht="45" customHeight="1" x14ac:dyDescent="0.25">
      <c r="A2260" s="2" t="str">
        <f t="shared" si="1"/>
        <v/>
      </c>
      <c r="B2260" s="2"/>
      <c r="C2260" s="43"/>
      <c r="D2260" s="2"/>
      <c r="E2260" s="2"/>
      <c r="F2260" s="2"/>
      <c r="G2260" s="11"/>
      <c r="H2260" s="11"/>
      <c r="I2260" s="2"/>
      <c r="J2260" s="2"/>
      <c r="K2260" s="2"/>
      <c r="L2260" s="10"/>
      <c r="M2260" s="9"/>
      <c r="N2260" s="2"/>
      <c r="O2260" s="2"/>
      <c r="P2260" s="2"/>
      <c r="Q2260" s="50"/>
      <c r="R2260" s="50"/>
      <c r="S2260" s="2">
        <f>IFERROR(VLOOKUP(A2260,IMPORT_DESISTENCIA!$A$2:$Q2273,14,0),"NÃO")</f>
        <v>0</v>
      </c>
      <c r="T2260" s="35"/>
    </row>
    <row r="2261" spans="1:20" ht="45" customHeight="1" x14ac:dyDescent="0.25">
      <c r="A2261" s="2" t="str">
        <f t="shared" si="1"/>
        <v/>
      </c>
      <c r="B2261" s="2"/>
      <c r="C2261" s="43"/>
      <c r="D2261" s="2"/>
      <c r="E2261" s="2"/>
      <c r="F2261" s="2"/>
      <c r="G2261" s="11"/>
      <c r="H2261" s="11"/>
      <c r="I2261" s="2"/>
      <c r="J2261" s="2"/>
      <c r="K2261" s="2"/>
      <c r="L2261" s="10"/>
      <c r="M2261" s="9"/>
      <c r="N2261" s="2"/>
      <c r="O2261" s="2"/>
      <c r="P2261" s="2"/>
      <c r="Q2261" s="50"/>
      <c r="R2261" s="50"/>
      <c r="S2261" s="2">
        <f>IFERROR(VLOOKUP(A2261,IMPORT_DESISTENCIA!$A$2:$Q2273,14,0),"NÃO")</f>
        <v>0</v>
      </c>
      <c r="T2261" s="35"/>
    </row>
    <row r="2262" spans="1:20" ht="45" customHeight="1" x14ac:dyDescent="0.25">
      <c r="A2262" s="2" t="str">
        <f t="shared" si="1"/>
        <v/>
      </c>
      <c r="B2262" s="2"/>
      <c r="C2262" s="43"/>
      <c r="D2262" s="2"/>
      <c r="E2262" s="2"/>
      <c r="F2262" s="2"/>
      <c r="G2262" s="11"/>
      <c r="H2262" s="11"/>
      <c r="I2262" s="2"/>
      <c r="J2262" s="2"/>
      <c r="K2262" s="2"/>
      <c r="L2262" s="10"/>
      <c r="M2262" s="9"/>
      <c r="N2262" s="2"/>
      <c r="O2262" s="2"/>
      <c r="P2262" s="2"/>
      <c r="Q2262" s="50"/>
      <c r="R2262" s="50"/>
      <c r="S2262" s="2">
        <f>IFERROR(VLOOKUP(A2262,IMPORT_DESISTENCIA!$A$2:$Q2273,14,0),"NÃO")</f>
        <v>0</v>
      </c>
      <c r="T2262" s="35"/>
    </row>
    <row r="2263" spans="1:20" ht="45" customHeight="1" x14ac:dyDescent="0.25">
      <c r="A2263" s="2" t="str">
        <f t="shared" si="1"/>
        <v/>
      </c>
      <c r="B2263" s="2"/>
      <c r="C2263" s="43"/>
      <c r="D2263" s="2"/>
      <c r="E2263" s="2"/>
      <c r="F2263" s="2"/>
      <c r="G2263" s="11"/>
      <c r="H2263" s="11"/>
      <c r="I2263" s="2"/>
      <c r="J2263" s="2"/>
      <c r="K2263" s="2"/>
      <c r="L2263" s="10"/>
      <c r="M2263" s="9"/>
      <c r="N2263" s="2"/>
      <c r="O2263" s="2"/>
      <c r="P2263" s="2"/>
      <c r="Q2263" s="50"/>
      <c r="R2263" s="50"/>
      <c r="S2263" s="2">
        <f>IFERROR(VLOOKUP(A2263,IMPORT_DESISTENCIA!$A$2:$Q2273,14,0),"NÃO")</f>
        <v>0</v>
      </c>
      <c r="T2263" s="35"/>
    </row>
    <row r="2264" spans="1:20" ht="45" customHeight="1" x14ac:dyDescent="0.25">
      <c r="A2264" s="2" t="str">
        <f t="shared" si="1"/>
        <v/>
      </c>
      <c r="B2264" s="2"/>
      <c r="C2264" s="43"/>
      <c r="D2264" s="2"/>
      <c r="E2264" s="2"/>
      <c r="F2264" s="2"/>
      <c r="G2264" s="11"/>
      <c r="H2264" s="11"/>
      <c r="I2264" s="2"/>
      <c r="J2264" s="2"/>
      <c r="K2264" s="2"/>
      <c r="L2264" s="10"/>
      <c r="M2264" s="9"/>
      <c r="N2264" s="2"/>
      <c r="O2264" s="2"/>
      <c r="P2264" s="2"/>
      <c r="Q2264" s="50"/>
      <c r="R2264" s="50"/>
      <c r="S2264" s="2">
        <f>IFERROR(VLOOKUP(A2264,IMPORT_DESISTENCIA!$A$2:$Q2273,14,0),"NÃO")</f>
        <v>0</v>
      </c>
      <c r="T2264" s="35"/>
    </row>
    <row r="2265" spans="1:20" ht="45" customHeight="1" x14ac:dyDescent="0.25">
      <c r="A2265" s="2" t="str">
        <f t="shared" si="1"/>
        <v/>
      </c>
      <c r="B2265" s="2"/>
      <c r="C2265" s="43"/>
      <c r="D2265" s="2"/>
      <c r="E2265" s="2"/>
      <c r="F2265" s="2"/>
      <c r="G2265" s="11"/>
      <c r="H2265" s="11"/>
      <c r="I2265" s="2"/>
      <c r="J2265" s="2"/>
      <c r="K2265" s="2"/>
      <c r="L2265" s="10"/>
      <c r="M2265" s="9"/>
      <c r="N2265" s="2"/>
      <c r="O2265" s="2"/>
      <c r="P2265" s="2"/>
      <c r="Q2265" s="50"/>
      <c r="R2265" s="50"/>
      <c r="S2265" s="2">
        <f>IFERROR(VLOOKUP(A2265,IMPORT_DESISTENCIA!$A$2:$Q2273,14,0),"NÃO")</f>
        <v>0</v>
      </c>
      <c r="T2265" s="35"/>
    </row>
    <row r="2266" spans="1:20" ht="45" customHeight="1" x14ac:dyDescent="0.25">
      <c r="A2266" s="2" t="str">
        <f t="shared" si="1"/>
        <v/>
      </c>
      <c r="B2266" s="2"/>
      <c r="C2266" s="43"/>
      <c r="D2266" s="2"/>
      <c r="E2266" s="2"/>
      <c r="F2266" s="2"/>
      <c r="G2266" s="11"/>
      <c r="H2266" s="11"/>
      <c r="I2266" s="2"/>
      <c r="J2266" s="2"/>
      <c r="K2266" s="2"/>
      <c r="L2266" s="10"/>
      <c r="M2266" s="9"/>
      <c r="N2266" s="2"/>
      <c r="O2266" s="2"/>
      <c r="P2266" s="2"/>
      <c r="Q2266" s="50"/>
      <c r="R2266" s="50"/>
      <c r="S2266" s="2">
        <f>IFERROR(VLOOKUP(A2266,IMPORT_DESISTENCIA!$A$2:$Q2273,14,0),"NÃO")</f>
        <v>0</v>
      </c>
      <c r="T2266" s="35"/>
    </row>
    <row r="2267" spans="1:20" ht="45" customHeight="1" x14ac:dyDescent="0.25">
      <c r="A2267" s="2" t="str">
        <f t="shared" si="1"/>
        <v/>
      </c>
      <c r="B2267" s="2"/>
      <c r="C2267" s="43"/>
      <c r="D2267" s="2"/>
      <c r="E2267" s="2"/>
      <c r="F2267" s="2"/>
      <c r="G2267" s="11"/>
      <c r="H2267" s="11"/>
      <c r="I2267" s="2"/>
      <c r="J2267" s="2"/>
      <c r="K2267" s="2"/>
      <c r="L2267" s="10"/>
      <c r="M2267" s="9"/>
      <c r="N2267" s="2"/>
      <c r="O2267" s="2"/>
      <c r="P2267" s="2"/>
      <c r="Q2267" s="50"/>
      <c r="R2267" s="50"/>
      <c r="S2267" s="2">
        <f>IFERROR(VLOOKUP(A2267,IMPORT_DESISTENCIA!$A$2:$Q2273,14,0),"NÃO")</f>
        <v>0</v>
      </c>
      <c r="T2267" s="35"/>
    </row>
    <row r="2268" spans="1:20" ht="45" customHeight="1" x14ac:dyDescent="0.25">
      <c r="A2268" s="2" t="str">
        <f t="shared" si="1"/>
        <v/>
      </c>
      <c r="B2268" s="2"/>
      <c r="C2268" s="43"/>
      <c r="D2268" s="2"/>
      <c r="E2268" s="2"/>
      <c r="F2268" s="2"/>
      <c r="G2268" s="11"/>
      <c r="H2268" s="11"/>
      <c r="I2268" s="2"/>
      <c r="J2268" s="2"/>
      <c r="K2268" s="2"/>
      <c r="L2268" s="10"/>
      <c r="M2268" s="9"/>
      <c r="N2268" s="2"/>
      <c r="O2268" s="2"/>
      <c r="P2268" s="2"/>
      <c r="Q2268" s="50"/>
      <c r="R2268" s="50"/>
      <c r="S2268" s="2">
        <f>IFERROR(VLOOKUP(A2268,IMPORT_DESISTENCIA!$A$2:$Q2273,14,0),"NÃO")</f>
        <v>0</v>
      </c>
      <c r="T2268" s="35"/>
    </row>
    <row r="2269" spans="1:20" ht="45" customHeight="1" x14ac:dyDescent="0.25">
      <c r="A2269" s="2" t="str">
        <f t="shared" si="1"/>
        <v/>
      </c>
      <c r="B2269" s="2"/>
      <c r="C2269" s="43"/>
      <c r="D2269" s="2"/>
      <c r="E2269" s="2"/>
      <c r="F2269" s="2"/>
      <c r="G2269" s="11"/>
      <c r="H2269" s="11"/>
      <c r="I2269" s="2"/>
      <c r="J2269" s="2"/>
      <c r="K2269" s="2"/>
      <c r="L2269" s="10"/>
      <c r="M2269" s="9"/>
      <c r="N2269" s="2"/>
      <c r="O2269" s="2"/>
      <c r="P2269" s="2"/>
      <c r="Q2269" s="50"/>
      <c r="R2269" s="50"/>
      <c r="S2269" s="2">
        <f>IFERROR(VLOOKUP(A2269,IMPORT_DESISTENCIA!$A$2:$Q2273,14,0),"NÃO")</f>
        <v>0</v>
      </c>
      <c r="T2269" s="35"/>
    </row>
    <row r="2270" spans="1:20" ht="45" customHeight="1" x14ac:dyDescent="0.25">
      <c r="A2270" s="2" t="str">
        <f t="shared" si="1"/>
        <v/>
      </c>
      <c r="B2270" s="2"/>
      <c r="C2270" s="43"/>
      <c r="D2270" s="2"/>
      <c r="E2270" s="2"/>
      <c r="F2270" s="2"/>
      <c r="G2270" s="11"/>
      <c r="H2270" s="11"/>
      <c r="I2270" s="2"/>
      <c r="J2270" s="2"/>
      <c r="K2270" s="2"/>
      <c r="L2270" s="10"/>
      <c r="M2270" s="9"/>
      <c r="N2270" s="2"/>
      <c r="O2270" s="2"/>
      <c r="P2270" s="2"/>
      <c r="Q2270" s="50"/>
      <c r="R2270" s="50"/>
      <c r="S2270" s="2">
        <f>IFERROR(VLOOKUP(A2270,IMPORT_DESISTENCIA!$A$2:$Q2273,14,0),"NÃO")</f>
        <v>0</v>
      </c>
      <c r="T2270" s="35"/>
    </row>
    <row r="2271" spans="1:20" ht="45" customHeight="1" x14ac:dyDescent="0.25">
      <c r="A2271" s="2" t="str">
        <f t="shared" si="1"/>
        <v/>
      </c>
      <c r="B2271" s="2"/>
      <c r="C2271" s="43"/>
      <c r="D2271" s="2"/>
      <c r="E2271" s="2"/>
      <c r="F2271" s="2"/>
      <c r="G2271" s="11"/>
      <c r="H2271" s="11"/>
      <c r="I2271" s="2"/>
      <c r="J2271" s="2"/>
      <c r="K2271" s="2"/>
      <c r="L2271" s="10"/>
      <c r="M2271" s="9"/>
      <c r="N2271" s="2"/>
      <c r="O2271" s="2"/>
      <c r="P2271" s="2"/>
      <c r="Q2271" s="50"/>
      <c r="R2271" s="50"/>
      <c r="S2271" s="2">
        <f>IFERROR(VLOOKUP(A2271,IMPORT_DESISTENCIA!$A$2:$Q2273,14,0),"NÃO")</f>
        <v>0</v>
      </c>
      <c r="T2271" s="35"/>
    </row>
    <row r="2272" spans="1:20" ht="45" customHeight="1" x14ac:dyDescent="0.25">
      <c r="A2272" s="2" t="str">
        <f t="shared" si="1"/>
        <v/>
      </c>
      <c r="B2272" s="2"/>
      <c r="C2272" s="43"/>
      <c r="D2272" s="2"/>
      <c r="E2272" s="2"/>
      <c r="F2272" s="2"/>
      <c r="G2272" s="11"/>
      <c r="H2272" s="11"/>
      <c r="I2272" s="2"/>
      <c r="J2272" s="2"/>
      <c r="K2272" s="2"/>
      <c r="L2272" s="10"/>
      <c r="M2272" s="9"/>
      <c r="N2272" s="2"/>
      <c r="O2272" s="2"/>
      <c r="P2272" s="2"/>
      <c r="Q2272" s="50"/>
      <c r="R2272" s="50"/>
      <c r="S2272" s="2">
        <f>IFERROR(VLOOKUP(A2272,IMPORT_DESISTENCIA!$A$2:$Q2273,14,0),"NÃO")</f>
        <v>0</v>
      </c>
      <c r="T2272" s="35"/>
    </row>
    <row r="2273" spans="1:20" ht="45" customHeight="1" x14ac:dyDescent="0.25">
      <c r="A2273" s="2" t="str">
        <f t="shared" si="1"/>
        <v/>
      </c>
      <c r="B2273" s="2"/>
      <c r="C2273" s="43"/>
      <c r="D2273" s="2"/>
      <c r="E2273" s="2"/>
      <c r="F2273" s="2"/>
      <c r="G2273" s="11"/>
      <c r="H2273" s="11"/>
      <c r="I2273" s="2"/>
      <c r="J2273" s="2"/>
      <c r="K2273" s="2"/>
      <c r="L2273" s="10"/>
      <c r="M2273" s="9"/>
      <c r="N2273" s="2"/>
      <c r="O2273" s="2"/>
      <c r="P2273" s="2"/>
      <c r="Q2273" s="50"/>
      <c r="R2273" s="50"/>
      <c r="S2273" s="2">
        <f>IFERROR(VLOOKUP(A2273,IMPORT_DESISTENCIA!$A$2:$Q2273,14,0),"NÃO")</f>
        <v>0</v>
      </c>
      <c r="T2273" s="35"/>
    </row>
  </sheetData>
  <conditionalFormatting sqref="P3:S2273">
    <cfRule type="cellIs" dxfId="0" priority="1" operator="equal">
      <formula>"DESISTIU"</formula>
    </cfRule>
  </conditionalFormatting>
  <pageMargins left="0.511811024" right="0.511811024" top="0.78740157499999996" bottom="0.78740157499999996" header="0.31496062000000002" footer="0.31496062000000002"/>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BF9000"/>
    <outlinePr summaryBelow="0" summaryRight="0"/>
  </sheetPr>
  <dimension ref="A1:H999"/>
  <sheetViews>
    <sheetView showGridLines="0" workbookViewId="0">
      <pane ySplit="1" topLeftCell="A2" activePane="bottomLeft" state="frozen"/>
      <selection pane="bottomLeft" activeCell="B3" sqref="B3"/>
    </sheetView>
  </sheetViews>
  <sheetFormatPr defaultColWidth="12.54296875" defaultRowHeight="15.75" customHeight="1" outlineLevelCol="1" x14ac:dyDescent="0.25"/>
  <cols>
    <col min="1" max="1" width="18.81640625" customWidth="1"/>
    <col min="2" max="2" width="12.54296875" customWidth="1" outlineLevel="1"/>
    <col min="3" max="3" width="31.453125" customWidth="1" outlineLevel="1"/>
    <col min="4" max="4" width="50.1796875" customWidth="1" outlineLevel="1"/>
    <col min="5" max="5" width="50.1796875" customWidth="1"/>
    <col min="6" max="6" width="50.1796875" customWidth="1" collapsed="1"/>
    <col min="7" max="8" width="50.1796875" hidden="1" customWidth="1" outlineLevel="1"/>
  </cols>
  <sheetData>
    <row r="1" spans="1:8" ht="45" customHeight="1" x14ac:dyDescent="0.25">
      <c r="A1" s="36" t="s">
        <v>1</v>
      </c>
      <c r="B1" s="6" t="s">
        <v>236</v>
      </c>
      <c r="C1" s="6" t="s">
        <v>5</v>
      </c>
      <c r="D1" s="6" t="s">
        <v>237</v>
      </c>
      <c r="E1" s="6" t="s">
        <v>215</v>
      </c>
      <c r="F1" s="6" t="s">
        <v>238</v>
      </c>
      <c r="G1" s="6"/>
      <c r="H1" s="6"/>
    </row>
    <row r="2" spans="1:8" ht="37.5" customHeight="1" x14ac:dyDescent="0.25">
      <c r="A2" s="51" t="str">
        <f t="shared" ref="A2:A999" si="0">C2&amp;"/"&amp;E2</f>
        <v>AGUA BRANCA/EEEFM JOSE NOMINANDO</v>
      </c>
      <c r="B2" s="2">
        <v>13001</v>
      </c>
      <c r="C2" s="52" t="s">
        <v>239</v>
      </c>
      <c r="D2" s="53" t="s">
        <v>240</v>
      </c>
      <c r="E2" s="11" t="s">
        <v>241</v>
      </c>
      <c r="F2" s="27" t="s">
        <v>242</v>
      </c>
      <c r="G2" s="11"/>
      <c r="H2" s="11"/>
    </row>
    <row r="3" spans="1:8" ht="37.5" customHeight="1" x14ac:dyDescent="0.25">
      <c r="A3" s="51" t="str">
        <f t="shared" si="0"/>
        <v xml:space="preserve">AGUA BRANCA/POVOADO DE LAGOINHA </v>
      </c>
      <c r="B3" s="2">
        <v>13001</v>
      </c>
      <c r="C3" s="52" t="s">
        <v>239</v>
      </c>
      <c r="D3" s="27" t="s">
        <v>240</v>
      </c>
      <c r="E3" s="11" t="s">
        <v>243</v>
      </c>
      <c r="F3" s="27" t="s">
        <v>244</v>
      </c>
      <c r="G3" s="11"/>
      <c r="H3" s="11"/>
    </row>
    <row r="4" spans="1:8" ht="37.5" customHeight="1" x14ac:dyDescent="0.25">
      <c r="A4" s="51" t="str">
        <f t="shared" si="0"/>
        <v>AGUA BRANCA/CENTRO ADMINISTRATIVO DA PREFEITURA</v>
      </c>
      <c r="B4" s="2">
        <v>13001</v>
      </c>
      <c r="C4" s="52" t="s">
        <v>239</v>
      </c>
      <c r="D4" s="27" t="s">
        <v>240</v>
      </c>
      <c r="E4" s="11" t="s">
        <v>245</v>
      </c>
      <c r="F4" s="27" t="s">
        <v>246</v>
      </c>
      <c r="G4" s="11"/>
      <c r="H4" s="11"/>
    </row>
    <row r="5" spans="1:8" ht="37.5" customHeight="1" x14ac:dyDescent="0.25">
      <c r="A5" s="51" t="str">
        <f t="shared" si="0"/>
        <v>AGUA BRANCA/ESCOLA MARIA DE LOURDES</v>
      </c>
      <c r="B5" s="2">
        <v>13001</v>
      </c>
      <c r="C5" s="52" t="s">
        <v>239</v>
      </c>
      <c r="D5" s="27" t="s">
        <v>240</v>
      </c>
      <c r="E5" s="11" t="s">
        <v>247</v>
      </c>
      <c r="F5" s="27" t="s">
        <v>248</v>
      </c>
      <c r="G5" s="11"/>
      <c r="H5" s="11"/>
    </row>
    <row r="6" spans="1:8" ht="37.5" customHeight="1" x14ac:dyDescent="0.25">
      <c r="A6" s="51" t="str">
        <f t="shared" si="0"/>
        <v>AGUA BRANCA/EMEF ANDRE ALVES DO NASCIMENTO</v>
      </c>
      <c r="B6" s="2">
        <v>13001</v>
      </c>
      <c r="C6" s="52" t="s">
        <v>239</v>
      </c>
      <c r="D6" s="27" t="s">
        <v>240</v>
      </c>
      <c r="E6" s="11" t="s">
        <v>249</v>
      </c>
      <c r="F6" s="27" t="s">
        <v>250</v>
      </c>
      <c r="G6" s="11"/>
      <c r="H6" s="11"/>
    </row>
    <row r="7" spans="1:8" ht="37.5" customHeight="1" x14ac:dyDescent="0.25">
      <c r="A7" s="51" t="str">
        <f t="shared" si="0"/>
        <v>AGUA BRANCA/EMEF ANTONIO VIRGOLINO BATISTA</v>
      </c>
      <c r="B7" s="2">
        <v>13001</v>
      </c>
      <c r="C7" s="52" t="s">
        <v>239</v>
      </c>
      <c r="D7" s="27" t="s">
        <v>240</v>
      </c>
      <c r="E7" s="11" t="s">
        <v>251</v>
      </c>
      <c r="F7" s="27" t="s">
        <v>252</v>
      </c>
      <c r="G7" s="11"/>
      <c r="H7" s="11"/>
    </row>
    <row r="8" spans="1:8" ht="37.5" customHeight="1" x14ac:dyDescent="0.25">
      <c r="A8" s="51" t="str">
        <f t="shared" si="0"/>
        <v>AGUA BRANCA/ESCOLA MAE IAIA</v>
      </c>
      <c r="B8" s="2">
        <v>13001</v>
      </c>
      <c r="C8" s="52" t="s">
        <v>239</v>
      </c>
      <c r="D8" s="27" t="s">
        <v>240</v>
      </c>
      <c r="E8" s="11" t="s">
        <v>253</v>
      </c>
      <c r="F8" s="27" t="s">
        <v>254</v>
      </c>
      <c r="G8" s="11"/>
      <c r="H8" s="11"/>
    </row>
    <row r="9" spans="1:8" ht="37.5" customHeight="1" x14ac:dyDescent="0.25">
      <c r="A9" s="51" t="str">
        <f t="shared" si="0"/>
        <v>AGUIAR/AGUIAR - 13002.01 - Rua Antônio Alves, s/n, Centro</v>
      </c>
      <c r="B9" s="2">
        <v>13002</v>
      </c>
      <c r="C9" s="52" t="s">
        <v>255</v>
      </c>
      <c r="D9" s="27" t="s">
        <v>256</v>
      </c>
      <c r="E9" s="11" t="s">
        <v>257</v>
      </c>
      <c r="F9" s="27" t="s">
        <v>258</v>
      </c>
      <c r="G9" s="11"/>
      <c r="H9" s="11"/>
    </row>
    <row r="10" spans="1:8" ht="37.5" customHeight="1" x14ac:dyDescent="0.25">
      <c r="A10" s="51" t="str">
        <f t="shared" si="0"/>
        <v>AGUIAR/AGUIAR - 13002.02 - RUA SEVERINO AMANCIO</v>
      </c>
      <c r="B10" s="2">
        <v>13002</v>
      </c>
      <c r="C10" s="52" t="s">
        <v>255</v>
      </c>
      <c r="D10" s="27" t="s">
        <v>256</v>
      </c>
      <c r="E10" s="11" t="s">
        <v>259</v>
      </c>
      <c r="F10" s="27" t="s">
        <v>260</v>
      </c>
      <c r="G10" s="11"/>
      <c r="H10" s="11"/>
    </row>
    <row r="11" spans="1:8" ht="37.5" customHeight="1" x14ac:dyDescent="0.25">
      <c r="A11" s="51" t="str">
        <f t="shared" si="0"/>
        <v>AGUIAR/EMEF LIDIA CABRAL DE SOUSA</v>
      </c>
      <c r="B11" s="1">
        <v>13002</v>
      </c>
      <c r="C11" s="27" t="s">
        <v>255</v>
      </c>
      <c r="D11" s="27" t="s">
        <v>256</v>
      </c>
      <c r="E11" s="27" t="s">
        <v>261</v>
      </c>
      <c r="F11" s="27" t="s">
        <v>262</v>
      </c>
      <c r="G11" s="11"/>
      <c r="H11" s="11"/>
    </row>
    <row r="12" spans="1:8" ht="37.5" customHeight="1" x14ac:dyDescent="0.25">
      <c r="A12" s="51" t="str">
        <f t="shared" si="0"/>
        <v>ALAGOA GRANDE/ECIT OSWALDO TRIGUEIRO DE ALBUQUERQUE MELO</v>
      </c>
      <c r="B12" s="2">
        <v>13003</v>
      </c>
      <c r="C12" s="52" t="s">
        <v>263</v>
      </c>
      <c r="D12" s="27" t="s">
        <v>264</v>
      </c>
      <c r="E12" s="11" t="s">
        <v>265</v>
      </c>
      <c r="F12" s="27" t="s">
        <v>266</v>
      </c>
      <c r="G12" s="11"/>
      <c r="H12" s="11"/>
    </row>
    <row r="13" spans="1:8" ht="37.5" customHeight="1" x14ac:dyDescent="0.25">
      <c r="A13" s="51" t="str">
        <f t="shared" si="0"/>
        <v>ALAGOA GRANDE/COMUNIDADE QUILOMBOLA CAIANA DOS CRIOULOS</v>
      </c>
      <c r="B13" s="2">
        <v>13003</v>
      </c>
      <c r="C13" s="52" t="s">
        <v>263</v>
      </c>
      <c r="D13" s="27" t="s">
        <v>264</v>
      </c>
      <c r="E13" s="11" t="s">
        <v>267</v>
      </c>
      <c r="F13" s="27" t="s">
        <v>268</v>
      </c>
      <c r="G13" s="11"/>
      <c r="H13" s="11"/>
    </row>
    <row r="14" spans="1:8" ht="37.5" customHeight="1" x14ac:dyDescent="0.25">
      <c r="A14" s="51" t="str">
        <f t="shared" si="0"/>
        <v>ALAGOA NOVA/ALAGOA NOVA - 13004.01 - RUA ODILON LIMA S/N</v>
      </c>
      <c r="B14" s="2">
        <v>13004</v>
      </c>
      <c r="C14" s="52" t="s">
        <v>269</v>
      </c>
      <c r="D14" s="27" t="s">
        <v>270</v>
      </c>
      <c r="E14" s="11" t="s">
        <v>271</v>
      </c>
      <c r="F14" s="27" t="s">
        <v>272</v>
      </c>
      <c r="G14" s="11"/>
      <c r="H14" s="11"/>
    </row>
    <row r="15" spans="1:8" ht="37.5" customHeight="1" x14ac:dyDescent="0.25">
      <c r="A15" s="51" t="str">
        <f t="shared" si="0"/>
        <v>ALAGOA NOVA/ECIT MONSENHOR JOSÉ BORGES DE CARVALHO</v>
      </c>
      <c r="B15" s="2">
        <v>13004</v>
      </c>
      <c r="C15" s="52" t="s">
        <v>269</v>
      </c>
      <c r="D15" s="27" t="s">
        <v>270</v>
      </c>
      <c r="E15" s="11" t="s">
        <v>273</v>
      </c>
      <c r="F15" s="27" t="s">
        <v>274</v>
      </c>
      <c r="G15" s="11"/>
      <c r="H15" s="11"/>
    </row>
    <row r="16" spans="1:8" ht="37.5" customHeight="1" x14ac:dyDescent="0.25">
      <c r="A16" s="51" t="str">
        <f t="shared" si="0"/>
        <v>ALAGOA NOVA/CENTRO ARTESANATO RAIMUNDO ASFORA</v>
      </c>
      <c r="B16" s="2">
        <v>13004</v>
      </c>
      <c r="C16" s="52" t="s">
        <v>269</v>
      </c>
      <c r="D16" s="27" t="s">
        <v>270</v>
      </c>
      <c r="E16" s="27" t="s">
        <v>275</v>
      </c>
      <c r="F16" s="27" t="s">
        <v>276</v>
      </c>
      <c r="G16" s="11"/>
      <c r="H16" s="11"/>
    </row>
    <row r="17" spans="1:8" ht="37.5" customHeight="1" x14ac:dyDescent="0.25">
      <c r="A17" s="51" t="str">
        <f t="shared" si="0"/>
        <v>ALAGOA NOVA/CENTRO DE CULTURA E CIDADANIA DA ACAJAMAN</v>
      </c>
      <c r="B17" s="1">
        <v>13004</v>
      </c>
      <c r="C17" s="27" t="s">
        <v>269</v>
      </c>
      <c r="D17" s="27" t="s">
        <v>270</v>
      </c>
      <c r="E17" s="27" t="s">
        <v>277</v>
      </c>
      <c r="F17" s="27" t="s">
        <v>278</v>
      </c>
      <c r="G17" s="11"/>
      <c r="H17" s="11"/>
    </row>
    <row r="18" spans="1:8" ht="37.5" customHeight="1" x14ac:dyDescent="0.25">
      <c r="A18" s="51" t="str">
        <f t="shared" si="0"/>
        <v>ALAGOINHA/ECIT AGENOR CLEMENTE DOS SANTOS</v>
      </c>
      <c r="B18" s="2">
        <v>13005</v>
      </c>
      <c r="C18" s="52" t="s">
        <v>279</v>
      </c>
      <c r="D18" s="27" t="s">
        <v>280</v>
      </c>
      <c r="E18" s="11" t="s">
        <v>281</v>
      </c>
      <c r="F18" s="27" t="s">
        <v>282</v>
      </c>
      <c r="G18" s="11"/>
      <c r="H18" s="11"/>
    </row>
    <row r="19" spans="1:8" ht="37.5" customHeight="1" x14ac:dyDescent="0.25">
      <c r="A19" s="51" t="str">
        <f t="shared" si="0"/>
        <v>ALHANDRA/ECIT RENATO RIBEIRO COUTINHO</v>
      </c>
      <c r="B19" s="2">
        <v>13006</v>
      </c>
      <c r="C19" s="52" t="s">
        <v>283</v>
      </c>
      <c r="D19" s="27" t="s">
        <v>284</v>
      </c>
      <c r="E19" s="11" t="s">
        <v>285</v>
      </c>
      <c r="F19" s="27" t="s">
        <v>286</v>
      </c>
      <c r="G19" s="11"/>
      <c r="H19" s="11"/>
    </row>
    <row r="20" spans="1:8" ht="37.5" customHeight="1" x14ac:dyDescent="0.25">
      <c r="A20" s="51" t="str">
        <f t="shared" si="0"/>
        <v>ALHANDRA/EMEIEF PROF ZELIA CORREIA DO O</v>
      </c>
      <c r="B20" s="2">
        <v>13006</v>
      </c>
      <c r="C20" s="52" t="s">
        <v>283</v>
      </c>
      <c r="D20" s="27" t="s">
        <v>284</v>
      </c>
      <c r="E20" s="11" t="s">
        <v>287</v>
      </c>
      <c r="F20" s="27" t="s">
        <v>288</v>
      </c>
      <c r="G20" s="11"/>
      <c r="H20" s="11"/>
    </row>
    <row r="21" spans="1:8" ht="37.5" customHeight="1" x14ac:dyDescent="0.25">
      <c r="A21" s="51" t="str">
        <f t="shared" si="0"/>
        <v>AMPARO/AMPARO - 13175.01 - Avenida Vereador Cícero Soares</v>
      </c>
      <c r="B21" s="2">
        <v>13175</v>
      </c>
      <c r="C21" s="52" t="s">
        <v>289</v>
      </c>
      <c r="D21" s="27" t="s">
        <v>290</v>
      </c>
      <c r="E21" s="11" t="s">
        <v>291</v>
      </c>
      <c r="F21" s="27" t="s">
        <v>292</v>
      </c>
      <c r="G21" s="11"/>
      <c r="H21" s="11"/>
    </row>
    <row r="22" spans="1:8" ht="37.5" customHeight="1" x14ac:dyDescent="0.25">
      <c r="A22" s="51" t="str">
        <f t="shared" si="0"/>
        <v>AMPARO/E.M.E.B. ILDEFONSO ANSELMO DA SILVA</v>
      </c>
      <c r="B22" s="1">
        <v>13175</v>
      </c>
      <c r="C22" s="27" t="s">
        <v>289</v>
      </c>
      <c r="D22" s="27" t="s">
        <v>290</v>
      </c>
      <c r="E22" s="26" t="s">
        <v>293</v>
      </c>
      <c r="F22" s="27" t="s">
        <v>294</v>
      </c>
      <c r="G22" s="11"/>
      <c r="H22" s="11"/>
    </row>
    <row r="23" spans="1:8" ht="37.5" customHeight="1" x14ac:dyDescent="0.25">
      <c r="A23" s="51" t="str">
        <f t="shared" si="0"/>
        <v>APARECIDA/APARECIDA - 13176.01 - RUA JOSEFA CASIMIRO DE ALMEIDA, 257</v>
      </c>
      <c r="B23" s="2">
        <v>13176</v>
      </c>
      <c r="C23" s="52" t="s">
        <v>295</v>
      </c>
      <c r="D23" s="27" t="s">
        <v>296</v>
      </c>
      <c r="E23" s="11" t="s">
        <v>297</v>
      </c>
      <c r="F23" s="27" t="s">
        <v>298</v>
      </c>
      <c r="G23" s="11"/>
      <c r="H23" s="11"/>
    </row>
    <row r="24" spans="1:8" ht="37.5" customHeight="1" x14ac:dyDescent="0.25">
      <c r="A24" s="51" t="str">
        <f t="shared" si="0"/>
        <v>APARECIDA/EMEF LILI QUEIROGA</v>
      </c>
      <c r="B24" s="2">
        <v>13176</v>
      </c>
      <c r="C24" s="52" t="s">
        <v>295</v>
      </c>
      <c r="D24" s="27" t="s">
        <v>296</v>
      </c>
      <c r="E24" s="11" t="s">
        <v>299</v>
      </c>
      <c r="F24" s="27" t="s">
        <v>300</v>
      </c>
      <c r="G24" s="11"/>
      <c r="H24" s="11"/>
    </row>
    <row r="25" spans="1:8" ht="37.5" customHeight="1" x14ac:dyDescent="0.25">
      <c r="A25" s="51" t="str">
        <f t="shared" si="0"/>
        <v>APARECIDA/SINDICATO DOS TRABALHADORES RURAIS</v>
      </c>
      <c r="B25" s="2">
        <v>13176</v>
      </c>
      <c r="C25" s="52" t="s">
        <v>295</v>
      </c>
      <c r="D25" s="27" t="s">
        <v>296</v>
      </c>
      <c r="E25" s="11" t="s">
        <v>301</v>
      </c>
      <c r="F25" s="27" t="s">
        <v>302</v>
      </c>
      <c r="G25" s="11"/>
      <c r="H25" s="11"/>
    </row>
    <row r="26" spans="1:8" ht="37.5" customHeight="1" x14ac:dyDescent="0.25">
      <c r="A26" s="51" t="str">
        <f t="shared" si="0"/>
        <v>APARECIDA/EMEF JOAQUINA AMELIA DE SA</v>
      </c>
      <c r="B26" s="2">
        <v>13176</v>
      </c>
      <c r="C26" s="52" t="s">
        <v>295</v>
      </c>
      <c r="D26" s="27" t="s">
        <v>296</v>
      </c>
      <c r="E26" s="11" t="s">
        <v>303</v>
      </c>
      <c r="F26" s="27" t="s">
        <v>304</v>
      </c>
      <c r="G26" s="11"/>
      <c r="H26" s="11"/>
    </row>
    <row r="27" spans="1:8" ht="37.5" customHeight="1" x14ac:dyDescent="0.25">
      <c r="A27" s="51" t="str">
        <f t="shared" si="0"/>
        <v>APARECIDA/SECRETARIA MUNICIPAL DE EDUCACAO</v>
      </c>
      <c r="B27" s="2">
        <v>13176</v>
      </c>
      <c r="C27" s="52" t="s">
        <v>295</v>
      </c>
      <c r="D27" s="27" t="s">
        <v>296</v>
      </c>
      <c r="E27" s="11" t="s">
        <v>305</v>
      </c>
      <c r="F27" s="27" t="s">
        <v>306</v>
      </c>
      <c r="G27" s="11"/>
      <c r="H27" s="11"/>
    </row>
    <row r="28" spans="1:8" ht="37.5" customHeight="1" x14ac:dyDescent="0.25">
      <c r="A28" s="51" t="str">
        <f t="shared" si="0"/>
        <v>APARECIDA/SINDICATO DOS TRABALHADORES RURAIS AGRICULTORES E AGRICULTORAS FAMILIARES DE APARECIDA PB</v>
      </c>
      <c r="B28" s="2">
        <v>13176</v>
      </c>
      <c r="C28" s="52" t="s">
        <v>295</v>
      </c>
      <c r="D28" s="27" t="s">
        <v>296</v>
      </c>
      <c r="E28" s="11" t="s">
        <v>307</v>
      </c>
      <c r="F28" s="27" t="s">
        <v>308</v>
      </c>
      <c r="G28" s="11"/>
      <c r="H28" s="11"/>
    </row>
    <row r="29" spans="1:8" ht="37.5" customHeight="1" x14ac:dyDescent="0.25">
      <c r="A29" s="51" t="str">
        <f t="shared" si="0"/>
        <v>ARAÇAGI/EEEF RODRIGUES DE CARVALHO</v>
      </c>
      <c r="B29" s="2">
        <v>13008</v>
      </c>
      <c r="C29" s="52" t="s">
        <v>309</v>
      </c>
      <c r="D29" s="27" t="s">
        <v>310</v>
      </c>
      <c r="E29" s="11" t="s">
        <v>311</v>
      </c>
      <c r="F29" s="27" t="s">
        <v>312</v>
      </c>
      <c r="G29" s="11"/>
      <c r="H29" s="11"/>
    </row>
    <row r="30" spans="1:8" ht="37.5" customHeight="1" x14ac:dyDescent="0.25">
      <c r="A30" s="51" t="str">
        <f t="shared" si="0"/>
        <v>ARAÇAGI/EMEF MARGARIDA PESSOA COUTINHO</v>
      </c>
      <c r="B30" s="2">
        <v>13008</v>
      </c>
      <c r="C30" s="52" t="s">
        <v>309</v>
      </c>
      <c r="D30" s="27" t="s">
        <v>310</v>
      </c>
      <c r="E30" s="11" t="s">
        <v>313</v>
      </c>
      <c r="F30" s="27" t="s">
        <v>314</v>
      </c>
      <c r="G30" s="11"/>
      <c r="H30" s="11"/>
    </row>
    <row r="31" spans="1:8" ht="37.5" customHeight="1" x14ac:dyDescent="0.25">
      <c r="A31" s="51" t="str">
        <f t="shared" si="0"/>
        <v>ARAÇAGI/EEEFM RODRIGUES DE CARVALHO</v>
      </c>
      <c r="B31" s="2">
        <v>13008</v>
      </c>
      <c r="C31" s="52" t="s">
        <v>309</v>
      </c>
      <c r="D31" s="27" t="s">
        <v>310</v>
      </c>
      <c r="E31" s="11" t="s">
        <v>315</v>
      </c>
      <c r="F31" s="27" t="s">
        <v>316</v>
      </c>
      <c r="G31" s="11"/>
      <c r="H31" s="11"/>
    </row>
    <row r="32" spans="1:8" ht="37.5" customHeight="1" x14ac:dyDescent="0.25">
      <c r="A32" s="51" t="str">
        <f t="shared" si="0"/>
        <v>ARARA/ARARA - 13009.01 - Rua Senador Ruy Carneiro, s/n</v>
      </c>
      <c r="B32" s="2">
        <v>13009</v>
      </c>
      <c r="C32" s="52" t="s">
        <v>317</v>
      </c>
      <c r="D32" s="27" t="s">
        <v>318</v>
      </c>
      <c r="E32" s="11" t="s">
        <v>319</v>
      </c>
      <c r="F32" s="27" t="s">
        <v>320</v>
      </c>
      <c r="G32" s="11"/>
      <c r="H32" s="11"/>
    </row>
    <row r="33" spans="1:8" ht="37.5" customHeight="1" x14ac:dyDescent="0.25">
      <c r="A33" s="51" t="str">
        <f t="shared" si="0"/>
        <v>ARARA/EEEFM E EJA ANESIO DEODONIO MORENO</v>
      </c>
      <c r="B33" s="2">
        <v>13009</v>
      </c>
      <c r="C33" s="52" t="s">
        <v>317</v>
      </c>
      <c r="D33" s="27" t="s">
        <v>318</v>
      </c>
      <c r="E33" s="11" t="s">
        <v>321</v>
      </c>
      <c r="F33" s="27" t="s">
        <v>322</v>
      </c>
      <c r="G33" s="11"/>
      <c r="H33" s="11"/>
    </row>
    <row r="34" spans="1:8" ht="37.5" customHeight="1" x14ac:dyDescent="0.25">
      <c r="A34" s="51" t="str">
        <f t="shared" si="0"/>
        <v>ARARUNA/ASSOCIAÇÃO AFINK</v>
      </c>
      <c r="B34" s="2">
        <v>13010</v>
      </c>
      <c r="C34" s="52" t="s">
        <v>323</v>
      </c>
      <c r="D34" s="27" t="s">
        <v>324</v>
      </c>
      <c r="E34" s="11" t="s">
        <v>325</v>
      </c>
      <c r="F34" s="27" t="s">
        <v>326</v>
      </c>
      <c r="G34" s="11"/>
      <c r="H34" s="11"/>
    </row>
    <row r="35" spans="1:8" ht="37.5" customHeight="1" x14ac:dyDescent="0.25">
      <c r="A35" s="51" t="str">
        <f t="shared" si="0"/>
        <v>ARARUNA/ECIT BENJAMIN MARANHÃO</v>
      </c>
      <c r="B35" s="2">
        <v>13010</v>
      </c>
      <c r="C35" s="52" t="s">
        <v>323</v>
      </c>
      <c r="D35" s="27" t="s">
        <v>324</v>
      </c>
      <c r="E35" s="11" t="s">
        <v>327</v>
      </c>
      <c r="F35" s="27" t="s">
        <v>328</v>
      </c>
      <c r="G35" s="11"/>
      <c r="H35" s="11"/>
    </row>
    <row r="36" spans="1:8" ht="37.5" customHeight="1" x14ac:dyDescent="0.25">
      <c r="A36" s="51" t="str">
        <f t="shared" si="0"/>
        <v>AREIA/EEEF ALVARO MACHADO</v>
      </c>
      <c r="B36" s="2">
        <v>13011</v>
      </c>
      <c r="C36" s="52" t="s">
        <v>27</v>
      </c>
      <c r="D36" s="27" t="s">
        <v>329</v>
      </c>
      <c r="E36" s="11" t="s">
        <v>330</v>
      </c>
      <c r="F36" s="27" t="s">
        <v>331</v>
      </c>
      <c r="G36" s="11"/>
      <c r="H36" s="11"/>
    </row>
    <row r="37" spans="1:8" ht="37.5" customHeight="1" x14ac:dyDescent="0.25">
      <c r="A37" s="51" t="str">
        <f t="shared" si="0"/>
        <v>AREIA/ECIT MINISTRO JOSÉ AMÉRICO DE ALMEIDA</v>
      </c>
      <c r="B37" s="2">
        <v>13011</v>
      </c>
      <c r="C37" s="52" t="s">
        <v>27</v>
      </c>
      <c r="D37" s="27" t="s">
        <v>329</v>
      </c>
      <c r="E37" s="11" t="s">
        <v>332</v>
      </c>
      <c r="F37" s="27" t="s">
        <v>333</v>
      </c>
      <c r="G37" s="11"/>
      <c r="H37" s="11"/>
    </row>
    <row r="38" spans="1:8" ht="37.5" customHeight="1" x14ac:dyDescent="0.25">
      <c r="A38" s="51" t="str">
        <f t="shared" si="0"/>
        <v>AREIA/E.M.E.F ABEL BARBOSA DA SILVA</v>
      </c>
      <c r="B38" s="2">
        <v>13011</v>
      </c>
      <c r="C38" s="52" t="s">
        <v>27</v>
      </c>
      <c r="D38" s="27" t="s">
        <v>329</v>
      </c>
      <c r="E38" s="11" t="s">
        <v>334</v>
      </c>
      <c r="F38" s="27" t="s">
        <v>335</v>
      </c>
      <c r="G38" s="11"/>
      <c r="H38" s="11"/>
    </row>
    <row r="39" spans="1:8" ht="37.5" customHeight="1" x14ac:dyDescent="0.25">
      <c r="A39" s="51" t="str">
        <f t="shared" si="0"/>
        <v>AREIA/E.M.E.F JOSE RODRIGUES</v>
      </c>
      <c r="B39" s="2">
        <v>13011</v>
      </c>
      <c r="C39" s="52" t="s">
        <v>27</v>
      </c>
      <c r="D39" s="27" t="s">
        <v>329</v>
      </c>
      <c r="E39" s="11" t="s">
        <v>336</v>
      </c>
      <c r="F39" s="27" t="s">
        <v>337</v>
      </c>
      <c r="G39" s="11"/>
      <c r="H39" s="11"/>
    </row>
    <row r="40" spans="1:8" ht="37.5" customHeight="1" x14ac:dyDescent="0.25">
      <c r="A40" s="51" t="str">
        <f t="shared" si="0"/>
        <v>AREIA/ECIT MINISTRO JOSE AMERICO DE ALMEIDA</v>
      </c>
      <c r="B40" s="2">
        <v>13011</v>
      </c>
      <c r="C40" s="52" t="s">
        <v>27</v>
      </c>
      <c r="D40" s="27" t="s">
        <v>329</v>
      </c>
      <c r="E40" s="11" t="s">
        <v>338</v>
      </c>
      <c r="F40" s="27" t="s">
        <v>339</v>
      </c>
      <c r="G40" s="11"/>
      <c r="H40" s="11"/>
    </row>
    <row r="41" spans="1:8" ht="37.5" customHeight="1" x14ac:dyDescent="0.25">
      <c r="A41" s="51" t="str">
        <f t="shared" si="0"/>
        <v>AREIAL/E.E.E.M FRANCISCO APOLINARIO DA SILVA</v>
      </c>
      <c r="B41" s="2">
        <v>13012</v>
      </c>
      <c r="C41" s="52" t="s">
        <v>340</v>
      </c>
      <c r="D41" s="27" t="s">
        <v>341</v>
      </c>
      <c r="E41" s="11" t="s">
        <v>342</v>
      </c>
      <c r="F41" s="27" t="s">
        <v>343</v>
      </c>
      <c r="G41" s="11"/>
      <c r="H41" s="11"/>
    </row>
    <row r="42" spans="1:8" ht="37.5" customHeight="1" x14ac:dyDescent="0.25">
      <c r="A42" s="51" t="str">
        <f t="shared" si="0"/>
        <v>AROEIRAS/CRIADOR DE PEIXES EM TANQUE REDE</v>
      </c>
      <c r="B42" s="2">
        <v>13013</v>
      </c>
      <c r="C42" s="52" t="s">
        <v>344</v>
      </c>
      <c r="D42" s="27" t="s">
        <v>345</v>
      </c>
      <c r="E42" s="11" t="s">
        <v>127</v>
      </c>
      <c r="F42" s="27" t="s">
        <v>346</v>
      </c>
      <c r="G42" s="11"/>
      <c r="H42" s="11"/>
    </row>
    <row r="43" spans="1:8" ht="37.5" customHeight="1" x14ac:dyDescent="0.25">
      <c r="A43" s="51" t="str">
        <f t="shared" si="0"/>
        <v>AROEIRAS/AROEIRAS - 13013.01 - Rua Vicente Ferreira Lima, s/n</v>
      </c>
      <c r="B43" s="2">
        <v>13013</v>
      </c>
      <c r="C43" s="52" t="s">
        <v>344</v>
      </c>
      <c r="D43" s="27" t="s">
        <v>345</v>
      </c>
      <c r="E43" s="11" t="s">
        <v>347</v>
      </c>
      <c r="F43" s="27" t="s">
        <v>348</v>
      </c>
      <c r="G43" s="11"/>
      <c r="H43" s="11"/>
    </row>
    <row r="44" spans="1:8" ht="37.5" customHeight="1" x14ac:dyDescent="0.25">
      <c r="A44" s="51" t="str">
        <f t="shared" si="0"/>
        <v>AROEIRAS/AROEIRAS - 13013.02 - Rua Zeferino de Paula, 610</v>
      </c>
      <c r="B44" s="2">
        <v>13013</v>
      </c>
      <c r="C44" s="52" t="s">
        <v>344</v>
      </c>
      <c r="D44" s="27" t="s">
        <v>345</v>
      </c>
      <c r="E44" s="11" t="s">
        <v>349</v>
      </c>
      <c r="F44" s="27" t="s">
        <v>350</v>
      </c>
      <c r="G44" s="11"/>
      <c r="H44" s="11"/>
    </row>
    <row r="45" spans="1:8" ht="37.5" customHeight="1" x14ac:dyDescent="0.25">
      <c r="A45" s="51" t="str">
        <f t="shared" si="0"/>
        <v>AROEIRAS/EEEFM MAJOR JOSE BARBOSA</v>
      </c>
      <c r="B45" s="2">
        <v>13013</v>
      </c>
      <c r="C45" s="52" t="s">
        <v>344</v>
      </c>
      <c r="D45" s="27" t="s">
        <v>345</v>
      </c>
      <c r="E45" s="11" t="s">
        <v>351</v>
      </c>
      <c r="F45" s="27" t="s">
        <v>352</v>
      </c>
      <c r="G45" s="11"/>
      <c r="H45" s="11"/>
    </row>
    <row r="46" spans="1:8" ht="37.5" customHeight="1" x14ac:dyDescent="0.25">
      <c r="A46" s="51" t="str">
        <f t="shared" si="0"/>
        <v>AROEIRAS/EMEF JARDIRENE OLIVEIRA DE SOUZA</v>
      </c>
      <c r="B46" s="2">
        <v>13013</v>
      </c>
      <c r="C46" s="52" t="s">
        <v>344</v>
      </c>
      <c r="D46" s="27" t="s">
        <v>345</v>
      </c>
      <c r="E46" s="11" t="s">
        <v>353</v>
      </c>
      <c r="F46" s="27" t="s">
        <v>354</v>
      </c>
      <c r="G46" s="11"/>
      <c r="H46" s="11"/>
    </row>
    <row r="47" spans="1:8" ht="37.5" customHeight="1" x14ac:dyDescent="0.25">
      <c r="A47" s="51" t="str">
        <f t="shared" si="0"/>
        <v>ASSUNCAO/EEEFM JOAO ROGERIO D TOLEDO</v>
      </c>
      <c r="B47" s="2">
        <v>13178</v>
      </c>
      <c r="C47" s="26" t="s">
        <v>355</v>
      </c>
      <c r="D47" s="27" t="s">
        <v>356</v>
      </c>
      <c r="E47" s="11" t="s">
        <v>357</v>
      </c>
      <c r="F47" s="27" t="s">
        <v>358</v>
      </c>
      <c r="G47" s="11"/>
      <c r="H47" s="11"/>
    </row>
    <row r="48" spans="1:8" ht="37.5" customHeight="1" x14ac:dyDescent="0.25">
      <c r="A48" s="51" t="str">
        <f t="shared" si="0"/>
        <v>ASSUNCAO/ESCOLA CIDADA INTEGRAL ESTADUAL DE ENSINO MEDIO JOAO ROGERIO DIAS TOLEDO</v>
      </c>
      <c r="B48" s="2">
        <v>13178</v>
      </c>
      <c r="C48" s="26" t="s">
        <v>355</v>
      </c>
      <c r="D48" s="27" t="s">
        <v>356</v>
      </c>
      <c r="E48" s="11" t="s">
        <v>359</v>
      </c>
      <c r="F48" s="27" t="s">
        <v>360</v>
      </c>
      <c r="G48" s="11"/>
      <c r="H48" s="11"/>
    </row>
    <row r="49" spans="1:8" ht="37.5" customHeight="1" x14ac:dyDescent="0.25">
      <c r="A49" s="51" t="str">
        <f t="shared" si="0"/>
        <v>BAIA DA TRAICAO/ESCOLA MUNICIPAL PAULO EFÁSIO RODRIGUES</v>
      </c>
      <c r="B49" s="2">
        <v>13015</v>
      </c>
      <c r="C49" s="26" t="s">
        <v>33</v>
      </c>
      <c r="D49" s="27" t="s">
        <v>361</v>
      </c>
      <c r="E49" s="11" t="s">
        <v>362</v>
      </c>
      <c r="F49" s="27" t="s">
        <v>363</v>
      </c>
      <c r="G49" s="11"/>
      <c r="H49" s="11"/>
    </row>
    <row r="50" spans="1:8" ht="37.5" customHeight="1" x14ac:dyDescent="0.25">
      <c r="A50" s="51" t="str">
        <f t="shared" si="0"/>
        <v>BAIA DA TRAICAO/ASSOCIAÇÃO MULHERES GUERREIRAS INDÍGENAS POTIGUARA</v>
      </c>
      <c r="B50" s="2">
        <v>13015</v>
      </c>
      <c r="C50" s="26" t="s">
        <v>33</v>
      </c>
      <c r="D50" s="27" t="s">
        <v>361</v>
      </c>
      <c r="E50" s="11" t="s">
        <v>364</v>
      </c>
      <c r="F50" s="27" t="s">
        <v>365</v>
      </c>
      <c r="G50" s="11"/>
      <c r="H50" s="11"/>
    </row>
    <row r="51" spans="1:8" ht="37.5" customHeight="1" x14ac:dyDescent="0.25">
      <c r="A51" s="51" t="str">
        <f t="shared" si="0"/>
        <v>BAIA DA TRAICAO/ESCOLA MUNICIPAL DE ENSINO INFANTIL FUND. CENTRO SOCIAL SAO MIGUEL</v>
      </c>
      <c r="B51" s="2">
        <v>13015</v>
      </c>
      <c r="C51" s="26" t="s">
        <v>33</v>
      </c>
      <c r="D51" s="27" t="s">
        <v>361</v>
      </c>
      <c r="E51" s="11" t="s">
        <v>366</v>
      </c>
      <c r="F51" s="27" t="s">
        <v>367</v>
      </c>
      <c r="G51" s="11"/>
      <c r="H51" s="11"/>
    </row>
    <row r="52" spans="1:8" ht="37.5" customHeight="1" x14ac:dyDescent="0.25">
      <c r="A52" s="51" t="str">
        <f t="shared" si="0"/>
        <v>BANANEIRAS/EMF JOÃO PAULO II - DISTRITO DE ROMA</v>
      </c>
      <c r="B52" s="2">
        <v>13016</v>
      </c>
      <c r="C52" s="52" t="s">
        <v>368</v>
      </c>
      <c r="D52" s="27" t="s">
        <v>369</v>
      </c>
      <c r="E52" s="11" t="s">
        <v>370</v>
      </c>
      <c r="F52" s="27" t="s">
        <v>371</v>
      </c>
      <c r="G52" s="11"/>
      <c r="H52" s="11"/>
    </row>
    <row r="53" spans="1:8" ht="37.5" customHeight="1" x14ac:dyDescent="0.25">
      <c r="A53" s="51" t="str">
        <f t="shared" si="0"/>
        <v>BANANEIRAS/BANANEIRAS - 13016.01 - RUA AUGUSTO BEZERRA CAVALCANTE, S/N, CENTRO</v>
      </c>
      <c r="B53" s="2">
        <v>13016</v>
      </c>
      <c r="C53" s="52" t="s">
        <v>368</v>
      </c>
      <c r="D53" s="27" t="s">
        <v>369</v>
      </c>
      <c r="E53" s="11" t="s">
        <v>372</v>
      </c>
      <c r="F53" s="27" t="s">
        <v>373</v>
      </c>
      <c r="G53" s="11"/>
      <c r="H53" s="11"/>
    </row>
    <row r="54" spans="1:8" ht="37.5" customHeight="1" x14ac:dyDescent="0.25">
      <c r="A54" s="51" t="str">
        <f t="shared" si="0"/>
        <v>BANANEIRAS/ECIT JOSÉ ROCHA SOBRINHO</v>
      </c>
      <c r="B54" s="2">
        <v>13016</v>
      </c>
      <c r="C54" s="52" t="s">
        <v>368</v>
      </c>
      <c r="D54" s="27" t="s">
        <v>369</v>
      </c>
      <c r="E54" s="11" t="s">
        <v>374</v>
      </c>
      <c r="F54" s="27" t="s">
        <v>375</v>
      </c>
      <c r="G54" s="11"/>
      <c r="H54" s="11"/>
    </row>
    <row r="55" spans="1:8" ht="37.5" customHeight="1" x14ac:dyDescent="0.25">
      <c r="A55" s="51" t="str">
        <f t="shared" si="0"/>
        <v>BANANEIRAS/ASSOCIAÇAO DOS TRABALHADORES RURAIS DO PA NOSSA SENHORA DO LIVRAMENTO</v>
      </c>
      <c r="B55" s="2">
        <v>13016</v>
      </c>
      <c r="C55" s="52" t="s">
        <v>368</v>
      </c>
      <c r="D55" s="27" t="s">
        <v>369</v>
      </c>
      <c r="E55" s="11" t="s">
        <v>376</v>
      </c>
      <c r="F55" s="27" t="s">
        <v>377</v>
      </c>
      <c r="G55" s="11"/>
      <c r="H55" s="11"/>
    </row>
    <row r="56" spans="1:8" ht="37.5" customHeight="1" x14ac:dyDescent="0.25">
      <c r="A56" s="51" t="str">
        <f t="shared" si="0"/>
        <v>BANANEIRAS/EMEF DO OLHO DAGUA</v>
      </c>
      <c r="B56" s="2">
        <v>13016</v>
      </c>
      <c r="C56" s="52" t="s">
        <v>368</v>
      </c>
      <c r="D56" s="27" t="s">
        <v>369</v>
      </c>
      <c r="E56" s="11" t="s">
        <v>378</v>
      </c>
      <c r="F56" s="27" t="s">
        <v>379</v>
      </c>
      <c r="G56" s="11"/>
      <c r="H56" s="11"/>
    </row>
    <row r="57" spans="1:8" ht="37.5" customHeight="1" x14ac:dyDescent="0.25">
      <c r="A57" s="51" t="str">
        <f t="shared" si="0"/>
        <v>BANANEIRAS/CAMARA MUNICIPAL DE BANANEIRAS</v>
      </c>
      <c r="B57" s="2">
        <v>13016</v>
      </c>
      <c r="C57" s="52" t="s">
        <v>368</v>
      </c>
      <c r="D57" s="27" t="s">
        <v>369</v>
      </c>
      <c r="E57" s="11" t="s">
        <v>380</v>
      </c>
      <c r="F57" s="27" t="s">
        <v>381</v>
      </c>
      <c r="G57" s="11"/>
      <c r="H57" s="11"/>
    </row>
    <row r="58" spans="1:8" ht="37.5" customHeight="1" x14ac:dyDescent="0.25">
      <c r="A58" s="51" t="str">
        <f t="shared" si="0"/>
        <v>BANANEIRAS/ESCOLA EMILIA DE OLIVEIRA NEVES</v>
      </c>
      <c r="B58" s="2">
        <v>13016</v>
      </c>
      <c r="C58" s="52" t="s">
        <v>368</v>
      </c>
      <c r="D58" s="27" t="s">
        <v>369</v>
      </c>
      <c r="E58" s="11" t="s">
        <v>382</v>
      </c>
      <c r="F58" s="27" t="s">
        <v>383</v>
      </c>
      <c r="G58" s="11"/>
      <c r="H58" s="11"/>
    </row>
    <row r="59" spans="1:8" ht="37.5" customHeight="1" x14ac:dyDescent="0.25">
      <c r="A59" s="51" t="str">
        <f t="shared" si="0"/>
        <v>BANANEIRAS/ESCOLA MUNICIPAL DO JARACATIA</v>
      </c>
      <c r="B59" s="2">
        <v>13016</v>
      </c>
      <c r="C59" s="52" t="s">
        <v>368</v>
      </c>
      <c r="D59" s="27" t="s">
        <v>369</v>
      </c>
      <c r="E59" s="11" t="s">
        <v>384</v>
      </c>
      <c r="F59" s="27" t="s">
        <v>385</v>
      </c>
      <c r="G59" s="11"/>
      <c r="H59" s="11"/>
    </row>
    <row r="60" spans="1:8" ht="37.5" customHeight="1" x14ac:dyDescent="0.25">
      <c r="A60" s="51" t="str">
        <f t="shared" si="0"/>
        <v>BANANEIRAS/ESPACO CULTURAL OSCAR DE CASTRO</v>
      </c>
      <c r="B60" s="2">
        <v>13016</v>
      </c>
      <c r="C60" s="52" t="s">
        <v>368</v>
      </c>
      <c r="D60" s="27" t="s">
        <v>369</v>
      </c>
      <c r="E60" s="11" t="s">
        <v>386</v>
      </c>
      <c r="F60" s="27" t="s">
        <v>387</v>
      </c>
      <c r="G60" s="11"/>
      <c r="H60" s="11"/>
    </row>
    <row r="61" spans="1:8" ht="37.5" customHeight="1" x14ac:dyDescent="0.25">
      <c r="A61" s="51" t="str">
        <f t="shared" si="0"/>
        <v>BARAÚNA/ESCOLA MUNICIPAL FELIPE RODRIGUES DE LIMA</v>
      </c>
      <c r="B61" s="2">
        <v>13179</v>
      </c>
      <c r="C61" s="52" t="s">
        <v>388</v>
      </c>
      <c r="D61" s="27" t="s">
        <v>389</v>
      </c>
      <c r="E61" s="11" t="s">
        <v>390</v>
      </c>
      <c r="F61" s="27" t="s">
        <v>391</v>
      </c>
      <c r="G61" s="11"/>
      <c r="H61" s="11"/>
    </row>
    <row r="62" spans="1:8" ht="37.5" customHeight="1" x14ac:dyDescent="0.25">
      <c r="A62" s="51" t="str">
        <f t="shared" si="0"/>
        <v>BARRA DE SANTA ROSA/EEEFM JOSÉ LUIZ NETO</v>
      </c>
      <c r="B62" s="2">
        <v>13017</v>
      </c>
      <c r="C62" s="52" t="s">
        <v>392</v>
      </c>
      <c r="D62" s="27" t="s">
        <v>393</v>
      </c>
      <c r="E62" s="11" t="s">
        <v>394</v>
      </c>
      <c r="F62" s="27" t="s">
        <v>395</v>
      </c>
      <c r="G62" s="11"/>
      <c r="H62" s="11"/>
    </row>
    <row r="63" spans="1:8" ht="37.5" customHeight="1" x14ac:dyDescent="0.25">
      <c r="A63" s="51" t="str">
        <f t="shared" si="0"/>
        <v>BARRA DE SANTA ROSA/COLÔNIA DE PESCADORES - AGÊNCIA XIQUE XIQUE</v>
      </c>
      <c r="B63" s="2">
        <v>13017</v>
      </c>
      <c r="C63" s="52" t="s">
        <v>392</v>
      </c>
      <c r="D63" s="27" t="s">
        <v>393</v>
      </c>
      <c r="E63" s="11" t="s">
        <v>396</v>
      </c>
      <c r="F63" s="27" t="s">
        <v>397</v>
      </c>
      <c r="G63" s="11"/>
      <c r="H63" s="11"/>
    </row>
    <row r="64" spans="1:8" ht="37.5" customHeight="1" x14ac:dyDescent="0.25">
      <c r="A64" s="51" t="str">
        <f t="shared" si="0"/>
        <v>BARRA DE SANTA ROSA/ECIT JOSÉ LUIZ NETO</v>
      </c>
      <c r="B64" s="2">
        <v>13017</v>
      </c>
      <c r="C64" s="52" t="s">
        <v>392</v>
      </c>
      <c r="D64" s="27" t="s">
        <v>393</v>
      </c>
      <c r="E64" s="11" t="s">
        <v>398</v>
      </c>
      <c r="F64" s="27" t="s">
        <v>399</v>
      </c>
      <c r="G64" s="11"/>
      <c r="H64" s="11"/>
    </row>
    <row r="65" spans="1:8" ht="37.5" customHeight="1" x14ac:dyDescent="0.25">
      <c r="A65" s="51" t="str">
        <f t="shared" si="0"/>
        <v>BARRA DE SANTA ROSA/SINDICATO DOS TRABALHADORES RURAIS AGRICULTORES E AGRICULTORAS FAMILIARES DE BARRA DE SANTA ROSA</v>
      </c>
      <c r="B65" s="2">
        <v>13017</v>
      </c>
      <c r="C65" s="52" t="s">
        <v>392</v>
      </c>
      <c r="D65" s="27" t="s">
        <v>393</v>
      </c>
      <c r="E65" s="11" t="s">
        <v>400</v>
      </c>
      <c r="F65" s="27" t="s">
        <v>401</v>
      </c>
      <c r="G65" s="11"/>
      <c r="H65" s="11"/>
    </row>
    <row r="66" spans="1:8" ht="37.5" customHeight="1" x14ac:dyDescent="0.25">
      <c r="A66" s="51" t="str">
        <f t="shared" si="0"/>
        <v>BARRA DE SANTA ROSA/AUDITORIO DA USINA MARIA JOSE SOUSA SILVA</v>
      </c>
      <c r="B66" s="1">
        <v>13017</v>
      </c>
      <c r="C66" s="27" t="s">
        <v>392</v>
      </c>
      <c r="D66" s="27" t="s">
        <v>393</v>
      </c>
      <c r="E66" s="27" t="s">
        <v>402</v>
      </c>
      <c r="F66" s="27" t="s">
        <v>403</v>
      </c>
      <c r="G66" s="11"/>
      <c r="H66" s="11"/>
    </row>
    <row r="67" spans="1:8" ht="37.5" customHeight="1" x14ac:dyDescent="0.25">
      <c r="A67" s="51" t="str">
        <f t="shared" si="0"/>
        <v>BARRA DE SÃO MIGUEL/ESCOLA JOÃO PINTO DA SILVA</v>
      </c>
      <c r="B67" s="2">
        <v>13018</v>
      </c>
      <c r="C67" s="52" t="s">
        <v>404</v>
      </c>
      <c r="D67" s="27" t="s">
        <v>405</v>
      </c>
      <c r="E67" s="11" t="s">
        <v>406</v>
      </c>
      <c r="F67" s="27" t="s">
        <v>407</v>
      </c>
      <c r="G67" s="11"/>
      <c r="H67" s="11"/>
    </row>
    <row r="68" spans="1:8" ht="37.5" customHeight="1" x14ac:dyDescent="0.25">
      <c r="A68" s="51" t="str">
        <f t="shared" si="0"/>
        <v>BAYEUX/ECIT BAYEUX</v>
      </c>
      <c r="B68" s="2">
        <v>13019</v>
      </c>
      <c r="C68" s="52" t="s">
        <v>31</v>
      </c>
      <c r="D68" s="27" t="s">
        <v>408</v>
      </c>
      <c r="E68" s="11" t="s">
        <v>409</v>
      </c>
      <c r="F68" s="27" t="s">
        <v>410</v>
      </c>
      <c r="G68" s="11"/>
      <c r="H68" s="11"/>
    </row>
    <row r="69" spans="1:8" ht="37.5" customHeight="1" x14ac:dyDescent="0.25">
      <c r="A69" s="51" t="str">
        <f t="shared" si="0"/>
        <v>BAYEUX/BAYEUX - 13019.01 - RUA JOSÉ ULISSES TEIXEIRA, S/N - CENTRO</v>
      </c>
      <c r="B69" s="2">
        <v>13019</v>
      </c>
      <c r="C69" s="52" t="s">
        <v>31</v>
      </c>
      <c r="D69" s="27" t="s">
        <v>408</v>
      </c>
      <c r="E69" s="11" t="s">
        <v>411</v>
      </c>
      <c r="F69" s="27" t="s">
        <v>412</v>
      </c>
      <c r="G69" s="11"/>
      <c r="H69" s="11"/>
    </row>
    <row r="70" spans="1:8" ht="37.5" customHeight="1" x14ac:dyDescent="0.25">
      <c r="A70" s="51" t="str">
        <f t="shared" si="0"/>
        <v>BAYEUX/BAYEUX - 13019.02 - RUA PROJETADA, S/N - BAIRRO MÁRIO ANDREAZZA</v>
      </c>
      <c r="B70" s="2">
        <v>13019</v>
      </c>
      <c r="C70" s="52" t="s">
        <v>31</v>
      </c>
      <c r="D70" s="27" t="s">
        <v>408</v>
      </c>
      <c r="E70" s="11" t="s">
        <v>413</v>
      </c>
      <c r="F70" s="27" t="s">
        <v>414</v>
      </c>
      <c r="G70" s="11"/>
      <c r="H70" s="11"/>
    </row>
    <row r="71" spans="1:8" ht="37.5" customHeight="1" x14ac:dyDescent="0.25">
      <c r="A71" s="51" t="str">
        <f t="shared" si="0"/>
        <v>BAYEUX/ECI IRINEU PINTO</v>
      </c>
      <c r="B71" s="2">
        <v>13019</v>
      </c>
      <c r="C71" s="52" t="s">
        <v>31</v>
      </c>
      <c r="D71" s="27" t="s">
        <v>408</v>
      </c>
      <c r="E71" s="11" t="s">
        <v>415</v>
      </c>
      <c r="F71" s="27" t="s">
        <v>416</v>
      </c>
      <c r="G71" s="11"/>
      <c r="H71" s="11"/>
    </row>
    <row r="72" spans="1:8" ht="37.5" customHeight="1" x14ac:dyDescent="0.25">
      <c r="A72" s="51" t="str">
        <f t="shared" si="0"/>
        <v>BAYEUX/ECIT ERENICE CAVALCANTE FIDELES</v>
      </c>
      <c r="B72" s="2">
        <v>13019</v>
      </c>
      <c r="C72" s="52" t="s">
        <v>31</v>
      </c>
      <c r="D72" s="27" t="s">
        <v>408</v>
      </c>
      <c r="E72" s="11" t="s">
        <v>417</v>
      </c>
      <c r="F72" s="27" t="s">
        <v>418</v>
      </c>
      <c r="G72" s="11"/>
      <c r="H72" s="11"/>
    </row>
    <row r="73" spans="1:8" ht="37.5" customHeight="1" x14ac:dyDescent="0.25">
      <c r="A73" s="51" t="str">
        <f t="shared" si="0"/>
        <v>BELÉM/BELEM - 13020.01 - Rua Francisco Carneiro, s/n - Centro</v>
      </c>
      <c r="B73" s="2">
        <v>13020</v>
      </c>
      <c r="C73" s="52" t="s">
        <v>419</v>
      </c>
      <c r="D73" s="27" t="s">
        <v>420</v>
      </c>
      <c r="E73" s="11" t="s">
        <v>421</v>
      </c>
      <c r="F73" s="27" t="s">
        <v>422</v>
      </c>
      <c r="G73" s="11"/>
      <c r="H73" s="11"/>
    </row>
    <row r="74" spans="1:8" ht="37.5" customHeight="1" x14ac:dyDescent="0.25">
      <c r="A74" s="51" t="str">
        <f t="shared" si="0"/>
        <v>BELÉM/BELEM - 13020.02 - Rua Flávio Ribeiro, s/n - Centro</v>
      </c>
      <c r="B74" s="2">
        <v>13020</v>
      </c>
      <c r="C74" s="52" t="s">
        <v>419</v>
      </c>
      <c r="D74" s="27" t="s">
        <v>420</v>
      </c>
      <c r="E74" s="11" t="s">
        <v>423</v>
      </c>
      <c r="F74" s="27" t="s">
        <v>424</v>
      </c>
      <c r="G74" s="11"/>
      <c r="H74" s="11"/>
    </row>
    <row r="75" spans="1:8" ht="37.5" customHeight="1" x14ac:dyDescent="0.25">
      <c r="A75" s="51" t="str">
        <f t="shared" si="0"/>
        <v>BELÉM/ECIT MÁRCIA GUEDES ALCOFORADO DE CARVALHO</v>
      </c>
      <c r="B75" s="2">
        <v>13020</v>
      </c>
      <c r="C75" s="52" t="s">
        <v>419</v>
      </c>
      <c r="D75" s="27" t="s">
        <v>420</v>
      </c>
      <c r="E75" s="11" t="s">
        <v>425</v>
      </c>
      <c r="F75" s="27" t="s">
        <v>426</v>
      </c>
      <c r="G75" s="11"/>
      <c r="H75" s="11"/>
    </row>
    <row r="76" spans="1:8" ht="37.5" customHeight="1" x14ac:dyDescent="0.25">
      <c r="A76" s="51" t="str">
        <f t="shared" si="0"/>
        <v>BERNARDINO BATISTA/EMEF JOSE BATISTA DE SOUSA</v>
      </c>
      <c r="B76" s="2">
        <v>13181</v>
      </c>
      <c r="C76" s="52" t="s">
        <v>427</v>
      </c>
      <c r="D76" s="27" t="s">
        <v>428</v>
      </c>
      <c r="E76" s="11" t="s">
        <v>429</v>
      </c>
      <c r="F76" s="27" t="s">
        <v>430</v>
      </c>
      <c r="G76" s="11"/>
      <c r="H76" s="11"/>
    </row>
    <row r="77" spans="1:8" ht="37.5" customHeight="1" x14ac:dyDescent="0.25">
      <c r="A77" s="51" t="str">
        <f t="shared" si="0"/>
        <v>BERNARDINO BATISTA/ECI NELSON BATISTA ALVES</v>
      </c>
      <c r="B77" s="2">
        <v>13181</v>
      </c>
      <c r="C77" s="52" t="s">
        <v>427</v>
      </c>
      <c r="D77" s="27" t="s">
        <v>428</v>
      </c>
      <c r="E77" s="11" t="s">
        <v>431</v>
      </c>
      <c r="F77" s="27" t="s">
        <v>432</v>
      </c>
      <c r="G77" s="11"/>
      <c r="H77" s="11"/>
    </row>
    <row r="78" spans="1:8" ht="37.5" customHeight="1" x14ac:dyDescent="0.25">
      <c r="A78" s="51" t="str">
        <f t="shared" si="0"/>
        <v>BOA VISTA/BOA VISTA - 13182.01 - RUA JOSÉ ALBINO DA SILVA Nº 25 - ESPLANADA BOM JESUS</v>
      </c>
      <c r="B78" s="2">
        <v>13182</v>
      </c>
      <c r="C78" s="52" t="s">
        <v>433</v>
      </c>
      <c r="D78" s="27" t="s">
        <v>434</v>
      </c>
      <c r="E78" s="11" t="s">
        <v>435</v>
      </c>
      <c r="F78" s="27" t="s">
        <v>436</v>
      </c>
      <c r="G78" s="11"/>
      <c r="H78" s="11"/>
    </row>
    <row r="79" spans="1:8" ht="37.5" customHeight="1" x14ac:dyDescent="0.25">
      <c r="A79" s="51" t="str">
        <f t="shared" si="0"/>
        <v>BOA VISTA/ASSOCIAÇAO COMUNITARIA OS QUILOMBOLAS DE SANTA ROSA</v>
      </c>
      <c r="B79" s="2">
        <v>13182</v>
      </c>
      <c r="C79" s="52" t="s">
        <v>433</v>
      </c>
      <c r="D79" s="27" t="s">
        <v>434</v>
      </c>
      <c r="E79" s="11" t="s">
        <v>437</v>
      </c>
      <c r="F79" s="27" t="s">
        <v>438</v>
      </c>
      <c r="G79" s="11"/>
      <c r="H79" s="11"/>
    </row>
    <row r="80" spans="1:8" ht="37.5" customHeight="1" x14ac:dyDescent="0.25">
      <c r="A80" s="51" t="str">
        <f t="shared" si="0"/>
        <v>BOA VISTA/ESCOLA MUNICIPAL PROFESSORA FRANCISCA LEITE VITORINO</v>
      </c>
      <c r="B80" s="2">
        <v>13182</v>
      </c>
      <c r="C80" s="52" t="s">
        <v>433</v>
      </c>
      <c r="D80" s="27" t="s">
        <v>434</v>
      </c>
      <c r="E80" s="11" t="s">
        <v>439</v>
      </c>
      <c r="F80" s="27" t="s">
        <v>440</v>
      </c>
      <c r="G80" s="11"/>
      <c r="H80" s="11"/>
    </row>
    <row r="81" spans="1:8" ht="37.5" customHeight="1" x14ac:dyDescent="0.25">
      <c r="A81" s="51" t="str">
        <f t="shared" si="0"/>
        <v>BOM JESUS/ESCOLA MUNICIPAL DE ENSINO FUNDAMENTAL MARIA DO CARMO GONÇALVES</v>
      </c>
      <c r="B81" s="2">
        <v>13023</v>
      </c>
      <c r="C81" s="52" t="s">
        <v>441</v>
      </c>
      <c r="D81" s="27" t="s">
        <v>442</v>
      </c>
      <c r="E81" s="11" t="s">
        <v>443</v>
      </c>
      <c r="F81" s="27" t="s">
        <v>444</v>
      </c>
      <c r="G81" s="11"/>
      <c r="H81" s="11"/>
    </row>
    <row r="82" spans="1:8" ht="37.5" customHeight="1" x14ac:dyDescent="0.25">
      <c r="A82" s="51" t="str">
        <f t="shared" si="0"/>
        <v>BONITO DE SANTA FÉ/BONITO DE SANTA FE - 13025.01 - RUA JOANA MARIA DA CONCEIÇÃO, S/N - ANTOLÂNDIA</v>
      </c>
      <c r="B82" s="2">
        <v>13025</v>
      </c>
      <c r="C82" s="52" t="s">
        <v>445</v>
      </c>
      <c r="D82" s="27" t="s">
        <v>446</v>
      </c>
      <c r="E82" s="11" t="s">
        <v>447</v>
      </c>
      <c r="F82" s="27" t="s">
        <v>448</v>
      </c>
      <c r="G82" s="11"/>
      <c r="H82" s="11"/>
    </row>
    <row r="83" spans="1:8" ht="37.5" customHeight="1" x14ac:dyDescent="0.25">
      <c r="A83" s="51" t="str">
        <f t="shared" si="0"/>
        <v>BONITO DE SANTA FÉ/EEEFM MONSENHOR MORAIS</v>
      </c>
      <c r="B83" s="2">
        <v>13025</v>
      </c>
      <c r="C83" s="52" t="s">
        <v>445</v>
      </c>
      <c r="D83" s="27" t="s">
        <v>446</v>
      </c>
      <c r="E83" s="11" t="s">
        <v>449</v>
      </c>
      <c r="F83" s="27" t="s">
        <v>450</v>
      </c>
      <c r="G83" s="11"/>
      <c r="H83" s="11"/>
    </row>
    <row r="84" spans="1:8" ht="37.5" customHeight="1" x14ac:dyDescent="0.25">
      <c r="A84" s="51" t="str">
        <f t="shared" si="0"/>
        <v>BONITO DE SANTA FÉ/EMEIF PROF. AUREA DIAS DE ALMEIDA</v>
      </c>
      <c r="B84" s="2">
        <v>13025</v>
      </c>
      <c r="C84" s="52" t="s">
        <v>445</v>
      </c>
      <c r="D84" s="27" t="s">
        <v>446</v>
      </c>
      <c r="E84" s="11" t="s">
        <v>451</v>
      </c>
      <c r="F84" s="27" t="s">
        <v>452</v>
      </c>
      <c r="G84" s="11"/>
      <c r="H84" s="11"/>
    </row>
    <row r="85" spans="1:8" ht="37.5" customHeight="1" x14ac:dyDescent="0.25">
      <c r="A85" s="51" t="str">
        <f t="shared" si="0"/>
        <v>BOQUEIRAO/ESCOLA AGRICOLA DE BOQUEIRAO</v>
      </c>
      <c r="B85" s="1">
        <v>13026</v>
      </c>
      <c r="C85" s="27" t="s">
        <v>453</v>
      </c>
      <c r="D85" s="27" t="s">
        <v>454</v>
      </c>
      <c r="E85" s="27" t="s">
        <v>455</v>
      </c>
      <c r="F85" s="27" t="s">
        <v>456</v>
      </c>
      <c r="G85" s="11"/>
      <c r="H85" s="11"/>
    </row>
    <row r="86" spans="1:8" ht="37.5" customHeight="1" x14ac:dyDescent="0.25">
      <c r="A86" s="51" t="str">
        <f t="shared" si="0"/>
        <v>BOQUEIRÃO/EEEFM CONSELHEIRO JOSE BRAZ DO REGO</v>
      </c>
      <c r="B86" s="2">
        <v>13026</v>
      </c>
      <c r="C86" s="52" t="s">
        <v>457</v>
      </c>
      <c r="D86" s="27" t="s">
        <v>454</v>
      </c>
      <c r="E86" s="11" t="s">
        <v>458</v>
      </c>
      <c r="F86" s="27" t="s">
        <v>459</v>
      </c>
      <c r="G86" s="11"/>
      <c r="H86" s="11"/>
    </row>
    <row r="87" spans="1:8" ht="37.5" customHeight="1" x14ac:dyDescent="0.25">
      <c r="A87" s="51" t="str">
        <f t="shared" si="0"/>
        <v>BOQUEIRÃO/BOQUEIRAO - 13026.01 - Rua João Cícero dos Santos , S/N</v>
      </c>
      <c r="B87" s="2">
        <v>13026</v>
      </c>
      <c r="C87" s="52" t="s">
        <v>457</v>
      </c>
      <c r="D87" s="27" t="s">
        <v>454</v>
      </c>
      <c r="E87" s="11" t="s">
        <v>460</v>
      </c>
      <c r="F87" s="27" t="s">
        <v>461</v>
      </c>
      <c r="G87" s="11"/>
      <c r="H87" s="11"/>
    </row>
    <row r="88" spans="1:8" ht="37.5" customHeight="1" x14ac:dyDescent="0.25">
      <c r="A88" s="51" t="str">
        <f t="shared" si="0"/>
        <v>BOQUEIRÃO/ECIT JOSÉ BRAZ DO REGO</v>
      </c>
      <c r="B88" s="2">
        <v>13026</v>
      </c>
      <c r="C88" s="52" t="s">
        <v>457</v>
      </c>
      <c r="D88" s="11" t="s">
        <v>454</v>
      </c>
      <c r="E88" s="11" t="s">
        <v>462</v>
      </c>
      <c r="F88" s="11" t="s">
        <v>463</v>
      </c>
      <c r="G88" s="11"/>
      <c r="H88" s="11"/>
    </row>
    <row r="89" spans="1:8" ht="37.5" customHeight="1" x14ac:dyDescent="0.25">
      <c r="A89" s="51" t="str">
        <f t="shared" si="0"/>
        <v>BOQUEIRÃO/SERVIÇO DE CONVIVENCIA E FORTALECIMENTO DE VINCULOS-SCFV-BOQUEIRAO</v>
      </c>
      <c r="B89" s="2">
        <v>13026</v>
      </c>
      <c r="C89" s="52" t="s">
        <v>457</v>
      </c>
      <c r="D89" s="11" t="s">
        <v>454</v>
      </c>
      <c r="E89" s="11" t="s">
        <v>464</v>
      </c>
      <c r="F89" s="11" t="s">
        <v>465</v>
      </c>
      <c r="G89" s="11"/>
      <c r="H89" s="11"/>
    </row>
    <row r="90" spans="1:8" ht="37.5" customHeight="1" x14ac:dyDescent="0.25">
      <c r="A90" s="51" t="str">
        <f t="shared" si="0"/>
        <v>BREJO DO CRUZ/BREJO DO CRUZ - 13029.01 - RUA RIO GRANDE DO NORTE, 299- DOS ESTADOS - BREJO DO CRUZ</v>
      </c>
      <c r="B90" s="2">
        <v>13029</v>
      </c>
      <c r="C90" s="52" t="s">
        <v>466</v>
      </c>
      <c r="D90" s="11" t="s">
        <v>467</v>
      </c>
      <c r="E90" s="11" t="s">
        <v>468</v>
      </c>
      <c r="F90" s="11" t="s">
        <v>469</v>
      </c>
      <c r="G90" s="11"/>
      <c r="H90" s="11"/>
    </row>
    <row r="91" spans="1:8" ht="37.5" customHeight="1" x14ac:dyDescent="0.25">
      <c r="A91" s="51" t="str">
        <f t="shared" si="0"/>
        <v>BREJO DO CRUZ/ESCOLA MUNICIPAL DE ENSINO FUNDAMENTAL JOSUÉ ALVES DE AZEVEDO</v>
      </c>
      <c r="B91" s="2">
        <v>13029</v>
      </c>
      <c r="C91" s="52" t="s">
        <v>466</v>
      </c>
      <c r="D91" s="11" t="s">
        <v>467</v>
      </c>
      <c r="E91" s="11" t="s">
        <v>470</v>
      </c>
      <c r="F91" s="11" t="s">
        <v>471</v>
      </c>
      <c r="G91" s="11"/>
      <c r="H91" s="11"/>
    </row>
    <row r="92" spans="1:8" ht="37.5" customHeight="1" x14ac:dyDescent="0.25">
      <c r="A92" s="51" t="str">
        <f t="shared" si="0"/>
        <v>BREJO DOS SANTOS/EEIF MANOEL ADELINO</v>
      </c>
      <c r="B92" s="2">
        <v>13030</v>
      </c>
      <c r="C92" s="52" t="s">
        <v>472</v>
      </c>
      <c r="D92" s="11" t="s">
        <v>473</v>
      </c>
      <c r="E92" s="11" t="s">
        <v>474</v>
      </c>
      <c r="F92" s="11" t="s">
        <v>475</v>
      </c>
      <c r="G92" s="11"/>
      <c r="H92" s="11"/>
    </row>
    <row r="93" spans="1:8" ht="37.5" customHeight="1" x14ac:dyDescent="0.25">
      <c r="A93" s="51" t="str">
        <f t="shared" si="0"/>
        <v>BREJO DOS SANTOS/BREJO DOS SANTOS - 13030.01 - Rua Antônio Benjamim da Cruz</v>
      </c>
      <c r="B93" s="2">
        <v>13030</v>
      </c>
      <c r="C93" s="52" t="s">
        <v>472</v>
      </c>
      <c r="D93" s="11" t="s">
        <v>473</v>
      </c>
      <c r="E93" s="11" t="s">
        <v>476</v>
      </c>
      <c r="F93" s="11" t="s">
        <v>477</v>
      </c>
      <c r="G93" s="11"/>
      <c r="H93" s="11"/>
    </row>
    <row r="94" spans="1:8" ht="37.5" customHeight="1" x14ac:dyDescent="0.25">
      <c r="A94" s="51" t="str">
        <f t="shared" si="0"/>
        <v>CAAPORÃ/ECIT AURICELIA MARIA DA COSTA</v>
      </c>
      <c r="B94" s="2">
        <v>13031</v>
      </c>
      <c r="C94" s="52" t="s">
        <v>478</v>
      </c>
      <c r="D94" s="11" t="s">
        <v>479</v>
      </c>
      <c r="E94" s="11" t="s">
        <v>480</v>
      </c>
      <c r="F94" s="11" t="s">
        <v>481</v>
      </c>
      <c r="G94" s="11"/>
      <c r="H94" s="11"/>
    </row>
    <row r="95" spans="1:8" ht="37.5" customHeight="1" x14ac:dyDescent="0.25">
      <c r="A95" s="51" t="str">
        <f t="shared" si="0"/>
        <v>CAAPORÃ/ECIT AURICÉLIA MARIA DA COSTA</v>
      </c>
      <c r="B95" s="2">
        <v>13031</v>
      </c>
      <c r="C95" s="52" t="s">
        <v>478</v>
      </c>
      <c r="D95" s="11" t="s">
        <v>479</v>
      </c>
      <c r="E95" s="11" t="s">
        <v>482</v>
      </c>
      <c r="F95" s="11" t="s">
        <v>483</v>
      </c>
      <c r="G95" s="11"/>
      <c r="H95" s="11"/>
    </row>
    <row r="96" spans="1:8" ht="37.5" customHeight="1" x14ac:dyDescent="0.25">
      <c r="A96" s="51" t="str">
        <f t="shared" si="0"/>
        <v>CAAPORÃ/ESCOLA MUNICIPAL DE ENSINO FUNDAMENTAL SEVERINO HELENA DOS SANTOS VELOSO</v>
      </c>
      <c r="B96" s="2">
        <v>13031</v>
      </c>
      <c r="C96" s="52" t="s">
        <v>478</v>
      </c>
      <c r="D96" s="11" t="s">
        <v>479</v>
      </c>
      <c r="E96" s="11" t="s">
        <v>484</v>
      </c>
      <c r="F96" s="11" t="s">
        <v>485</v>
      </c>
      <c r="G96" s="11"/>
      <c r="H96" s="11"/>
    </row>
    <row r="97" spans="1:8" ht="37.5" customHeight="1" x14ac:dyDescent="0.25">
      <c r="A97" s="51" t="str">
        <f t="shared" si="0"/>
        <v>CABACEIRAS/EEEFM ALCIDES BEZERRA</v>
      </c>
      <c r="B97" s="2">
        <v>13032</v>
      </c>
      <c r="C97" s="52" t="s">
        <v>486</v>
      </c>
      <c r="D97" s="11" t="s">
        <v>487</v>
      </c>
      <c r="E97" s="11" t="s">
        <v>488</v>
      </c>
      <c r="F97" s="11" t="s">
        <v>489</v>
      </c>
      <c r="G97" s="11"/>
      <c r="H97" s="11"/>
    </row>
    <row r="98" spans="1:8" ht="37.5" customHeight="1" x14ac:dyDescent="0.25">
      <c r="A98" s="51" t="str">
        <f t="shared" si="0"/>
        <v>CABACEIRAS/ESCOLA MUNICIPAL ABDIAS AIRES DE QUEIROZ</v>
      </c>
      <c r="B98" s="2">
        <v>13032</v>
      </c>
      <c r="C98" s="52" t="s">
        <v>486</v>
      </c>
      <c r="D98" s="11" t="s">
        <v>487</v>
      </c>
      <c r="E98" s="11" t="s">
        <v>490</v>
      </c>
      <c r="F98" s="11" t="s">
        <v>491</v>
      </c>
      <c r="G98" s="11"/>
      <c r="H98" s="11"/>
    </row>
    <row r="99" spans="1:8" ht="37.5" customHeight="1" x14ac:dyDescent="0.25">
      <c r="A99" s="51" t="str">
        <f t="shared" si="0"/>
        <v>CABEDELO/ECIT JOSÉ GUEDES</v>
      </c>
      <c r="B99" s="2">
        <v>13033</v>
      </c>
      <c r="C99" s="52" t="s">
        <v>492</v>
      </c>
      <c r="D99" s="11" t="s">
        <v>493</v>
      </c>
      <c r="E99" s="11" t="s">
        <v>494</v>
      </c>
      <c r="F99" s="11" t="s">
        <v>495</v>
      </c>
      <c r="G99" s="11"/>
      <c r="H99" s="11"/>
    </row>
    <row r="100" spans="1:8" ht="37.5" customHeight="1" x14ac:dyDescent="0.25">
      <c r="A100" s="51" t="str">
        <f t="shared" si="0"/>
        <v>CABEDELO/ECIT JOSÉ GUEDES</v>
      </c>
      <c r="B100" s="2">
        <v>13033</v>
      </c>
      <c r="C100" s="52" t="s">
        <v>492</v>
      </c>
      <c r="D100" s="11" t="s">
        <v>493</v>
      </c>
      <c r="E100" s="11" t="s">
        <v>494</v>
      </c>
      <c r="F100" s="11" t="s">
        <v>496</v>
      </c>
      <c r="G100" s="11"/>
      <c r="H100" s="11"/>
    </row>
    <row r="101" spans="1:8" ht="37.5" customHeight="1" x14ac:dyDescent="0.25">
      <c r="A101" s="51" t="str">
        <f t="shared" si="0"/>
        <v>CABEDELO/COLÔNIA DE PESCADORES</v>
      </c>
      <c r="B101" s="2">
        <v>13033</v>
      </c>
      <c r="C101" s="52" t="s">
        <v>492</v>
      </c>
      <c r="D101" s="11" t="s">
        <v>493</v>
      </c>
      <c r="E101" s="27" t="s">
        <v>497</v>
      </c>
      <c r="F101" s="11" t="s">
        <v>498</v>
      </c>
      <c r="G101" s="11"/>
      <c r="H101" s="11"/>
    </row>
    <row r="102" spans="1:8" ht="37.5" customHeight="1" x14ac:dyDescent="0.25">
      <c r="A102" s="51" t="str">
        <f t="shared" si="0"/>
        <v>CABEDELO/ECIT JOSÉ GUEDES CAVALCANTI</v>
      </c>
      <c r="B102" s="2">
        <v>13033</v>
      </c>
      <c r="C102" s="52" t="s">
        <v>492</v>
      </c>
      <c r="D102" s="11" t="s">
        <v>493</v>
      </c>
      <c r="E102" s="11" t="s">
        <v>499</v>
      </c>
      <c r="F102" s="11" t="s">
        <v>500</v>
      </c>
      <c r="G102" s="11"/>
      <c r="H102" s="11"/>
    </row>
    <row r="103" spans="1:8" ht="37.5" customHeight="1" x14ac:dyDescent="0.25">
      <c r="A103" s="51" t="str">
        <f t="shared" si="0"/>
        <v>CABEDELO/EEEFM JOÃO XXIII</v>
      </c>
      <c r="B103" s="2">
        <v>13033</v>
      </c>
      <c r="C103" s="52" t="s">
        <v>492</v>
      </c>
      <c r="D103" s="11" t="s">
        <v>493</v>
      </c>
      <c r="E103" s="11" t="s">
        <v>501</v>
      </c>
      <c r="F103" s="11" t="s">
        <v>502</v>
      </c>
      <c r="G103" s="11"/>
      <c r="H103" s="11"/>
    </row>
    <row r="104" spans="1:8" ht="37.5" customHeight="1" x14ac:dyDescent="0.25">
      <c r="A104" s="51" t="str">
        <f t="shared" si="0"/>
        <v>CABEDELO/CENTRO PORTO QUE EDUCA</v>
      </c>
      <c r="B104" s="2">
        <v>13033</v>
      </c>
      <c r="C104" s="52" t="s">
        <v>492</v>
      </c>
      <c r="D104" s="11" t="s">
        <v>493</v>
      </c>
      <c r="E104" s="11" t="s">
        <v>503</v>
      </c>
      <c r="F104" s="11" t="s">
        <v>504</v>
      </c>
      <c r="G104" s="11"/>
      <c r="H104" s="11"/>
    </row>
    <row r="105" spans="1:8" ht="37.5" customHeight="1" x14ac:dyDescent="0.25">
      <c r="A105" s="51" t="str">
        <f t="shared" si="0"/>
        <v>CABEDELO/EEEFM JOÃO XXIII</v>
      </c>
      <c r="B105" s="2">
        <v>13033</v>
      </c>
      <c r="C105" s="52" t="s">
        <v>492</v>
      </c>
      <c r="D105" s="11" t="s">
        <v>493</v>
      </c>
      <c r="E105" s="11" t="s">
        <v>501</v>
      </c>
      <c r="F105" s="11" t="s">
        <v>505</v>
      </c>
      <c r="G105" s="11"/>
      <c r="H105" s="11"/>
    </row>
    <row r="106" spans="1:8" ht="37.5" customHeight="1" x14ac:dyDescent="0.25">
      <c r="A106" s="51" t="str">
        <f t="shared" si="0"/>
        <v>CABEDELO/PORTO CIDADE</v>
      </c>
      <c r="B106" s="2">
        <v>13033</v>
      </c>
      <c r="C106" s="52" t="s">
        <v>492</v>
      </c>
      <c r="D106" s="11" t="s">
        <v>493</v>
      </c>
      <c r="E106" s="11" t="s">
        <v>506</v>
      </c>
      <c r="F106" s="11" t="s">
        <v>507</v>
      </c>
      <c r="G106" s="11"/>
      <c r="H106" s="11"/>
    </row>
    <row r="107" spans="1:8" ht="37.5" customHeight="1" x14ac:dyDescent="0.25">
      <c r="A107" s="51" t="str">
        <f t="shared" si="0"/>
        <v>CACHOEIRA DOS INDIOS/SECRETARIA DE ASSISTÊNCIA SOCIAL</v>
      </c>
      <c r="B107" s="2">
        <v>13034</v>
      </c>
      <c r="C107" s="26" t="s">
        <v>508</v>
      </c>
      <c r="D107" s="11" t="s">
        <v>509</v>
      </c>
      <c r="E107" s="11" t="s">
        <v>510</v>
      </c>
      <c r="F107" s="11" t="s">
        <v>511</v>
      </c>
      <c r="G107" s="11"/>
      <c r="H107" s="11"/>
    </row>
    <row r="108" spans="1:8" ht="37.5" customHeight="1" x14ac:dyDescent="0.25">
      <c r="A108" s="51" t="str">
        <f t="shared" si="0"/>
        <v>CACHOEIRA DOS INDIOS/FUNDACAO COMUNITARIA OS QUILOMBOLAS DO SITIO CIPO</v>
      </c>
      <c r="B108" s="2">
        <v>13034</v>
      </c>
      <c r="C108" s="26" t="s">
        <v>508</v>
      </c>
      <c r="D108" s="11" t="s">
        <v>509</v>
      </c>
      <c r="E108" s="11" t="s">
        <v>512</v>
      </c>
      <c r="F108" s="11" t="s">
        <v>513</v>
      </c>
      <c r="G108" s="11"/>
      <c r="H108" s="11"/>
    </row>
    <row r="109" spans="1:8" ht="37.5" customHeight="1" x14ac:dyDescent="0.25">
      <c r="A109" s="51" t="str">
        <f t="shared" si="0"/>
        <v>CACIMBA DE AREIA/CACIMBA DE AREIA - 13035.01 - RUA ADALTO GOMES MONTENEGRO, S/N, CENTRO.</v>
      </c>
      <c r="B109" s="2">
        <v>13035</v>
      </c>
      <c r="C109" s="52" t="s">
        <v>514</v>
      </c>
      <c r="D109" s="27" t="s">
        <v>515</v>
      </c>
      <c r="E109" s="11" t="s">
        <v>516</v>
      </c>
      <c r="F109" s="11" t="s">
        <v>517</v>
      </c>
      <c r="G109" s="11"/>
      <c r="H109" s="11"/>
    </row>
    <row r="110" spans="1:8" ht="37.5" customHeight="1" x14ac:dyDescent="0.25">
      <c r="A110" s="51" t="str">
        <f t="shared" si="0"/>
        <v>CACIMBA DE DENTRO/ECIT HUMBERTO LUCENA</v>
      </c>
      <c r="B110" s="2">
        <v>13036</v>
      </c>
      <c r="C110" s="52" t="s">
        <v>518</v>
      </c>
      <c r="D110" s="27" t="s">
        <v>519</v>
      </c>
      <c r="E110" s="11" t="s">
        <v>520</v>
      </c>
      <c r="F110" s="11" t="s">
        <v>521</v>
      </c>
      <c r="G110" s="11"/>
      <c r="H110" s="11"/>
    </row>
    <row r="111" spans="1:8" ht="37.5" customHeight="1" x14ac:dyDescent="0.25">
      <c r="A111" s="51" t="str">
        <f t="shared" si="0"/>
        <v>CACIMBA DE DENTRO/EEEF PERRILO DE OLIVEIRA</v>
      </c>
      <c r="B111" s="2">
        <v>13036</v>
      </c>
      <c r="C111" s="52" t="s">
        <v>518</v>
      </c>
      <c r="D111" s="27" t="s">
        <v>519</v>
      </c>
      <c r="E111" s="11" t="s">
        <v>522</v>
      </c>
      <c r="F111" s="11" t="s">
        <v>523</v>
      </c>
      <c r="G111" s="11"/>
      <c r="H111" s="11"/>
    </row>
    <row r="112" spans="1:8" ht="37.5" customHeight="1" x14ac:dyDescent="0.25">
      <c r="A112" s="51" t="str">
        <f t="shared" si="0"/>
        <v>CACIMBA DE DENTRO/EEEFMN PEDRO TARGINO DA COSTA MOREIRA</v>
      </c>
      <c r="B112" s="2">
        <v>13036</v>
      </c>
      <c r="C112" s="52" t="s">
        <v>518</v>
      </c>
      <c r="D112" s="11" t="s">
        <v>519</v>
      </c>
      <c r="E112" s="11" t="s">
        <v>524</v>
      </c>
      <c r="F112" s="11" t="s">
        <v>525</v>
      </c>
      <c r="G112" s="11"/>
      <c r="H112" s="11"/>
    </row>
    <row r="113" spans="1:8" ht="37.5" customHeight="1" x14ac:dyDescent="0.25">
      <c r="A113" s="51" t="str">
        <f t="shared" si="0"/>
        <v>CACIMBA DE DENTRO/ECI SENADOR HUMBERTO LUCENA</v>
      </c>
      <c r="B113" s="2">
        <v>13036</v>
      </c>
      <c r="C113" s="52" t="s">
        <v>518</v>
      </c>
      <c r="D113" s="11" t="s">
        <v>519</v>
      </c>
      <c r="E113" s="11" t="s">
        <v>526</v>
      </c>
      <c r="F113" s="11" t="s">
        <v>527</v>
      </c>
      <c r="G113" s="11"/>
      <c r="H113" s="11"/>
    </row>
    <row r="114" spans="1:8" ht="37.5" customHeight="1" x14ac:dyDescent="0.25">
      <c r="A114" s="51" t="str">
        <f t="shared" si="0"/>
        <v>CACIMBAS/ASSOCIACAO QUILOMBO SERRA FEIA</v>
      </c>
      <c r="B114" s="2">
        <v>13183</v>
      </c>
      <c r="C114" s="52" t="s">
        <v>528</v>
      </c>
      <c r="D114" s="11" t="s">
        <v>529</v>
      </c>
      <c r="E114" s="11" t="s">
        <v>530</v>
      </c>
      <c r="F114" s="11" t="s">
        <v>531</v>
      </c>
      <c r="G114" s="11"/>
      <c r="H114" s="11"/>
    </row>
    <row r="115" spans="1:8" ht="37.5" customHeight="1" x14ac:dyDescent="0.25">
      <c r="A115" s="51" t="str">
        <f t="shared" si="0"/>
        <v>CACIMBAS/ESCOLA MUNICIPAL JOAQUIM ALVES</v>
      </c>
      <c r="B115" s="2">
        <v>13183</v>
      </c>
      <c r="C115" s="52" t="s">
        <v>528</v>
      </c>
      <c r="D115" s="11" t="s">
        <v>529</v>
      </c>
      <c r="E115" s="11" t="s">
        <v>532</v>
      </c>
      <c r="F115" s="11" t="s">
        <v>533</v>
      </c>
      <c r="G115" s="11"/>
      <c r="H115" s="11"/>
    </row>
    <row r="116" spans="1:8" ht="37.5" customHeight="1" x14ac:dyDescent="0.25">
      <c r="A116" s="51" t="str">
        <f t="shared" si="0"/>
        <v>CAIÇARA/EEEF DRº JOÃO SOARES</v>
      </c>
      <c r="B116" s="2">
        <v>13037</v>
      </c>
      <c r="C116" s="52" t="s">
        <v>534</v>
      </c>
      <c r="D116" s="11" t="s">
        <v>535</v>
      </c>
      <c r="E116" s="11" t="s">
        <v>536</v>
      </c>
      <c r="F116" s="11" t="s">
        <v>537</v>
      </c>
      <c r="G116" s="11"/>
      <c r="H116" s="11"/>
    </row>
    <row r="117" spans="1:8" ht="37.5" customHeight="1" x14ac:dyDescent="0.25">
      <c r="A117" s="51" t="str">
        <f t="shared" si="0"/>
        <v>CAJAZEIRAS/EEEFM CRISTIANO CARTAXO</v>
      </c>
      <c r="B117" s="2">
        <v>13038</v>
      </c>
      <c r="C117" s="52" t="s">
        <v>36</v>
      </c>
      <c r="D117" s="11" t="s">
        <v>538</v>
      </c>
      <c r="E117" s="11" t="s">
        <v>539</v>
      </c>
      <c r="F117" s="11" t="s">
        <v>540</v>
      </c>
      <c r="G117" s="11"/>
      <c r="H117" s="11"/>
    </row>
    <row r="118" spans="1:8" ht="37.5" customHeight="1" x14ac:dyDescent="0.25">
      <c r="A118" s="51" t="str">
        <f t="shared" si="0"/>
        <v>CAJAZEIRAS/ECIT CRISTIANO CARTAXO</v>
      </c>
      <c r="B118" s="2">
        <v>13038</v>
      </c>
      <c r="C118" s="52" t="s">
        <v>36</v>
      </c>
      <c r="D118" s="11" t="s">
        <v>538</v>
      </c>
      <c r="E118" s="11" t="s">
        <v>541</v>
      </c>
      <c r="F118" s="11" t="s">
        <v>542</v>
      </c>
      <c r="G118" s="11"/>
      <c r="H118" s="11"/>
    </row>
    <row r="119" spans="1:8" ht="37.5" customHeight="1" x14ac:dyDescent="0.25">
      <c r="A119" s="51" t="str">
        <f t="shared" si="0"/>
        <v>CAJAZEIRAS/ECIT NICEIA CLAUDINO</v>
      </c>
      <c r="B119" s="2">
        <v>13038</v>
      </c>
      <c r="C119" s="52" t="s">
        <v>36</v>
      </c>
      <c r="D119" s="11" t="s">
        <v>538</v>
      </c>
      <c r="E119" s="11" t="s">
        <v>543</v>
      </c>
      <c r="F119" s="11" t="s">
        <v>544</v>
      </c>
      <c r="G119" s="11"/>
      <c r="H119" s="11"/>
    </row>
    <row r="120" spans="1:8" ht="37.5" customHeight="1" x14ac:dyDescent="0.25">
      <c r="A120" s="51" t="str">
        <f t="shared" si="0"/>
        <v>CAJAZEIRAS/EEEFM MONSENHOR CONSTANTINO VIEIRA</v>
      </c>
      <c r="B120" s="2">
        <v>13038</v>
      </c>
      <c r="C120" s="52" t="s">
        <v>36</v>
      </c>
      <c r="D120" s="11" t="s">
        <v>538</v>
      </c>
      <c r="E120" s="11" t="s">
        <v>545</v>
      </c>
      <c r="F120" s="11" t="s">
        <v>546</v>
      </c>
      <c r="G120" s="11"/>
      <c r="H120" s="11"/>
    </row>
    <row r="121" spans="1:8" ht="37.5" customHeight="1" x14ac:dyDescent="0.25">
      <c r="A121" s="51" t="str">
        <f t="shared" si="0"/>
        <v>CAJAZEIRAS/EEEFM MONS CONSTANTINO VIEIRA</v>
      </c>
      <c r="B121" s="2">
        <v>13038</v>
      </c>
      <c r="C121" s="52" t="s">
        <v>36</v>
      </c>
      <c r="D121" s="11" t="s">
        <v>538</v>
      </c>
      <c r="E121" s="11" t="s">
        <v>547</v>
      </c>
      <c r="F121" s="11" t="s">
        <v>548</v>
      </c>
      <c r="G121" s="11"/>
      <c r="H121" s="11"/>
    </row>
    <row r="122" spans="1:8" ht="37.5" customHeight="1" x14ac:dyDescent="0.25">
      <c r="A122" s="51" t="str">
        <f t="shared" si="0"/>
        <v>CAJAZEIRAS/ECIT PROFA. NICÉA CLAUDINO PINHEIRO</v>
      </c>
      <c r="B122" s="2">
        <v>13038</v>
      </c>
      <c r="C122" s="52" t="s">
        <v>36</v>
      </c>
      <c r="D122" s="11" t="s">
        <v>538</v>
      </c>
      <c r="E122" s="11" t="s">
        <v>549</v>
      </c>
      <c r="F122" s="11" t="s">
        <v>550</v>
      </c>
      <c r="G122" s="11"/>
      <c r="H122" s="11"/>
    </row>
    <row r="123" spans="1:8" ht="37.5" customHeight="1" x14ac:dyDescent="0.25">
      <c r="A123" s="51" t="str">
        <f t="shared" si="0"/>
        <v>CAJAZEIRAS/ECIEFM PROF. CRISPIM COELHO</v>
      </c>
      <c r="B123" s="2">
        <v>13038</v>
      </c>
      <c r="C123" s="52" t="s">
        <v>36</v>
      </c>
      <c r="D123" s="11" t="s">
        <v>538</v>
      </c>
      <c r="E123" s="11" t="s">
        <v>551</v>
      </c>
      <c r="F123" s="11" t="s">
        <v>552</v>
      </c>
      <c r="G123" s="11"/>
      <c r="H123" s="11"/>
    </row>
    <row r="124" spans="1:8" ht="37.5" customHeight="1" x14ac:dyDescent="0.25">
      <c r="A124" s="51" t="str">
        <f t="shared" si="0"/>
        <v>CAJAZEIRAS/EEEF DOM MOISES COELHO</v>
      </c>
      <c r="B124" s="2">
        <v>13038</v>
      </c>
      <c r="C124" s="52" t="s">
        <v>36</v>
      </c>
      <c r="D124" s="11" t="s">
        <v>538</v>
      </c>
      <c r="E124" s="11" t="s">
        <v>553</v>
      </c>
      <c r="F124" s="11" t="s">
        <v>554</v>
      </c>
      <c r="G124" s="11"/>
      <c r="H124" s="11"/>
    </row>
    <row r="125" spans="1:8" ht="37.5" customHeight="1" x14ac:dyDescent="0.25">
      <c r="A125" s="51" t="str">
        <f t="shared" si="0"/>
        <v>CAJAZEIRAS/ECIT NICEA CLAUDINO PINHEIRO</v>
      </c>
      <c r="B125" s="2">
        <v>13038</v>
      </c>
      <c r="C125" s="52" t="s">
        <v>36</v>
      </c>
      <c r="D125" s="11" t="s">
        <v>538</v>
      </c>
      <c r="E125" s="11" t="s">
        <v>555</v>
      </c>
      <c r="F125" s="11" t="s">
        <v>556</v>
      </c>
      <c r="G125" s="11"/>
      <c r="H125" s="11"/>
    </row>
    <row r="126" spans="1:8" ht="37.5" customHeight="1" x14ac:dyDescent="0.25">
      <c r="A126" s="51" t="str">
        <f t="shared" si="0"/>
        <v>CAJAZEIRAS/EMEIEF ANTONIO DE SOUZA DIAS</v>
      </c>
      <c r="B126" s="2">
        <v>13038</v>
      </c>
      <c r="C126" s="52" t="s">
        <v>36</v>
      </c>
      <c r="D126" s="11" t="s">
        <v>538</v>
      </c>
      <c r="E126" s="11" t="s">
        <v>557</v>
      </c>
      <c r="F126" s="11" t="s">
        <v>558</v>
      </c>
      <c r="G126" s="11"/>
      <c r="H126" s="11"/>
    </row>
    <row r="127" spans="1:8" ht="37.5" customHeight="1" x14ac:dyDescent="0.25">
      <c r="A127" s="51" t="str">
        <f t="shared" si="0"/>
        <v>CAJAZEIRINHAS/CAJAZEIRINHAS - 13184.01 - JOSÉ ELISEU DE ALMEIDA, S/N, CENTRO</v>
      </c>
      <c r="B127" s="2">
        <v>13184</v>
      </c>
      <c r="C127" s="52" t="s">
        <v>559</v>
      </c>
      <c r="D127" s="11" t="s">
        <v>560</v>
      </c>
      <c r="E127" s="11" t="s">
        <v>561</v>
      </c>
      <c r="F127" s="11" t="s">
        <v>562</v>
      </c>
      <c r="G127" s="11"/>
      <c r="H127" s="11"/>
    </row>
    <row r="128" spans="1:8" ht="37.5" customHeight="1" x14ac:dyDescent="0.25">
      <c r="A128" s="51" t="str">
        <f t="shared" si="0"/>
        <v>CAJAZEIRINHAS/CENTRO PROFISSIONALIZANTE DE GERACAO DE RENDA GILMARCOS SANTANA DUTRA</v>
      </c>
      <c r="B128" s="2">
        <v>13184</v>
      </c>
      <c r="C128" s="52" t="s">
        <v>559</v>
      </c>
      <c r="D128" s="27" t="s">
        <v>560</v>
      </c>
      <c r="E128" s="11" t="s">
        <v>563</v>
      </c>
      <c r="F128" s="11" t="s">
        <v>564</v>
      </c>
      <c r="G128" s="11"/>
      <c r="H128" s="11"/>
    </row>
    <row r="129" spans="1:8" ht="37.5" customHeight="1" x14ac:dyDescent="0.25">
      <c r="A129" s="51" t="str">
        <f t="shared" si="0"/>
        <v>CAJAZEIRINHAS/ECI MARIA SOLEDADE ASSIS FREITAS</v>
      </c>
      <c r="B129" s="2">
        <v>13184</v>
      </c>
      <c r="C129" s="52" t="s">
        <v>559</v>
      </c>
      <c r="D129" s="27" t="s">
        <v>560</v>
      </c>
      <c r="E129" s="11" t="s">
        <v>565</v>
      </c>
      <c r="F129" s="11" t="s">
        <v>566</v>
      </c>
      <c r="G129" s="11"/>
      <c r="H129" s="11"/>
    </row>
    <row r="130" spans="1:8" ht="37.5" customHeight="1" x14ac:dyDescent="0.25">
      <c r="A130" s="51" t="str">
        <f t="shared" si="0"/>
        <v>CAMALAÚ/ECIT "PEDRO BEZERRA FILHO"</v>
      </c>
      <c r="B130" s="2">
        <v>13040</v>
      </c>
      <c r="C130" s="52" t="s">
        <v>567</v>
      </c>
      <c r="D130" s="11" t="s">
        <v>568</v>
      </c>
      <c r="E130" s="11" t="s">
        <v>569</v>
      </c>
      <c r="F130" s="11" t="s">
        <v>570</v>
      </c>
      <c r="G130" s="11"/>
      <c r="H130" s="11"/>
    </row>
    <row r="131" spans="1:8" ht="37.5" customHeight="1" x14ac:dyDescent="0.25">
      <c r="A131" s="51" t="str">
        <f t="shared" si="0"/>
        <v>CAMALAÚ/ECIT PEDRO BEZERRA FILHO</v>
      </c>
      <c r="B131" s="2">
        <v>13040</v>
      </c>
      <c r="C131" s="52" t="s">
        <v>567</v>
      </c>
      <c r="D131" s="11" t="s">
        <v>568</v>
      </c>
      <c r="E131" s="11" t="s">
        <v>571</v>
      </c>
      <c r="F131" s="11" t="s">
        <v>572</v>
      </c>
      <c r="G131" s="11"/>
      <c r="H131" s="11"/>
    </row>
    <row r="132" spans="1:8" ht="37.5" customHeight="1" x14ac:dyDescent="0.25">
      <c r="A132" s="51" t="str">
        <f t="shared" si="0"/>
        <v>CAMPINA GRANDE/ENE PADRE EMIDIO VIANA CORREIA</v>
      </c>
      <c r="B132" s="2">
        <v>13041</v>
      </c>
      <c r="C132" s="52" t="s">
        <v>38</v>
      </c>
      <c r="D132" s="11" t="s">
        <v>573</v>
      </c>
      <c r="E132" s="11" t="s">
        <v>574</v>
      </c>
      <c r="F132" s="11" t="s">
        <v>575</v>
      </c>
      <c r="G132" s="11"/>
      <c r="H132" s="11"/>
    </row>
    <row r="133" spans="1:8" ht="37.5" customHeight="1" x14ac:dyDescent="0.25">
      <c r="A133" s="51" t="str">
        <f t="shared" si="0"/>
        <v>CAMPINA GRANDE/ECI NENZINHA CUNHA LIMA</v>
      </c>
      <c r="B133" s="2">
        <v>13041</v>
      </c>
      <c r="C133" s="52" t="s">
        <v>38</v>
      </c>
      <c r="D133" s="11" t="s">
        <v>573</v>
      </c>
      <c r="E133" s="11" t="s">
        <v>576</v>
      </c>
      <c r="F133" s="11" t="s">
        <v>577</v>
      </c>
      <c r="G133" s="11"/>
      <c r="H133" s="11"/>
    </row>
    <row r="134" spans="1:8" ht="37.5" customHeight="1" x14ac:dyDescent="0.25">
      <c r="A134" s="51" t="str">
        <f t="shared" si="0"/>
        <v>CAMPINA GRANDE/ECIT BRAULIO MAIA JUNIOR</v>
      </c>
      <c r="B134" s="2">
        <v>13041</v>
      </c>
      <c r="C134" s="52" t="s">
        <v>38</v>
      </c>
      <c r="D134" s="11" t="s">
        <v>573</v>
      </c>
      <c r="E134" s="11" t="s">
        <v>578</v>
      </c>
      <c r="F134" s="11" t="s">
        <v>579</v>
      </c>
      <c r="G134" s="11"/>
      <c r="H134" s="11"/>
    </row>
    <row r="135" spans="1:8" ht="37.5" customHeight="1" x14ac:dyDescent="0.25">
      <c r="A135" s="51" t="str">
        <f t="shared" si="0"/>
        <v>CAMPINA GRANDE/CLUBE DE MÃES IRACEMA DA SILVA GOMES</v>
      </c>
      <c r="B135" s="2">
        <v>13041</v>
      </c>
      <c r="C135" s="52" t="s">
        <v>38</v>
      </c>
      <c r="D135" s="27" t="s">
        <v>573</v>
      </c>
      <c r="E135" s="11" t="s">
        <v>580</v>
      </c>
      <c r="F135" s="11" t="s">
        <v>581</v>
      </c>
      <c r="G135" s="11"/>
      <c r="H135" s="11"/>
    </row>
    <row r="136" spans="1:8" ht="37.5" customHeight="1" x14ac:dyDescent="0.25">
      <c r="A136" s="51" t="str">
        <f t="shared" si="0"/>
        <v>CAMPINA GRANDE/ECI MONTE CARMELO</v>
      </c>
      <c r="B136" s="2">
        <v>13041</v>
      </c>
      <c r="C136" s="52" t="s">
        <v>38</v>
      </c>
      <c r="D136" s="11" t="s">
        <v>573</v>
      </c>
      <c r="E136" s="11" t="s">
        <v>582</v>
      </c>
      <c r="F136" s="11" t="s">
        <v>583</v>
      </c>
      <c r="G136" s="11"/>
      <c r="H136" s="11"/>
    </row>
    <row r="137" spans="1:8" ht="37.5" customHeight="1" x14ac:dyDescent="0.25">
      <c r="A137" s="51" t="str">
        <f t="shared" si="0"/>
        <v>CAMPINA GRANDE/ECI RAUL CORDULA</v>
      </c>
      <c r="B137" s="2">
        <v>13041</v>
      </c>
      <c r="C137" s="52" t="s">
        <v>38</v>
      </c>
      <c r="D137" s="11" t="s">
        <v>573</v>
      </c>
      <c r="E137" s="11" t="s">
        <v>584</v>
      </c>
      <c r="F137" s="11" t="s">
        <v>585</v>
      </c>
      <c r="G137" s="11"/>
      <c r="H137" s="11"/>
    </row>
    <row r="138" spans="1:8" ht="37.5" customHeight="1" x14ac:dyDescent="0.25">
      <c r="A138" s="51" t="str">
        <f t="shared" si="0"/>
        <v>CAMPINA GRANDE/EEEFM MAJOR VENEZIANO VITAL DO REGO</v>
      </c>
      <c r="B138" s="2">
        <v>13041</v>
      </c>
      <c r="C138" s="52" t="s">
        <v>38</v>
      </c>
      <c r="D138" s="11" t="s">
        <v>573</v>
      </c>
      <c r="E138" s="11" t="s">
        <v>586</v>
      </c>
      <c r="F138" s="11" t="s">
        <v>587</v>
      </c>
      <c r="G138" s="11"/>
      <c r="H138" s="11"/>
    </row>
    <row r="139" spans="1:8" ht="37.5" customHeight="1" x14ac:dyDescent="0.25">
      <c r="A139" s="51" t="str">
        <f t="shared" si="0"/>
        <v>CAMPINA GRANDE/EEEFM SENADOR HUMBERTO LUCENA</v>
      </c>
      <c r="B139" s="2">
        <v>13041</v>
      </c>
      <c r="C139" s="52" t="s">
        <v>38</v>
      </c>
      <c r="D139" s="27" t="s">
        <v>573</v>
      </c>
      <c r="E139" s="11" t="s">
        <v>588</v>
      </c>
      <c r="F139" s="11" t="s">
        <v>589</v>
      </c>
      <c r="G139" s="11"/>
      <c r="H139" s="11"/>
    </row>
    <row r="140" spans="1:8" ht="37.5" customHeight="1" x14ac:dyDescent="0.25">
      <c r="A140" s="51" t="str">
        <f t="shared" si="0"/>
        <v>CAMPINA GRANDE/ECIT PROF. ANÉSIO LEÃO</v>
      </c>
      <c r="B140" s="2">
        <v>13041</v>
      </c>
      <c r="C140" s="52" t="s">
        <v>38</v>
      </c>
      <c r="D140" s="11" t="s">
        <v>573</v>
      </c>
      <c r="E140" s="11" t="s">
        <v>590</v>
      </c>
      <c r="F140" s="11" t="s">
        <v>591</v>
      </c>
      <c r="G140" s="11"/>
      <c r="H140" s="11"/>
    </row>
    <row r="141" spans="1:8" ht="37.5" customHeight="1" x14ac:dyDescent="0.25">
      <c r="A141" s="51" t="str">
        <f t="shared" si="0"/>
        <v>CAMPINA GRANDE/ECIT DR. ELPÍDIO DE ALMEIDA</v>
      </c>
      <c r="B141" s="2">
        <v>13041</v>
      </c>
      <c r="C141" s="52" t="s">
        <v>38</v>
      </c>
      <c r="D141" s="11" t="s">
        <v>573</v>
      </c>
      <c r="E141" s="11" t="s">
        <v>592</v>
      </c>
      <c r="F141" s="11" t="s">
        <v>593</v>
      </c>
      <c r="G141" s="11"/>
      <c r="H141" s="11"/>
    </row>
    <row r="142" spans="1:8" ht="37.5" customHeight="1" x14ac:dyDescent="0.25">
      <c r="A142" s="51" t="str">
        <f t="shared" si="0"/>
        <v>CAMPINA GRANDE/ECIT PROF. BRÁULIO MAIA JÚNIOR</v>
      </c>
      <c r="B142" s="2">
        <v>13041</v>
      </c>
      <c r="C142" s="52" t="s">
        <v>38</v>
      </c>
      <c r="D142" s="11" t="s">
        <v>573</v>
      </c>
      <c r="E142" s="11" t="s">
        <v>594</v>
      </c>
      <c r="F142" s="11" t="s">
        <v>595</v>
      </c>
      <c r="G142" s="11"/>
      <c r="H142" s="11"/>
    </row>
    <row r="143" spans="1:8" ht="37.5" customHeight="1" x14ac:dyDescent="0.25">
      <c r="A143" s="51" t="str">
        <f t="shared" si="0"/>
        <v>CAMPINA GRANDE/ECIT NENZINHA CUNHA LIMA</v>
      </c>
      <c r="B143" s="2">
        <v>13041</v>
      </c>
      <c r="C143" s="52" t="s">
        <v>38</v>
      </c>
      <c r="D143" s="11" t="s">
        <v>573</v>
      </c>
      <c r="E143" s="11" t="s">
        <v>596</v>
      </c>
      <c r="F143" s="11" t="s">
        <v>597</v>
      </c>
      <c r="G143" s="11"/>
      <c r="H143" s="11"/>
    </row>
    <row r="144" spans="1:8" ht="37.5" customHeight="1" x14ac:dyDescent="0.25">
      <c r="A144" s="51" t="str">
        <f t="shared" si="0"/>
        <v>CAMPINA GRANDE/SÍTIO LUCAS, 2034. ZONA RURAL</v>
      </c>
      <c r="B144" s="2">
        <v>13041</v>
      </c>
      <c r="C144" s="52" t="s">
        <v>38</v>
      </c>
      <c r="D144" s="11" t="s">
        <v>573</v>
      </c>
      <c r="E144" s="11" t="s">
        <v>598</v>
      </c>
      <c r="F144" s="11" t="s">
        <v>599</v>
      </c>
      <c r="G144" s="11"/>
      <c r="H144" s="11"/>
    </row>
    <row r="145" spans="1:8" ht="37.5" customHeight="1" x14ac:dyDescent="0.25">
      <c r="A145" s="51" t="str">
        <f t="shared" si="0"/>
        <v>CAMPINA GRANDE/ECIT PROF. RAUL CÓRDULA</v>
      </c>
      <c r="B145" s="2">
        <v>13041</v>
      </c>
      <c r="C145" s="52" t="s">
        <v>38</v>
      </c>
      <c r="D145" s="27" t="s">
        <v>573</v>
      </c>
      <c r="E145" s="11" t="s">
        <v>600</v>
      </c>
      <c r="F145" s="11" t="s">
        <v>601</v>
      </c>
      <c r="G145" s="11"/>
      <c r="H145" s="11"/>
    </row>
    <row r="146" spans="1:8" ht="37.5" customHeight="1" x14ac:dyDescent="0.25">
      <c r="A146" s="51" t="str">
        <f t="shared" si="0"/>
        <v>CAMPINA GRANDE/EEEFM SEN ARGEMIRO DE FIGUEIREDO</v>
      </c>
      <c r="B146" s="2">
        <v>13041</v>
      </c>
      <c r="C146" s="52" t="s">
        <v>38</v>
      </c>
      <c r="D146" s="27" t="s">
        <v>573</v>
      </c>
      <c r="E146" s="11" t="s">
        <v>40</v>
      </c>
      <c r="F146" s="11" t="s">
        <v>602</v>
      </c>
      <c r="G146" s="11"/>
      <c r="H146" s="11"/>
    </row>
    <row r="147" spans="1:8" ht="37.5" customHeight="1" x14ac:dyDescent="0.25">
      <c r="A147" s="51" t="str">
        <f t="shared" si="0"/>
        <v>CAMPINA GRANDE/EEEFM ADEMAR VELOSO SILVEIRA</v>
      </c>
      <c r="B147" s="2">
        <v>13041</v>
      </c>
      <c r="C147" s="52" t="s">
        <v>38</v>
      </c>
      <c r="D147" s="27" t="s">
        <v>573</v>
      </c>
      <c r="E147" s="11" t="s">
        <v>603</v>
      </c>
      <c r="F147" s="11" t="s">
        <v>604</v>
      </c>
      <c r="G147" s="11"/>
      <c r="H147" s="11"/>
    </row>
    <row r="148" spans="1:8" ht="37.5" customHeight="1" x14ac:dyDescent="0.25">
      <c r="A148" s="51" t="str">
        <f t="shared" si="0"/>
        <v>CAMPINA GRANDE/EEEFM CLEMENTINO PROCOPIO</v>
      </c>
      <c r="B148" s="2">
        <v>13041</v>
      </c>
      <c r="C148" s="52" t="s">
        <v>38</v>
      </c>
      <c r="D148" s="11" t="s">
        <v>573</v>
      </c>
      <c r="E148" s="11" t="s">
        <v>605</v>
      </c>
      <c r="F148" s="11" t="s">
        <v>606</v>
      </c>
      <c r="G148" s="11"/>
      <c r="H148" s="11"/>
    </row>
    <row r="149" spans="1:8" ht="37.5" customHeight="1" x14ac:dyDescent="0.25">
      <c r="A149" s="51" t="str">
        <f t="shared" si="0"/>
        <v>CAMPINA GRANDE/EEEFM POETA CARLOS DRUMOND DE ANDRADE</v>
      </c>
      <c r="B149" s="2">
        <v>13041</v>
      </c>
      <c r="C149" s="52" t="s">
        <v>38</v>
      </c>
      <c r="D149" s="11" t="s">
        <v>573</v>
      </c>
      <c r="E149" s="11" t="s">
        <v>607</v>
      </c>
      <c r="F149" s="11" t="s">
        <v>608</v>
      </c>
      <c r="G149" s="11"/>
      <c r="H149" s="11"/>
    </row>
    <row r="150" spans="1:8" ht="37.5" customHeight="1" x14ac:dyDescent="0.25">
      <c r="A150" s="51" t="str">
        <f t="shared" si="0"/>
        <v>CAMPINA GRANDE/EEEFM POETISA VICENTINA FIGUEIREDO VITAL DO REGO</v>
      </c>
      <c r="B150" s="2">
        <v>13041</v>
      </c>
      <c r="C150" s="52" t="s">
        <v>38</v>
      </c>
      <c r="D150" s="11" t="s">
        <v>573</v>
      </c>
      <c r="E150" s="11" t="s">
        <v>609</v>
      </c>
      <c r="F150" s="11" t="s">
        <v>610</v>
      </c>
      <c r="G150" s="11"/>
      <c r="H150" s="11"/>
    </row>
    <row r="151" spans="1:8" ht="37.5" customHeight="1" x14ac:dyDescent="0.25">
      <c r="A151" s="51" t="str">
        <f t="shared" si="0"/>
        <v>CAMPINA GRANDE/PENITENCIÁRIA PADRÃO DE CAMPINA GRANDE</v>
      </c>
      <c r="B151" s="2">
        <v>13041</v>
      </c>
      <c r="C151" s="52" t="s">
        <v>38</v>
      </c>
      <c r="D151" s="11" t="s">
        <v>573</v>
      </c>
      <c r="E151" s="11" t="s">
        <v>611</v>
      </c>
      <c r="F151" s="11" t="s">
        <v>612</v>
      </c>
      <c r="G151" s="11"/>
      <c r="H151" s="11"/>
    </row>
    <row r="152" spans="1:8" ht="37.5" customHeight="1" x14ac:dyDescent="0.25">
      <c r="A152" s="51" t="str">
        <f t="shared" si="0"/>
        <v>CAMPINA GRANDE/PENITENCIÁRIA RAIMUNDO ASFORA</v>
      </c>
      <c r="B152" s="2">
        <v>13041</v>
      </c>
      <c r="C152" s="52" t="s">
        <v>38</v>
      </c>
      <c r="D152" s="11" t="s">
        <v>573</v>
      </c>
      <c r="E152" s="11" t="s">
        <v>613</v>
      </c>
      <c r="F152" s="11" t="s">
        <v>614</v>
      </c>
      <c r="G152" s="11"/>
      <c r="H152" s="11"/>
    </row>
    <row r="153" spans="1:8" ht="37.5" customHeight="1" x14ac:dyDescent="0.25">
      <c r="A153" s="51" t="str">
        <f t="shared" si="0"/>
        <v>CAMPINA GRANDE/ENE PE EMIDIO VIANA CORREIA</v>
      </c>
      <c r="B153" s="2">
        <v>13041</v>
      </c>
      <c r="C153" s="52" t="s">
        <v>38</v>
      </c>
      <c r="D153" s="11" t="s">
        <v>573</v>
      </c>
      <c r="E153" s="11" t="s">
        <v>615</v>
      </c>
      <c r="F153" s="11" t="s">
        <v>616</v>
      </c>
      <c r="G153" s="11"/>
      <c r="H153" s="11"/>
    </row>
    <row r="154" spans="1:8" ht="37.5" customHeight="1" x14ac:dyDescent="0.25">
      <c r="A154" s="51" t="str">
        <f t="shared" si="0"/>
        <v>CAPIM/ECI. E. JOSE WILSON A. MELO</v>
      </c>
      <c r="B154" s="2">
        <v>13185</v>
      </c>
      <c r="C154" s="52" t="s">
        <v>617</v>
      </c>
      <c r="D154" s="27" t="s">
        <v>618</v>
      </c>
      <c r="E154" s="11" t="s">
        <v>619</v>
      </c>
      <c r="F154" s="11" t="s">
        <v>620</v>
      </c>
      <c r="G154" s="11"/>
      <c r="H154" s="11"/>
    </row>
    <row r="155" spans="1:8" ht="37.5" customHeight="1" x14ac:dyDescent="0.25">
      <c r="A155" s="51" t="str">
        <f t="shared" si="0"/>
        <v>CAPIM/ESCOLA MUNICIPAL DEP. JOAO FERNANDES DE LIMA</v>
      </c>
      <c r="B155" s="2">
        <v>13185</v>
      </c>
      <c r="C155" s="52" t="s">
        <v>617</v>
      </c>
      <c r="D155" s="27" t="s">
        <v>618</v>
      </c>
      <c r="E155" s="11" t="s">
        <v>621</v>
      </c>
      <c r="F155" s="11" t="s">
        <v>622</v>
      </c>
      <c r="G155" s="11"/>
      <c r="H155" s="11"/>
    </row>
    <row r="156" spans="1:8" ht="37.5" customHeight="1" x14ac:dyDescent="0.25">
      <c r="A156" s="51" t="str">
        <f t="shared" si="0"/>
        <v>CARRAPATEIRA/CARRAPATEIRA - 13042.01 - RUA JOEL PEREIRA, Nº 46, CENTRO</v>
      </c>
      <c r="B156" s="2">
        <v>13042</v>
      </c>
      <c r="C156" s="52" t="s">
        <v>623</v>
      </c>
      <c r="D156" s="27" t="s">
        <v>624</v>
      </c>
      <c r="E156" s="11" t="s">
        <v>625</v>
      </c>
      <c r="F156" s="11" t="s">
        <v>626</v>
      </c>
      <c r="G156" s="11"/>
      <c r="H156" s="11"/>
    </row>
    <row r="157" spans="1:8" ht="37.5" customHeight="1" x14ac:dyDescent="0.25">
      <c r="A157" s="51" t="str">
        <f t="shared" si="0"/>
        <v>CARRAPATEIRA/EMEF ANTONIO GALDINO DA SILVA</v>
      </c>
      <c r="B157" s="2">
        <v>13042</v>
      </c>
      <c r="C157" s="52" t="s">
        <v>623</v>
      </c>
      <c r="D157" s="27" t="s">
        <v>624</v>
      </c>
      <c r="E157" s="11" t="s">
        <v>627</v>
      </c>
      <c r="F157" s="11" t="s">
        <v>628</v>
      </c>
      <c r="G157" s="11"/>
      <c r="H157" s="11"/>
    </row>
    <row r="158" spans="1:8" ht="37.5" customHeight="1" x14ac:dyDescent="0.25">
      <c r="A158" s="51" t="str">
        <f t="shared" si="0"/>
        <v>CASSERENGUE/EMEF FERNANDO MACENA DA SILVA</v>
      </c>
      <c r="B158" s="2">
        <v>13187</v>
      </c>
      <c r="C158" s="52" t="s">
        <v>629</v>
      </c>
      <c r="D158" s="27" t="s">
        <v>630</v>
      </c>
      <c r="E158" s="11" t="s">
        <v>631</v>
      </c>
      <c r="F158" s="11" t="s">
        <v>632</v>
      </c>
      <c r="G158" s="11"/>
      <c r="H158" s="11"/>
    </row>
    <row r="159" spans="1:8" ht="37.5" customHeight="1" x14ac:dyDescent="0.25">
      <c r="A159" s="51" t="str">
        <f t="shared" si="0"/>
        <v>CASSERENGUE/AUDITORIO DA ESCOLA FERNANDO MACENA</v>
      </c>
      <c r="B159" s="1">
        <v>13187</v>
      </c>
      <c r="C159" s="27" t="s">
        <v>629</v>
      </c>
      <c r="D159" s="27" t="s">
        <v>630</v>
      </c>
      <c r="E159" s="27" t="s">
        <v>633</v>
      </c>
      <c r="F159" s="27" t="s">
        <v>634</v>
      </c>
      <c r="G159" s="11"/>
      <c r="H159" s="11"/>
    </row>
    <row r="160" spans="1:8" ht="37.5" customHeight="1" x14ac:dyDescent="0.25">
      <c r="A160" s="51" t="str">
        <f t="shared" si="0"/>
        <v>CATINGUEIRA/CATINGUEIRA - 13043.01 - Av: Brasiliano Lopes Loureiro , S/N</v>
      </c>
      <c r="B160" s="2">
        <v>13043</v>
      </c>
      <c r="C160" s="52" t="s">
        <v>635</v>
      </c>
      <c r="D160" s="27" t="s">
        <v>636</v>
      </c>
      <c r="E160" s="11" t="s">
        <v>637</v>
      </c>
      <c r="F160" s="11" t="s">
        <v>638</v>
      </c>
      <c r="G160" s="11"/>
      <c r="H160" s="11"/>
    </row>
    <row r="161" spans="1:8" ht="37.5" customHeight="1" x14ac:dyDescent="0.25">
      <c r="A161" s="51" t="str">
        <f t="shared" si="0"/>
        <v>CATINGUEIRA/EEEFM INACIO DA CATINGUEIRA</v>
      </c>
      <c r="B161" s="2">
        <v>13043</v>
      </c>
      <c r="C161" s="52" t="s">
        <v>635</v>
      </c>
      <c r="D161" s="27" t="s">
        <v>636</v>
      </c>
      <c r="E161" s="11" t="s">
        <v>639</v>
      </c>
      <c r="F161" s="11" t="s">
        <v>640</v>
      </c>
      <c r="G161" s="11"/>
      <c r="H161" s="11"/>
    </row>
    <row r="162" spans="1:8" ht="37.5" customHeight="1" x14ac:dyDescent="0.25">
      <c r="A162" s="51" t="str">
        <f t="shared" si="0"/>
        <v>CATINGUEIRA/ECIT INACIO DA CATINGUEIRA</v>
      </c>
      <c r="B162" s="2">
        <v>13043</v>
      </c>
      <c r="C162" s="52" t="s">
        <v>635</v>
      </c>
      <c r="D162" s="11" t="s">
        <v>636</v>
      </c>
      <c r="E162" s="11" t="s">
        <v>641</v>
      </c>
      <c r="F162" s="11" t="s">
        <v>642</v>
      </c>
      <c r="G162" s="11"/>
      <c r="H162" s="11"/>
    </row>
    <row r="163" spans="1:8" ht="37.5" customHeight="1" x14ac:dyDescent="0.25">
      <c r="A163" s="51" t="str">
        <f t="shared" si="0"/>
        <v>CATOLÉ DO ROCHA/ECIT OBIDÚLIA DANTAS</v>
      </c>
      <c r="B163" s="2">
        <v>13044</v>
      </c>
      <c r="C163" s="52" t="s">
        <v>643</v>
      </c>
      <c r="D163" s="11" t="s">
        <v>644</v>
      </c>
      <c r="E163" s="11" t="s">
        <v>645</v>
      </c>
      <c r="F163" s="11" t="s">
        <v>646</v>
      </c>
      <c r="G163" s="11"/>
      <c r="H163" s="11"/>
    </row>
    <row r="164" spans="1:8" ht="37.5" customHeight="1" x14ac:dyDescent="0.25">
      <c r="A164" s="51" t="str">
        <f t="shared" si="0"/>
        <v>CATOLÉ DO ROCHA/ECIT OBDÚLIA DANTAS</v>
      </c>
      <c r="B164" s="2">
        <v>13044</v>
      </c>
      <c r="C164" s="52" t="s">
        <v>643</v>
      </c>
      <c r="D164" s="11" t="s">
        <v>644</v>
      </c>
      <c r="E164" s="11" t="s">
        <v>647</v>
      </c>
      <c r="F164" s="11" t="s">
        <v>648</v>
      </c>
      <c r="G164" s="11"/>
      <c r="H164" s="11"/>
    </row>
    <row r="165" spans="1:8" ht="37.5" customHeight="1" x14ac:dyDescent="0.25">
      <c r="A165" s="51" t="str">
        <f t="shared" si="0"/>
        <v>CATOLÉ DO ROCHA/EMEIEF CATARINA DE SOUSA MAIA</v>
      </c>
      <c r="B165" s="2">
        <v>13044</v>
      </c>
      <c r="C165" s="52" t="s">
        <v>643</v>
      </c>
      <c r="D165" s="11" t="s">
        <v>644</v>
      </c>
      <c r="E165" s="11" t="s">
        <v>649</v>
      </c>
      <c r="F165" s="11" t="s">
        <v>650</v>
      </c>
      <c r="G165" s="11"/>
      <c r="H165" s="11"/>
    </row>
    <row r="166" spans="1:8" ht="37.5" customHeight="1" x14ac:dyDescent="0.25">
      <c r="A166" s="51" t="str">
        <f t="shared" si="0"/>
        <v>CATOLÉ DO ROCHA/ESCOLA AGROTECNICA DO CAJUEIRO CAMPUS IV - UEPB</v>
      </c>
      <c r="B166" s="2">
        <v>13044</v>
      </c>
      <c r="C166" s="52" t="s">
        <v>643</v>
      </c>
      <c r="D166" s="27" t="s">
        <v>644</v>
      </c>
      <c r="E166" s="11" t="s">
        <v>651</v>
      </c>
      <c r="F166" s="11" t="s">
        <v>652</v>
      </c>
      <c r="G166" s="11"/>
      <c r="H166" s="11"/>
    </row>
    <row r="167" spans="1:8" ht="37.5" customHeight="1" x14ac:dyDescent="0.25">
      <c r="A167" s="51" t="str">
        <f t="shared" si="0"/>
        <v>CATURITÉ/ESCOLA MUNICIPAL RURAL DE ENSINO FUNDAMENTAL MARIA VERÍSSIMO DE SOUSA</v>
      </c>
      <c r="B167" s="2">
        <v>13188</v>
      </c>
      <c r="C167" s="52" t="s">
        <v>653</v>
      </c>
      <c r="D167" s="27" t="s">
        <v>654</v>
      </c>
      <c r="E167" s="11" t="s">
        <v>655</v>
      </c>
      <c r="F167" s="11" t="s">
        <v>656</v>
      </c>
      <c r="G167" s="11"/>
      <c r="H167" s="11"/>
    </row>
    <row r="168" spans="1:8" ht="37.5" customHeight="1" x14ac:dyDescent="0.25">
      <c r="A168" s="51" t="str">
        <f t="shared" si="0"/>
        <v>CONCEICAO/EEEFM MAESTRO JOSÉ SIQUEIRA</v>
      </c>
      <c r="B168" s="2">
        <v>13045</v>
      </c>
      <c r="C168" s="52" t="s">
        <v>657</v>
      </c>
      <c r="D168" s="27" t="s">
        <v>658</v>
      </c>
      <c r="E168" s="11" t="s">
        <v>659</v>
      </c>
      <c r="F168" s="11" t="s">
        <v>660</v>
      </c>
      <c r="G168" s="11"/>
      <c r="H168" s="11"/>
    </row>
    <row r="169" spans="1:8" ht="37.5" customHeight="1" x14ac:dyDescent="0.25">
      <c r="A169" s="51" t="str">
        <f t="shared" si="0"/>
        <v>CONCEICAO/ECI MAESTRO JOSÉ SIQUEIRA</v>
      </c>
      <c r="B169" s="2">
        <v>13045</v>
      </c>
      <c r="C169" s="52" t="s">
        <v>657</v>
      </c>
      <c r="D169" s="11" t="s">
        <v>658</v>
      </c>
      <c r="E169" s="11" t="s">
        <v>661</v>
      </c>
      <c r="F169" s="11" t="s">
        <v>662</v>
      </c>
      <c r="G169" s="11"/>
      <c r="H169" s="11"/>
    </row>
    <row r="170" spans="1:8" ht="37.5" customHeight="1" x14ac:dyDescent="0.25">
      <c r="A170" s="51" t="str">
        <f t="shared" si="0"/>
        <v>CONCEICAO/EMEF RAIMUNDA LEITE SOBRINHA</v>
      </c>
      <c r="B170" s="2">
        <v>13045</v>
      </c>
      <c r="C170" s="52" t="s">
        <v>657</v>
      </c>
      <c r="D170" s="11" t="s">
        <v>658</v>
      </c>
      <c r="E170" s="11" t="s">
        <v>663</v>
      </c>
      <c r="F170" s="11" t="s">
        <v>664</v>
      </c>
      <c r="G170" s="11"/>
      <c r="H170" s="11"/>
    </row>
    <row r="171" spans="1:8" ht="37.5" customHeight="1" x14ac:dyDescent="0.25">
      <c r="A171" s="51" t="str">
        <f t="shared" si="0"/>
        <v>CONCEICAO/CAPELA DE SANTO ANTONIO</v>
      </c>
      <c r="B171" s="2">
        <v>13045</v>
      </c>
      <c r="C171" s="52" t="s">
        <v>657</v>
      </c>
      <c r="D171" s="11" t="s">
        <v>658</v>
      </c>
      <c r="E171" s="11" t="s">
        <v>665</v>
      </c>
      <c r="F171" s="11" t="s">
        <v>666</v>
      </c>
      <c r="G171" s="11"/>
      <c r="H171" s="11"/>
    </row>
    <row r="172" spans="1:8" ht="37.5" customHeight="1" x14ac:dyDescent="0.25">
      <c r="A172" s="51" t="str">
        <f t="shared" si="0"/>
        <v>CONCEICAO/ESCOLA ESTADUAL DE ENSINO FUNDAMENTAL JOSE LEITE</v>
      </c>
      <c r="B172" s="2">
        <v>13045</v>
      </c>
      <c r="C172" s="52" t="s">
        <v>657</v>
      </c>
      <c r="D172" s="11" t="s">
        <v>658</v>
      </c>
      <c r="E172" s="27" t="s">
        <v>667</v>
      </c>
      <c r="F172" s="27" t="s">
        <v>668</v>
      </c>
      <c r="G172" s="11"/>
      <c r="H172" s="11"/>
    </row>
    <row r="173" spans="1:8" ht="37.5" customHeight="1" x14ac:dyDescent="0.25">
      <c r="A173" s="51" t="str">
        <f t="shared" si="0"/>
        <v>CONCEICAO/E.M.E.F. RAIMUNDA LEITE SOBRINHA</v>
      </c>
      <c r="B173" s="2">
        <v>13045</v>
      </c>
      <c r="C173" s="52" t="s">
        <v>657</v>
      </c>
      <c r="D173" s="11" t="s">
        <v>658</v>
      </c>
      <c r="E173" s="11" t="s">
        <v>669</v>
      </c>
      <c r="F173" s="11" t="s">
        <v>670</v>
      </c>
      <c r="G173" s="11"/>
      <c r="H173" s="11"/>
    </row>
    <row r="174" spans="1:8" ht="37.5" customHeight="1" x14ac:dyDescent="0.25">
      <c r="A174" s="51" t="str">
        <f t="shared" si="0"/>
        <v>CONDADO/COLÔNIA DE PESCADORES</v>
      </c>
      <c r="B174" s="2">
        <v>13046</v>
      </c>
      <c r="C174" s="52" t="s">
        <v>43</v>
      </c>
      <c r="D174" s="11" t="s">
        <v>671</v>
      </c>
      <c r="E174" s="11" t="s">
        <v>497</v>
      </c>
      <c r="F174" s="11" t="s">
        <v>672</v>
      </c>
      <c r="G174" s="11"/>
      <c r="H174" s="11"/>
    </row>
    <row r="175" spans="1:8" ht="37.5" customHeight="1" x14ac:dyDescent="0.25">
      <c r="A175" s="51" t="str">
        <f t="shared" si="0"/>
        <v>CONDADO/CONDADO - 13046.01 - RUA AGEU DE CASTRO, S/N, CENTRO</v>
      </c>
      <c r="B175" s="2">
        <v>13046</v>
      </c>
      <c r="C175" s="52" t="s">
        <v>43</v>
      </c>
      <c r="D175" s="11" t="s">
        <v>671</v>
      </c>
      <c r="E175" s="11" t="s">
        <v>673</v>
      </c>
      <c r="F175" s="11" t="s">
        <v>674</v>
      </c>
      <c r="G175" s="11"/>
      <c r="H175" s="11"/>
    </row>
    <row r="176" spans="1:8" ht="37.5" customHeight="1" x14ac:dyDescent="0.25">
      <c r="A176" s="51" t="str">
        <f t="shared" si="0"/>
        <v>CONDADO/ESCOLA MUNICIPAL CIPRIANO LINHARES ARAGÃO</v>
      </c>
      <c r="B176" s="2">
        <v>13046</v>
      </c>
      <c r="C176" s="52" t="s">
        <v>43</v>
      </c>
      <c r="D176" s="11" t="s">
        <v>671</v>
      </c>
      <c r="E176" s="11" t="s">
        <v>675</v>
      </c>
      <c r="F176" s="11" t="s">
        <v>676</v>
      </c>
      <c r="G176" s="11"/>
      <c r="H176" s="11"/>
    </row>
    <row r="177" spans="1:8" ht="37.5" customHeight="1" x14ac:dyDescent="0.25">
      <c r="A177" s="51" t="str">
        <f t="shared" si="0"/>
        <v>CONDADO/ECIT DR. TRAJANO PIRES DA NOBREGA</v>
      </c>
      <c r="B177" s="2">
        <v>13046</v>
      </c>
      <c r="C177" s="52" t="s">
        <v>43</v>
      </c>
      <c r="D177" s="11" t="s">
        <v>671</v>
      </c>
      <c r="E177" s="11" t="s">
        <v>44</v>
      </c>
      <c r="F177" s="11" t="s">
        <v>677</v>
      </c>
      <c r="G177" s="11"/>
      <c r="H177" s="11"/>
    </row>
    <row r="178" spans="1:8" ht="37.5" customHeight="1" x14ac:dyDescent="0.25">
      <c r="A178" s="51" t="str">
        <f t="shared" si="0"/>
        <v>CONDE/ECIT PROFª ILZA DE ALMEIDA RIBEIRO</v>
      </c>
      <c r="B178" s="2">
        <v>13047</v>
      </c>
      <c r="C178" s="52" t="s">
        <v>678</v>
      </c>
      <c r="D178" s="27" t="s">
        <v>679</v>
      </c>
      <c r="E178" s="11" t="s">
        <v>680</v>
      </c>
      <c r="F178" s="11" t="s">
        <v>681</v>
      </c>
      <c r="G178" s="11"/>
      <c r="H178" s="11"/>
    </row>
    <row r="179" spans="1:8" ht="37.5" customHeight="1" x14ac:dyDescent="0.25">
      <c r="A179" s="51" t="str">
        <f t="shared" si="0"/>
        <v>CONDE/ECIT LIZA DE ALMEIDA RIBEIRO</v>
      </c>
      <c r="B179" s="2">
        <v>13047</v>
      </c>
      <c r="C179" s="52" t="s">
        <v>678</v>
      </c>
      <c r="D179" s="11" t="s">
        <v>679</v>
      </c>
      <c r="E179" s="11" t="s">
        <v>682</v>
      </c>
      <c r="F179" s="11" t="s">
        <v>683</v>
      </c>
      <c r="G179" s="11"/>
      <c r="H179" s="11"/>
    </row>
    <row r="180" spans="1:8" ht="37.5" customHeight="1" x14ac:dyDescent="0.25">
      <c r="A180" s="51" t="str">
        <f t="shared" si="0"/>
        <v>CONDE/CONDE - 13047.01 - LOTEAMENTO NOSSA SENHORA DAS NEVES, S/N, CENTRO</v>
      </c>
      <c r="B180" s="2">
        <v>13047</v>
      </c>
      <c r="C180" s="52" t="s">
        <v>678</v>
      </c>
      <c r="D180" s="11" t="s">
        <v>679</v>
      </c>
      <c r="E180" s="11" t="s">
        <v>684</v>
      </c>
      <c r="F180" s="11" t="s">
        <v>685</v>
      </c>
      <c r="G180" s="11"/>
      <c r="H180" s="11"/>
    </row>
    <row r="181" spans="1:8" ht="37.5" customHeight="1" x14ac:dyDescent="0.25">
      <c r="A181" s="51" t="str">
        <f t="shared" si="0"/>
        <v>CONDE/CONDE - 13047.02 - RUA NOSSA SENHORA DA CONCEIÇÃO, S/N, CENTRO</v>
      </c>
      <c r="B181" s="2">
        <v>13047</v>
      </c>
      <c r="C181" s="52" t="s">
        <v>678</v>
      </c>
      <c r="D181" s="11" t="s">
        <v>679</v>
      </c>
      <c r="E181" s="11" t="s">
        <v>686</v>
      </c>
      <c r="F181" s="11" t="s">
        <v>687</v>
      </c>
      <c r="G181" s="11"/>
      <c r="H181" s="11"/>
    </row>
    <row r="182" spans="1:8" ht="37.5" customHeight="1" x14ac:dyDescent="0.25">
      <c r="A182" s="51" t="str">
        <f t="shared" si="0"/>
        <v>CONDE/ECIT PROFA. ILZA DE ALMEIDA RIBEIRO</v>
      </c>
      <c r="B182" s="2">
        <v>13047</v>
      </c>
      <c r="C182" s="52" t="s">
        <v>678</v>
      </c>
      <c r="D182" s="11" t="s">
        <v>679</v>
      </c>
      <c r="E182" s="11" t="s">
        <v>688</v>
      </c>
      <c r="F182" s="11" t="s">
        <v>689</v>
      </c>
      <c r="G182" s="11"/>
      <c r="H182" s="11"/>
    </row>
    <row r="183" spans="1:8" ht="37.5" customHeight="1" x14ac:dyDescent="0.25">
      <c r="A183" s="51" t="str">
        <f t="shared" si="0"/>
        <v>CONDE/HOTEL ESCOLA</v>
      </c>
      <c r="B183" s="1">
        <v>13047</v>
      </c>
      <c r="C183" s="52" t="s">
        <v>678</v>
      </c>
      <c r="D183" s="27" t="s">
        <v>679</v>
      </c>
      <c r="E183" s="27" t="s">
        <v>690</v>
      </c>
      <c r="F183" s="27" t="s">
        <v>691</v>
      </c>
      <c r="G183" s="11"/>
      <c r="H183" s="11"/>
    </row>
    <row r="184" spans="1:8" ht="37.5" customHeight="1" x14ac:dyDescent="0.25">
      <c r="A184" s="51" t="str">
        <f t="shared" si="0"/>
        <v>CONDE/SEDEC EMEF GOV PEDRO GONDIM</v>
      </c>
      <c r="B184" s="1">
        <v>13047</v>
      </c>
      <c r="C184" s="52" t="s">
        <v>678</v>
      </c>
      <c r="D184" s="27" t="s">
        <v>679</v>
      </c>
      <c r="E184" s="27" t="s">
        <v>692</v>
      </c>
      <c r="F184" s="27" t="s">
        <v>693</v>
      </c>
      <c r="G184" s="11"/>
      <c r="H184" s="11"/>
    </row>
    <row r="185" spans="1:8" ht="37.5" customHeight="1" x14ac:dyDescent="0.25">
      <c r="A185" s="51" t="str">
        <f t="shared" si="0"/>
        <v>CONGO/CONGO - 13048.01 - Rua Vicente José Bezerra, S/N, Salão A e B.</v>
      </c>
      <c r="B185" s="2">
        <v>13048</v>
      </c>
      <c r="C185" s="52" t="s">
        <v>694</v>
      </c>
      <c r="D185" s="11" t="s">
        <v>695</v>
      </c>
      <c r="E185" s="11" t="s">
        <v>696</v>
      </c>
      <c r="F185" s="11" t="s">
        <v>697</v>
      </c>
      <c r="G185" s="11"/>
      <c r="H185" s="11"/>
    </row>
    <row r="186" spans="1:8" ht="37.5" customHeight="1" x14ac:dyDescent="0.25">
      <c r="A186" s="51" t="str">
        <f t="shared" si="0"/>
        <v>CONGO/CENTRO DE REFERENCIA DE ASSISTENCIA SOCIAL</v>
      </c>
      <c r="B186" s="2">
        <v>13048</v>
      </c>
      <c r="C186" s="52" t="s">
        <v>694</v>
      </c>
      <c r="D186" s="11" t="s">
        <v>695</v>
      </c>
      <c r="E186" s="11" t="s">
        <v>698</v>
      </c>
      <c r="F186" s="11" t="s">
        <v>699</v>
      </c>
      <c r="G186" s="11"/>
      <c r="H186" s="11"/>
    </row>
    <row r="187" spans="1:8" ht="37.5" customHeight="1" x14ac:dyDescent="0.25">
      <c r="A187" s="51" t="str">
        <f t="shared" si="0"/>
        <v>COREMAS/ECIT NOBEL VITA</v>
      </c>
      <c r="B187" s="2">
        <v>13049</v>
      </c>
      <c r="C187" s="52" t="s">
        <v>700</v>
      </c>
      <c r="D187" s="11" t="s">
        <v>701</v>
      </c>
      <c r="E187" s="11" t="s">
        <v>702</v>
      </c>
      <c r="F187" s="11" t="s">
        <v>703</v>
      </c>
      <c r="G187" s="11"/>
      <c r="H187" s="11"/>
    </row>
    <row r="188" spans="1:8" ht="37.5" customHeight="1" x14ac:dyDescent="0.25">
      <c r="A188" s="51" t="str">
        <f t="shared" si="0"/>
        <v>COREMAS/ESCOLA CIDADÃ INTEGRAL TECNICA ESTADUAL ADVOGADO NOBEL VITA</v>
      </c>
      <c r="B188" s="2">
        <v>13049</v>
      </c>
      <c r="C188" s="52" t="s">
        <v>700</v>
      </c>
      <c r="D188" s="11" t="s">
        <v>701</v>
      </c>
      <c r="E188" s="11" t="s">
        <v>704</v>
      </c>
      <c r="F188" s="11" t="s">
        <v>705</v>
      </c>
      <c r="G188" s="11"/>
      <c r="H188" s="11"/>
    </row>
    <row r="189" spans="1:8" ht="37.5" customHeight="1" x14ac:dyDescent="0.25">
      <c r="A189" s="51" t="str">
        <f t="shared" si="0"/>
        <v>COREMAS/EMEIF MENINO JESUS</v>
      </c>
      <c r="B189" s="2">
        <v>13049</v>
      </c>
      <c r="C189" s="52" t="s">
        <v>700</v>
      </c>
      <c r="D189" s="11" t="s">
        <v>701</v>
      </c>
      <c r="E189" s="11" t="s">
        <v>706</v>
      </c>
      <c r="F189" s="11" t="s">
        <v>707</v>
      </c>
      <c r="G189" s="11"/>
      <c r="H189" s="11"/>
    </row>
    <row r="190" spans="1:8" ht="37.5" customHeight="1" x14ac:dyDescent="0.25">
      <c r="A190" s="51" t="str">
        <f t="shared" si="0"/>
        <v>COREMAS/ECIT ADVOGADO NOBEL VITA</v>
      </c>
      <c r="B190" s="2">
        <v>13049</v>
      </c>
      <c r="C190" s="52" t="s">
        <v>700</v>
      </c>
      <c r="D190" s="11" t="s">
        <v>701</v>
      </c>
      <c r="E190" s="11" t="s">
        <v>708</v>
      </c>
      <c r="F190" s="11" t="s">
        <v>709</v>
      </c>
      <c r="G190" s="11"/>
      <c r="H190" s="11"/>
    </row>
    <row r="191" spans="1:8" ht="37.5" customHeight="1" x14ac:dyDescent="0.25">
      <c r="A191" s="51" t="str">
        <f t="shared" si="0"/>
        <v>CRUZ DO ESPIRITO SANTO/EMEIEF RENATO RIBEIRO COUTINHO</v>
      </c>
      <c r="B191" s="2">
        <v>13050</v>
      </c>
      <c r="C191" s="26" t="s">
        <v>710</v>
      </c>
      <c r="D191" s="11" t="s">
        <v>711</v>
      </c>
      <c r="E191" s="11" t="s">
        <v>712</v>
      </c>
      <c r="F191" s="11" t="s">
        <v>713</v>
      </c>
      <c r="G191" s="11"/>
      <c r="H191" s="11"/>
    </row>
    <row r="192" spans="1:8" ht="37.5" customHeight="1" x14ac:dyDescent="0.25">
      <c r="A192" s="51" t="str">
        <f t="shared" si="0"/>
        <v>CRUZ DO ESPIRITO SANTO/ESCOLA RENATO RIBEIRO COUTINHO</v>
      </c>
      <c r="B192" s="2">
        <v>13050</v>
      </c>
      <c r="C192" s="26" t="s">
        <v>710</v>
      </c>
      <c r="D192" s="11" t="s">
        <v>711</v>
      </c>
      <c r="E192" s="11" t="s">
        <v>714</v>
      </c>
      <c r="F192" s="11" t="s">
        <v>715</v>
      </c>
      <c r="G192" s="11"/>
      <c r="H192" s="11"/>
    </row>
    <row r="193" spans="1:8" ht="37.5" customHeight="1" x14ac:dyDescent="0.25">
      <c r="A193" s="51" t="str">
        <f t="shared" si="0"/>
        <v>CUBATI/ECIT IOLANDA TEREZA CHAVES LIMA</v>
      </c>
      <c r="B193" s="2">
        <v>13051</v>
      </c>
      <c r="C193" s="52" t="s">
        <v>716</v>
      </c>
      <c r="D193" s="11" t="s">
        <v>717</v>
      </c>
      <c r="E193" s="11" t="s">
        <v>718</v>
      </c>
      <c r="F193" s="11" t="s">
        <v>719</v>
      </c>
      <c r="G193" s="11"/>
      <c r="H193" s="11"/>
    </row>
    <row r="194" spans="1:8" ht="37.5" customHeight="1" x14ac:dyDescent="0.25">
      <c r="A194" s="51" t="str">
        <f t="shared" si="0"/>
        <v>CUITE/EEEF ANDRÉ VITAL DE NEGREIROS</v>
      </c>
      <c r="B194" s="2">
        <v>13052</v>
      </c>
      <c r="C194" s="26" t="s">
        <v>720</v>
      </c>
      <c r="D194" s="27" t="s">
        <v>721</v>
      </c>
      <c r="E194" s="11" t="s">
        <v>722</v>
      </c>
      <c r="F194" s="11" t="s">
        <v>723</v>
      </c>
      <c r="G194" s="11"/>
      <c r="H194" s="11"/>
    </row>
    <row r="195" spans="1:8" ht="37.5" customHeight="1" x14ac:dyDescent="0.25">
      <c r="A195" s="51" t="str">
        <f t="shared" si="0"/>
        <v>CUITE/ECIT JORNALISTA JOSÉ ITAMAR DA ROCHA CÂNDIDO</v>
      </c>
      <c r="B195" s="2">
        <v>13052</v>
      </c>
      <c r="C195" s="26" t="s">
        <v>720</v>
      </c>
      <c r="D195" s="27" t="s">
        <v>721</v>
      </c>
      <c r="E195" s="11" t="s">
        <v>724</v>
      </c>
      <c r="F195" s="11" t="s">
        <v>725</v>
      </c>
      <c r="G195" s="11"/>
      <c r="H195" s="11"/>
    </row>
    <row r="196" spans="1:8" ht="37.5" customHeight="1" x14ac:dyDescent="0.25">
      <c r="A196" s="51" t="str">
        <f t="shared" si="0"/>
        <v>CUITE/ESCOLA MUNICIPAL DE ENSINO FUNDAMENTAL BENEDITO VENÂNCIO DOS SANTOS</v>
      </c>
      <c r="B196" s="2">
        <v>13052</v>
      </c>
      <c r="C196" s="26" t="s">
        <v>720</v>
      </c>
      <c r="D196" s="11" t="s">
        <v>721</v>
      </c>
      <c r="E196" s="11" t="s">
        <v>726</v>
      </c>
      <c r="F196" s="11" t="s">
        <v>727</v>
      </c>
      <c r="G196" s="11"/>
      <c r="H196" s="11"/>
    </row>
    <row r="197" spans="1:8" ht="37.5" customHeight="1" x14ac:dyDescent="0.25">
      <c r="A197" s="51" t="str">
        <f t="shared" si="0"/>
        <v>CUITE/CENTRO DE CONVIVENCIA DA CRIANÇA E DO ADOLESCENTE</v>
      </c>
      <c r="B197" s="2">
        <v>13052</v>
      </c>
      <c r="C197" s="26" t="s">
        <v>720</v>
      </c>
      <c r="D197" s="11" t="s">
        <v>721</v>
      </c>
      <c r="E197" s="11" t="s">
        <v>728</v>
      </c>
      <c r="F197" s="11" t="s">
        <v>729</v>
      </c>
      <c r="G197" s="11"/>
      <c r="H197" s="11"/>
    </row>
    <row r="198" spans="1:8" ht="37.5" customHeight="1" x14ac:dyDescent="0.25">
      <c r="A198" s="51" t="str">
        <f t="shared" si="0"/>
        <v>CUITE/EMEF. ELCA CARVALHO DA FONSECA</v>
      </c>
      <c r="B198" s="2">
        <v>13052</v>
      </c>
      <c r="C198" s="26" t="s">
        <v>720</v>
      </c>
      <c r="D198" s="11" t="s">
        <v>721</v>
      </c>
      <c r="E198" s="11" t="s">
        <v>730</v>
      </c>
      <c r="F198" s="11" t="s">
        <v>731</v>
      </c>
      <c r="G198" s="11"/>
      <c r="H198" s="11"/>
    </row>
    <row r="199" spans="1:8" ht="37.5" customHeight="1" x14ac:dyDescent="0.25">
      <c r="A199" s="51" t="str">
        <f t="shared" si="0"/>
        <v>CUITEGI/SINDICATO DOS TRABALHADORES RURAIS DE CUITEGI</v>
      </c>
      <c r="B199" s="2">
        <v>13053</v>
      </c>
      <c r="C199" s="52" t="s">
        <v>732</v>
      </c>
      <c r="D199" s="11" t="s">
        <v>733</v>
      </c>
      <c r="E199" s="11" t="s">
        <v>734</v>
      </c>
      <c r="F199" s="11" t="s">
        <v>735</v>
      </c>
      <c r="G199" s="11"/>
      <c r="H199" s="11"/>
    </row>
    <row r="200" spans="1:8" ht="37.5" customHeight="1" x14ac:dyDescent="0.25">
      <c r="A200" s="51" t="str">
        <f t="shared" si="0"/>
        <v>CURRAL DE CIMA/ECI HENRIQUE FERNANDES</v>
      </c>
      <c r="B200" s="2">
        <v>13191</v>
      </c>
      <c r="C200" s="52" t="s">
        <v>736</v>
      </c>
      <c r="D200" s="11" t="s">
        <v>737</v>
      </c>
      <c r="E200" s="11" t="s">
        <v>738</v>
      </c>
      <c r="F200" s="11" t="s">
        <v>739</v>
      </c>
      <c r="G200" s="11"/>
      <c r="H200" s="11"/>
    </row>
    <row r="201" spans="1:8" ht="37.5" customHeight="1" x14ac:dyDescent="0.25">
      <c r="A201" s="51" t="str">
        <f t="shared" si="0"/>
        <v>CURRAL DE CIMA/ECIT HENRIQUE FERNANDES DE FARIAS</v>
      </c>
      <c r="B201" s="2">
        <v>13191</v>
      </c>
      <c r="C201" s="52" t="s">
        <v>736</v>
      </c>
      <c r="D201" s="11" t="s">
        <v>737</v>
      </c>
      <c r="E201" s="11" t="s">
        <v>740</v>
      </c>
      <c r="F201" s="11" t="s">
        <v>741</v>
      </c>
      <c r="G201" s="11"/>
      <c r="H201" s="11"/>
    </row>
    <row r="202" spans="1:8" ht="37.5" customHeight="1" x14ac:dyDescent="0.25">
      <c r="A202" s="51" t="str">
        <f t="shared" si="0"/>
        <v>CURRAL DE CIMA/CURRAL DE CIMA - 13191.01 - JOSÉ EUGÊNIO, S/N, CENTRO.</v>
      </c>
      <c r="B202" s="2">
        <v>13191</v>
      </c>
      <c r="C202" s="52" t="s">
        <v>736</v>
      </c>
      <c r="D202" s="11" t="s">
        <v>737</v>
      </c>
      <c r="E202" s="11" t="s">
        <v>742</v>
      </c>
      <c r="F202" s="11" t="s">
        <v>743</v>
      </c>
      <c r="G202" s="11"/>
      <c r="H202" s="11"/>
    </row>
    <row r="203" spans="1:8" ht="37.5" customHeight="1" x14ac:dyDescent="0.25">
      <c r="A203" s="51" t="str">
        <f t="shared" si="0"/>
        <v>CURRAL DE CIMA/EMEIF VALDEVINO RIBEIRO DA SILVA</v>
      </c>
      <c r="B203" s="2">
        <v>13191</v>
      </c>
      <c r="C203" s="52" t="s">
        <v>736</v>
      </c>
      <c r="D203" s="11" t="s">
        <v>737</v>
      </c>
      <c r="E203" s="11" t="s">
        <v>744</v>
      </c>
      <c r="F203" s="11" t="s">
        <v>745</v>
      </c>
      <c r="G203" s="11"/>
      <c r="H203" s="11"/>
    </row>
    <row r="204" spans="1:8" ht="37.5" customHeight="1" x14ac:dyDescent="0.25">
      <c r="A204" s="51" t="str">
        <f t="shared" si="0"/>
        <v>CURRAL VELHO/CURRAL VELHO - 13054.01 - Rua Manoel Batista Sobrinho n 42</v>
      </c>
      <c r="B204" s="2">
        <v>13054</v>
      </c>
      <c r="C204" s="52" t="s">
        <v>746</v>
      </c>
      <c r="D204" s="11" t="s">
        <v>747</v>
      </c>
      <c r="E204" s="11" t="s">
        <v>748</v>
      </c>
      <c r="F204" s="11" t="s">
        <v>749</v>
      </c>
      <c r="G204" s="11"/>
      <c r="H204" s="11"/>
    </row>
    <row r="205" spans="1:8" ht="37.5" customHeight="1" x14ac:dyDescent="0.25">
      <c r="A205" s="51" t="str">
        <f t="shared" si="0"/>
        <v>CURRAL VELHO/ESCOLA MUNICIPAL ANTONIO GOMES DE CARVALHO</v>
      </c>
      <c r="B205" s="2">
        <v>13054</v>
      </c>
      <c r="C205" s="52" t="s">
        <v>746</v>
      </c>
      <c r="D205" s="11" t="s">
        <v>747</v>
      </c>
      <c r="E205" s="11" t="s">
        <v>750</v>
      </c>
      <c r="F205" s="11" t="s">
        <v>751</v>
      </c>
      <c r="G205" s="11"/>
      <c r="H205" s="11"/>
    </row>
    <row r="206" spans="1:8" ht="37.5" customHeight="1" x14ac:dyDescent="0.25">
      <c r="A206" s="51" t="str">
        <f t="shared" si="0"/>
        <v>DAMIAO/ESCOLA MUNICIPAL E.F DINIZ DA PENHA</v>
      </c>
      <c r="B206" s="2">
        <v>13192</v>
      </c>
      <c r="C206" s="26" t="s">
        <v>752</v>
      </c>
      <c r="D206" s="11" t="s">
        <v>753</v>
      </c>
      <c r="E206" s="11" t="s">
        <v>754</v>
      </c>
      <c r="F206" s="11" t="s">
        <v>755</v>
      </c>
      <c r="G206" s="11"/>
      <c r="H206" s="11"/>
    </row>
    <row r="207" spans="1:8" ht="37.5" customHeight="1" x14ac:dyDescent="0.25">
      <c r="A207" s="51" t="str">
        <f t="shared" si="0"/>
        <v>DAMIAO/ESCOLA MUNICIPAL E.F ALEXANDRE DINIZ DA PENHA</v>
      </c>
      <c r="B207" s="2">
        <v>13192</v>
      </c>
      <c r="C207" s="26" t="s">
        <v>752</v>
      </c>
      <c r="D207" s="11" t="s">
        <v>753</v>
      </c>
      <c r="E207" s="11" t="s">
        <v>756</v>
      </c>
      <c r="F207" s="11" t="s">
        <v>757</v>
      </c>
      <c r="G207" s="11"/>
      <c r="H207" s="11"/>
    </row>
    <row r="208" spans="1:8" ht="37.5" customHeight="1" x14ac:dyDescent="0.25">
      <c r="A208" s="51" t="str">
        <f t="shared" si="0"/>
        <v>DAMIAO/EMEF ALEXANDRE DINIZ DA PENHA</v>
      </c>
      <c r="B208" s="2">
        <v>13192</v>
      </c>
      <c r="C208" s="26" t="s">
        <v>752</v>
      </c>
      <c r="D208" s="11" t="s">
        <v>753</v>
      </c>
      <c r="E208" s="11" t="s">
        <v>758</v>
      </c>
      <c r="F208" s="11" t="s">
        <v>759</v>
      </c>
      <c r="G208" s="11"/>
      <c r="H208" s="11"/>
    </row>
    <row r="209" spans="1:8" ht="37.5" customHeight="1" x14ac:dyDescent="0.25">
      <c r="A209" s="51" t="str">
        <f t="shared" si="0"/>
        <v>DAMIAO/ESCOLA MUNICIPAL ALEXANDRE DINIZ DA PENHA</v>
      </c>
      <c r="B209" s="2">
        <v>13192</v>
      </c>
      <c r="C209" s="26" t="s">
        <v>752</v>
      </c>
      <c r="D209" s="11" t="s">
        <v>753</v>
      </c>
      <c r="E209" s="11" t="s">
        <v>760</v>
      </c>
      <c r="F209" s="11" t="s">
        <v>761</v>
      </c>
      <c r="G209" s="11"/>
      <c r="H209" s="11"/>
    </row>
    <row r="210" spans="1:8" ht="37.5" customHeight="1" x14ac:dyDescent="0.25">
      <c r="A210" s="51" t="str">
        <f t="shared" si="0"/>
        <v>DIAMANTE/COLÔNIA DE PESCADORES</v>
      </c>
      <c r="B210" s="2">
        <v>13057</v>
      </c>
      <c r="C210" s="52" t="s">
        <v>762</v>
      </c>
      <c r="D210" s="11" t="s">
        <v>763</v>
      </c>
      <c r="E210" s="11" t="s">
        <v>497</v>
      </c>
      <c r="F210" s="11" t="s">
        <v>764</v>
      </c>
      <c r="G210" s="11"/>
      <c r="H210" s="11"/>
    </row>
    <row r="211" spans="1:8" ht="37.5" customHeight="1" x14ac:dyDescent="0.25">
      <c r="A211" s="51" t="str">
        <f t="shared" si="0"/>
        <v>DIAMANTE/ESCOLA MUNICIPAL ARLINDO BATISTA PALITOT</v>
      </c>
      <c r="B211" s="2">
        <v>13057</v>
      </c>
      <c r="C211" s="52" t="s">
        <v>762</v>
      </c>
      <c r="D211" s="11" t="s">
        <v>763</v>
      </c>
      <c r="E211" s="11" t="s">
        <v>765</v>
      </c>
      <c r="F211" s="11" t="s">
        <v>766</v>
      </c>
      <c r="G211" s="11"/>
      <c r="H211" s="11"/>
    </row>
    <row r="212" spans="1:8" ht="37.5" customHeight="1" x14ac:dyDescent="0.25">
      <c r="A212" s="51" t="str">
        <f t="shared" si="0"/>
        <v>DONA INES/DONA INES - 13058.01 - Anezio Ferreira de Lima, 250.</v>
      </c>
      <c r="B212" s="2">
        <v>13058</v>
      </c>
      <c r="C212" s="26" t="s">
        <v>767</v>
      </c>
      <c r="D212" s="11" t="s">
        <v>768</v>
      </c>
      <c r="E212" s="11" t="s">
        <v>769</v>
      </c>
      <c r="F212" s="11" t="s">
        <v>770</v>
      </c>
      <c r="G212" s="11"/>
      <c r="H212" s="11"/>
    </row>
    <row r="213" spans="1:8" ht="37.5" customHeight="1" x14ac:dyDescent="0.25">
      <c r="A213" s="51" t="str">
        <f t="shared" si="0"/>
        <v>DONA INES/ESCOLA MUNICIPAL DE ENSINO FUNDAMENTAL SENADOR HUMBERTO LUCENA</v>
      </c>
      <c r="B213" s="2">
        <v>13058</v>
      </c>
      <c r="C213" s="26" t="s">
        <v>767</v>
      </c>
      <c r="D213" s="11" t="s">
        <v>768</v>
      </c>
      <c r="E213" s="11" t="s">
        <v>771</v>
      </c>
      <c r="F213" s="11" t="s">
        <v>772</v>
      </c>
      <c r="G213" s="11"/>
      <c r="H213" s="11"/>
    </row>
    <row r="214" spans="1:8" ht="37.5" customHeight="1" x14ac:dyDescent="0.25">
      <c r="A214" s="51" t="str">
        <f t="shared" si="0"/>
        <v>DUAS ESTRADAS/ESCOLA MUNICIOAL E.F PRPF. MARIA DUTRA</v>
      </c>
      <c r="B214" s="2">
        <v>13059</v>
      </c>
      <c r="C214" s="52" t="s">
        <v>773</v>
      </c>
      <c r="D214" s="11" t="s">
        <v>774</v>
      </c>
      <c r="E214" s="11" t="s">
        <v>775</v>
      </c>
      <c r="F214" s="11" t="s">
        <v>776</v>
      </c>
      <c r="G214" s="11"/>
      <c r="H214" s="11"/>
    </row>
    <row r="215" spans="1:8" ht="37.5" customHeight="1" x14ac:dyDescent="0.25">
      <c r="A215" s="51" t="str">
        <f t="shared" si="0"/>
        <v>DUAS ESTRADAS/DUAS ESTRADAS - 13059.01 - RUA TIRADENTES, 154</v>
      </c>
      <c r="B215" s="2">
        <v>13059</v>
      </c>
      <c r="C215" s="52" t="s">
        <v>773</v>
      </c>
      <c r="D215" s="11" t="s">
        <v>774</v>
      </c>
      <c r="E215" s="11" t="s">
        <v>777</v>
      </c>
      <c r="F215" s="11" t="s">
        <v>778</v>
      </c>
      <c r="G215" s="11"/>
      <c r="H215" s="11"/>
    </row>
    <row r="216" spans="1:8" ht="37.5" customHeight="1" x14ac:dyDescent="0.25">
      <c r="A216" s="51" t="str">
        <f t="shared" si="0"/>
        <v>ESPERANCA/AUDITÓRIO CENTRO ADMINISTRATIVO MUNICIPAL</v>
      </c>
      <c r="B216" s="2">
        <v>13061</v>
      </c>
      <c r="C216" s="26" t="s">
        <v>779</v>
      </c>
      <c r="D216" s="11" t="s">
        <v>780</v>
      </c>
      <c r="E216" s="11" t="s">
        <v>781</v>
      </c>
      <c r="F216" s="11" t="s">
        <v>782</v>
      </c>
      <c r="G216" s="11"/>
      <c r="H216" s="11"/>
    </row>
    <row r="217" spans="1:8" ht="37.5" customHeight="1" x14ac:dyDescent="0.25">
      <c r="A217" s="51" t="str">
        <f t="shared" si="0"/>
        <v>ESPERANCA/ECIT MONSENHOR JOSÉ DA SILVA COUTINHO</v>
      </c>
      <c r="B217" s="2">
        <v>13061</v>
      </c>
      <c r="C217" s="26" t="s">
        <v>779</v>
      </c>
      <c r="D217" s="11" t="s">
        <v>780</v>
      </c>
      <c r="E217" s="11" t="s">
        <v>783</v>
      </c>
      <c r="F217" s="11" t="s">
        <v>784</v>
      </c>
      <c r="G217" s="11"/>
      <c r="H217" s="11"/>
    </row>
    <row r="218" spans="1:8" ht="37.5" customHeight="1" x14ac:dyDescent="0.25">
      <c r="A218" s="51" t="str">
        <f t="shared" si="0"/>
        <v>ESPERANCA/ESCOLA DOM MANUEL PALMEIRA DA ROCHA</v>
      </c>
      <c r="B218" s="2">
        <v>13061</v>
      </c>
      <c r="C218" s="26" t="s">
        <v>779</v>
      </c>
      <c r="D218" s="11" t="s">
        <v>780</v>
      </c>
      <c r="E218" s="11" t="s">
        <v>785</v>
      </c>
      <c r="F218" s="11" t="s">
        <v>786</v>
      </c>
      <c r="G218" s="11"/>
      <c r="H218" s="11"/>
    </row>
    <row r="219" spans="1:8" ht="37.5" customHeight="1" x14ac:dyDescent="0.25">
      <c r="A219" s="51" t="str">
        <f t="shared" si="0"/>
        <v>ESPERANCA/EMEF DOM MANUEL PALMEIRA DA ROCHA</v>
      </c>
      <c r="B219" s="1">
        <v>13061</v>
      </c>
      <c r="C219" s="26" t="s">
        <v>779</v>
      </c>
      <c r="D219" s="27" t="s">
        <v>780</v>
      </c>
      <c r="E219" s="27" t="s">
        <v>787</v>
      </c>
      <c r="F219" s="27" t="s">
        <v>788</v>
      </c>
      <c r="G219" s="11"/>
      <c r="H219" s="11"/>
    </row>
    <row r="220" spans="1:8" ht="37.5" customHeight="1" x14ac:dyDescent="0.25">
      <c r="A220" s="51" t="str">
        <f t="shared" si="0"/>
        <v>FAGUNDES/EEEFM JOANA EMILIA DA SILVA</v>
      </c>
      <c r="B220" s="1">
        <v>13062</v>
      </c>
      <c r="C220" s="52" t="s">
        <v>789</v>
      </c>
      <c r="D220" s="27" t="s">
        <v>790</v>
      </c>
      <c r="E220" s="27" t="s">
        <v>791</v>
      </c>
      <c r="F220" s="27" t="s">
        <v>792</v>
      </c>
      <c r="G220" s="11"/>
      <c r="H220" s="11"/>
    </row>
    <row r="221" spans="1:8" ht="37.5" customHeight="1" x14ac:dyDescent="0.25">
      <c r="A221" s="51" t="str">
        <f t="shared" si="0"/>
        <v>GADO BRAVO/GADO BRAVO - 13193.01 - RUA, Tv. José Pereira de Águiar, S/N - CENTRO, Gado Bravo</v>
      </c>
      <c r="B221" s="2">
        <v>13193</v>
      </c>
      <c r="C221" s="52" t="s">
        <v>793</v>
      </c>
      <c r="D221" s="11" t="s">
        <v>794</v>
      </c>
      <c r="E221" s="11" t="s">
        <v>795</v>
      </c>
      <c r="F221" s="11" t="s">
        <v>796</v>
      </c>
      <c r="G221" s="11"/>
      <c r="H221" s="11"/>
    </row>
    <row r="222" spans="1:8" ht="37.5" customHeight="1" x14ac:dyDescent="0.25">
      <c r="A222" s="51" t="str">
        <f t="shared" si="0"/>
        <v>GADO BRAVO/EMEFM PE. GODOFREDO JOOSTEN</v>
      </c>
      <c r="B222" s="2">
        <v>13193</v>
      </c>
      <c r="C222" s="52" t="s">
        <v>793</v>
      </c>
      <c r="D222" s="11" t="s">
        <v>794</v>
      </c>
      <c r="E222" s="11" t="s">
        <v>797</v>
      </c>
      <c r="F222" s="11" t="s">
        <v>798</v>
      </c>
      <c r="G222" s="11"/>
      <c r="H222" s="11"/>
    </row>
    <row r="223" spans="1:8" ht="37.5" customHeight="1" x14ac:dyDescent="0.25">
      <c r="A223" s="51" t="str">
        <f t="shared" si="0"/>
        <v>GADO BRAVO/EMEF PADRE GODOFREDO JOOSTEN</v>
      </c>
      <c r="B223" s="2">
        <v>13193</v>
      </c>
      <c r="C223" s="52" t="s">
        <v>793</v>
      </c>
      <c r="D223" s="11" t="s">
        <v>794</v>
      </c>
      <c r="E223" s="11" t="s">
        <v>799</v>
      </c>
      <c r="F223" s="11" t="s">
        <v>800</v>
      </c>
      <c r="G223" s="11"/>
      <c r="H223" s="11"/>
    </row>
    <row r="224" spans="1:8" ht="37.5" customHeight="1" x14ac:dyDescent="0.25">
      <c r="A224" s="51" t="str">
        <f t="shared" si="0"/>
        <v>GUARABIRA/ECIT MONSENHOR EMILIANO DE CRISTO</v>
      </c>
      <c r="B224" s="2">
        <v>13064</v>
      </c>
      <c r="C224" s="52" t="s">
        <v>801</v>
      </c>
      <c r="D224" s="11" t="s">
        <v>802</v>
      </c>
      <c r="E224" s="11" t="s">
        <v>803</v>
      </c>
      <c r="F224" s="11" t="s">
        <v>804</v>
      </c>
      <c r="G224" s="11"/>
      <c r="H224" s="11"/>
    </row>
    <row r="225" spans="1:8" ht="37.5" customHeight="1" x14ac:dyDescent="0.25">
      <c r="A225" s="51" t="str">
        <f t="shared" si="0"/>
        <v>GUARABIRA/ECIT EMILIANO DE CRISTO</v>
      </c>
      <c r="B225" s="2">
        <v>13064</v>
      </c>
      <c r="C225" s="52" t="s">
        <v>801</v>
      </c>
      <c r="D225" s="27" t="s">
        <v>802</v>
      </c>
      <c r="E225" s="11" t="s">
        <v>805</v>
      </c>
      <c r="F225" s="11" t="s">
        <v>806</v>
      </c>
      <c r="G225" s="11"/>
      <c r="H225" s="11"/>
    </row>
    <row r="226" spans="1:8" ht="37.5" customHeight="1" x14ac:dyDescent="0.25">
      <c r="A226" s="51" t="str">
        <f t="shared" si="0"/>
        <v>GUARABIRA/ESCOLA PUBLICA EDUCACIONAL OSMAR DE AQUINO</v>
      </c>
      <c r="B226" s="2">
        <v>13064</v>
      </c>
      <c r="C226" s="52" t="s">
        <v>801</v>
      </c>
      <c r="D226" s="27" t="s">
        <v>802</v>
      </c>
      <c r="E226" s="11" t="s">
        <v>807</v>
      </c>
      <c r="F226" s="11" t="s">
        <v>808</v>
      </c>
      <c r="G226" s="11"/>
      <c r="H226" s="11"/>
    </row>
    <row r="227" spans="1:8" ht="37.5" customHeight="1" x14ac:dyDescent="0.25">
      <c r="A227" s="51" t="str">
        <f t="shared" si="0"/>
        <v>GUARABIRA/PENITENCIARIA JOAO BOSCO CARNEIRO</v>
      </c>
      <c r="B227" s="2">
        <v>13064</v>
      </c>
      <c r="C227" s="52" t="s">
        <v>801</v>
      </c>
      <c r="D227" s="27" t="s">
        <v>802</v>
      </c>
      <c r="E227" s="11" t="s">
        <v>809</v>
      </c>
      <c r="F227" s="11" t="s">
        <v>810</v>
      </c>
      <c r="G227" s="11"/>
      <c r="H227" s="11"/>
    </row>
    <row r="228" spans="1:8" ht="37.5" customHeight="1" x14ac:dyDescent="0.25">
      <c r="A228" s="51" t="str">
        <f t="shared" si="0"/>
        <v>GURINHEM/CENTRO DE FORMAÇÃO CONJUNTO RIBEIRÃO</v>
      </c>
      <c r="B228" s="2">
        <v>13065</v>
      </c>
      <c r="C228" s="26" t="s">
        <v>46</v>
      </c>
      <c r="D228" s="27" t="s">
        <v>811</v>
      </c>
      <c r="E228" s="11" t="s">
        <v>812</v>
      </c>
      <c r="F228" s="11" t="s">
        <v>813</v>
      </c>
      <c r="G228" s="11"/>
      <c r="H228" s="11"/>
    </row>
    <row r="229" spans="1:8" ht="37.5" customHeight="1" x14ac:dyDescent="0.25">
      <c r="A229" s="51" t="str">
        <f t="shared" si="0"/>
        <v>GURINHEM/ESCOLA FELICIANO DE FRANÇA GALVÃO</v>
      </c>
      <c r="B229" s="2">
        <v>13065</v>
      </c>
      <c r="C229" s="26" t="s">
        <v>46</v>
      </c>
      <c r="D229" s="11" t="s">
        <v>811</v>
      </c>
      <c r="E229" s="11" t="s">
        <v>814</v>
      </c>
      <c r="F229" s="11" t="s">
        <v>815</v>
      </c>
      <c r="G229" s="11"/>
      <c r="H229" s="11"/>
    </row>
    <row r="230" spans="1:8" ht="37.5" customHeight="1" x14ac:dyDescent="0.25">
      <c r="A230" s="51" t="str">
        <f t="shared" si="0"/>
        <v>GURINHEM/EMEF MADRE DANTAS</v>
      </c>
      <c r="B230" s="2">
        <v>13065</v>
      </c>
      <c r="C230" s="26" t="s">
        <v>46</v>
      </c>
      <c r="D230" s="11" t="s">
        <v>811</v>
      </c>
      <c r="E230" s="11" t="s">
        <v>816</v>
      </c>
      <c r="F230" s="11" t="s">
        <v>817</v>
      </c>
      <c r="G230" s="11"/>
      <c r="H230" s="11"/>
    </row>
    <row r="231" spans="1:8" ht="37.5" customHeight="1" x14ac:dyDescent="0.25">
      <c r="A231" s="51" t="str">
        <f t="shared" si="0"/>
        <v>GURINHEM/EMEF FAVIANO RIBEIRO COUTINHO</v>
      </c>
      <c r="B231" s="2">
        <v>13065</v>
      </c>
      <c r="C231" s="26" t="s">
        <v>46</v>
      </c>
      <c r="D231" s="11" t="s">
        <v>811</v>
      </c>
      <c r="E231" s="11" t="s">
        <v>818</v>
      </c>
      <c r="F231" s="11" t="s">
        <v>819</v>
      </c>
      <c r="G231" s="11"/>
      <c r="H231" s="11"/>
    </row>
    <row r="232" spans="1:8" ht="37.5" customHeight="1" x14ac:dyDescent="0.25">
      <c r="A232" s="51" t="str">
        <f t="shared" si="0"/>
        <v>GURINHEM/GRUPO ESCOLAR MUNICIPAL ANALIA ARRUDA DA SILVA</v>
      </c>
      <c r="B232" s="2">
        <v>13065</v>
      </c>
      <c r="C232" s="26" t="s">
        <v>46</v>
      </c>
      <c r="D232" s="11" t="s">
        <v>811</v>
      </c>
      <c r="E232" s="11" t="s">
        <v>820</v>
      </c>
      <c r="F232" s="11" t="s">
        <v>821</v>
      </c>
      <c r="G232" s="11"/>
      <c r="H232" s="11"/>
    </row>
    <row r="233" spans="1:8" ht="37.5" customHeight="1" x14ac:dyDescent="0.25">
      <c r="A233" s="51" t="str">
        <f t="shared" si="0"/>
        <v>GURINHEM/SINDICATO DOS TRABALHADORES RURAIS AGRICULTORES E AGRICULTORAS FAMILIARES DE GURINHEM</v>
      </c>
      <c r="B233" s="2">
        <v>13065</v>
      </c>
      <c r="C233" s="26" t="s">
        <v>46</v>
      </c>
      <c r="D233" s="11" t="s">
        <v>811</v>
      </c>
      <c r="E233" s="11" t="s">
        <v>47</v>
      </c>
      <c r="F233" s="11" t="s">
        <v>822</v>
      </c>
      <c r="G233" s="11"/>
      <c r="H233" s="11"/>
    </row>
    <row r="234" spans="1:8" ht="37.5" customHeight="1" x14ac:dyDescent="0.25">
      <c r="A234" s="51" t="str">
        <f t="shared" si="0"/>
        <v>GURJAO/EM ÁUREA CORREIA DE QUEIROZ</v>
      </c>
      <c r="B234" s="2">
        <v>13066</v>
      </c>
      <c r="C234" s="26" t="s">
        <v>823</v>
      </c>
      <c r="D234" s="11" t="s">
        <v>824</v>
      </c>
      <c r="E234" s="11" t="s">
        <v>825</v>
      </c>
      <c r="F234" s="11" t="s">
        <v>826</v>
      </c>
      <c r="G234" s="11"/>
      <c r="H234" s="11"/>
    </row>
    <row r="235" spans="1:8" ht="37.5" customHeight="1" x14ac:dyDescent="0.25">
      <c r="A235" s="51" t="str">
        <f t="shared" si="0"/>
        <v>GURJAO/GURJAO - 13066.01 - RUA DEPUTADO ALVARO GALDENCIO, Nº 252, CENTRO</v>
      </c>
      <c r="B235" s="2">
        <v>13066</v>
      </c>
      <c r="C235" s="26" t="s">
        <v>823</v>
      </c>
      <c r="D235" s="11" t="s">
        <v>824</v>
      </c>
      <c r="E235" s="11" t="s">
        <v>827</v>
      </c>
      <c r="F235" s="11" t="s">
        <v>828</v>
      </c>
      <c r="G235" s="11"/>
      <c r="H235" s="11"/>
    </row>
    <row r="236" spans="1:8" ht="37.5" customHeight="1" x14ac:dyDescent="0.25">
      <c r="A236" s="51" t="str">
        <f t="shared" si="0"/>
        <v>GURJAO/ESCOLA MUNICIPAL ÁUREA CORREIA DE QUEIROZ</v>
      </c>
      <c r="B236" s="2">
        <v>13066</v>
      </c>
      <c r="C236" s="26" t="s">
        <v>823</v>
      </c>
      <c r="D236" s="11" t="s">
        <v>824</v>
      </c>
      <c r="E236" s="11" t="s">
        <v>829</v>
      </c>
      <c r="F236" s="11" t="s">
        <v>830</v>
      </c>
      <c r="G236" s="11"/>
      <c r="H236" s="11"/>
    </row>
    <row r="237" spans="1:8" ht="37.5" customHeight="1" x14ac:dyDescent="0.25">
      <c r="A237" s="51" t="str">
        <f t="shared" si="0"/>
        <v>GURJAO/ESCOLA AUREA CORREIA DE QUEIROZ</v>
      </c>
      <c r="B237" s="2">
        <v>13066</v>
      </c>
      <c r="C237" s="26" t="s">
        <v>823</v>
      </c>
      <c r="D237" s="11" t="s">
        <v>824</v>
      </c>
      <c r="E237" s="11" t="s">
        <v>831</v>
      </c>
      <c r="F237" s="11" t="s">
        <v>832</v>
      </c>
      <c r="G237" s="11"/>
      <c r="H237" s="11"/>
    </row>
    <row r="238" spans="1:8" ht="37.5" customHeight="1" x14ac:dyDescent="0.25">
      <c r="A238" s="51" t="str">
        <f t="shared" si="0"/>
        <v>IBIARA/COLÔNIA DE PESCADORES</v>
      </c>
      <c r="B238" s="2">
        <v>13067</v>
      </c>
      <c r="C238" s="52" t="s">
        <v>833</v>
      </c>
      <c r="D238" s="11" t="s">
        <v>834</v>
      </c>
      <c r="E238" s="11" t="s">
        <v>497</v>
      </c>
      <c r="F238" s="11" t="s">
        <v>835</v>
      </c>
      <c r="G238" s="11"/>
      <c r="H238" s="11"/>
    </row>
    <row r="239" spans="1:8" ht="37.5" customHeight="1" x14ac:dyDescent="0.25">
      <c r="A239" s="51" t="str">
        <f t="shared" si="0"/>
        <v>IBIARA/EMIF PROF. CECI BADU DE SOUSA</v>
      </c>
      <c r="B239" s="2">
        <v>13067</v>
      </c>
      <c r="C239" s="52" t="s">
        <v>833</v>
      </c>
      <c r="D239" s="11" t="s">
        <v>834</v>
      </c>
      <c r="E239" s="11" t="s">
        <v>836</v>
      </c>
      <c r="F239" s="11" t="s">
        <v>837</v>
      </c>
      <c r="G239" s="11"/>
      <c r="H239" s="11"/>
    </row>
    <row r="240" spans="1:8" ht="37.5" customHeight="1" x14ac:dyDescent="0.25">
      <c r="A240" s="51" t="str">
        <f t="shared" si="0"/>
        <v>IBIARA/IBIARA - 13067.01 - Rua Santa Maria, Ibiarinha</v>
      </c>
      <c r="B240" s="2">
        <v>13067</v>
      </c>
      <c r="C240" s="52" t="s">
        <v>833</v>
      </c>
      <c r="D240" s="11" t="s">
        <v>834</v>
      </c>
      <c r="E240" s="11" t="s">
        <v>838</v>
      </c>
      <c r="F240" s="11" t="s">
        <v>839</v>
      </c>
      <c r="G240" s="11"/>
      <c r="H240" s="11"/>
    </row>
    <row r="241" spans="1:8" ht="37.5" customHeight="1" x14ac:dyDescent="0.25">
      <c r="A241" s="51" t="str">
        <f t="shared" si="0"/>
        <v>IBIARA/ECI EEM PADRE MANOEL OTAVIANO</v>
      </c>
      <c r="B241" s="2">
        <v>13067</v>
      </c>
      <c r="C241" s="52" t="s">
        <v>833</v>
      </c>
      <c r="D241" s="11" t="s">
        <v>834</v>
      </c>
      <c r="E241" s="11" t="s">
        <v>840</v>
      </c>
      <c r="F241" s="11" t="s">
        <v>841</v>
      </c>
      <c r="G241" s="11"/>
      <c r="H241" s="11"/>
    </row>
    <row r="242" spans="1:8" ht="37.5" customHeight="1" x14ac:dyDescent="0.25">
      <c r="A242" s="51" t="str">
        <f t="shared" si="0"/>
        <v>IGARACY/ECI JOSELITA BRASILEIRO</v>
      </c>
      <c r="B242" s="2">
        <v>13027</v>
      </c>
      <c r="C242" s="52" t="s">
        <v>842</v>
      </c>
      <c r="D242" s="11" t="s">
        <v>843</v>
      </c>
      <c r="E242" s="11" t="s">
        <v>844</v>
      </c>
      <c r="F242" s="11" t="s">
        <v>845</v>
      </c>
      <c r="G242" s="11"/>
      <c r="H242" s="11"/>
    </row>
    <row r="243" spans="1:8" ht="37.5" customHeight="1" x14ac:dyDescent="0.25">
      <c r="A243" s="51" t="str">
        <f t="shared" si="0"/>
        <v>IMACULADA/ECIT MARIA DO SOCORRO RAMALHO QUIRINO</v>
      </c>
      <c r="B243" s="2">
        <v>13068</v>
      </c>
      <c r="C243" s="52" t="s">
        <v>846</v>
      </c>
      <c r="D243" s="11" t="s">
        <v>847</v>
      </c>
      <c r="E243" s="11" t="s">
        <v>848</v>
      </c>
      <c r="F243" s="11" t="s">
        <v>849</v>
      </c>
      <c r="G243" s="11"/>
      <c r="H243" s="11"/>
    </row>
    <row r="244" spans="1:8" ht="37.5" customHeight="1" x14ac:dyDescent="0.25">
      <c r="A244" s="51" t="str">
        <f t="shared" si="0"/>
        <v>INGA/ELETRICISTA DE SISTEMAS DE ENERGIAS RENOVÁVEIS</v>
      </c>
      <c r="B244" s="2">
        <v>13069</v>
      </c>
      <c r="C244" s="1" t="s">
        <v>850</v>
      </c>
      <c r="D244" s="11" t="s">
        <v>851</v>
      </c>
      <c r="E244" s="11" t="s">
        <v>852</v>
      </c>
      <c r="F244" s="11" t="s">
        <v>853</v>
      </c>
      <c r="G244" s="11"/>
      <c r="H244" s="11"/>
    </row>
    <row r="245" spans="1:8" ht="37.5" customHeight="1" x14ac:dyDescent="0.25">
      <c r="A245" s="51" t="str">
        <f t="shared" si="0"/>
        <v>INGA/RUA MAGNO BACALHAU .</v>
      </c>
      <c r="B245" s="2">
        <v>13069</v>
      </c>
      <c r="C245" s="27" t="s">
        <v>850</v>
      </c>
      <c r="D245" s="11" t="s">
        <v>851</v>
      </c>
      <c r="E245" s="11" t="s">
        <v>854</v>
      </c>
      <c r="F245" s="11" t="s">
        <v>855</v>
      </c>
      <c r="G245" s="11"/>
      <c r="H245" s="11"/>
    </row>
    <row r="246" spans="1:8" ht="37.5" customHeight="1" x14ac:dyDescent="0.25">
      <c r="A246" s="51" t="str">
        <f t="shared" si="0"/>
        <v>INGA/ESCOLA MUNICIPAL DE ENSINO INFANTIL E FUNDAMENTAL MAJOR JOSÉ BARBOSA MONTEIRO</v>
      </c>
      <c r="B246" s="2">
        <v>13069</v>
      </c>
      <c r="C246" s="27" t="s">
        <v>850</v>
      </c>
      <c r="D246" s="11" t="s">
        <v>851</v>
      </c>
      <c r="E246" s="11" t="s">
        <v>856</v>
      </c>
      <c r="F246" s="11" t="s">
        <v>857</v>
      </c>
      <c r="G246" s="11"/>
      <c r="H246" s="11"/>
    </row>
    <row r="247" spans="1:8" ht="37.5" customHeight="1" x14ac:dyDescent="0.25">
      <c r="A247" s="51" t="str">
        <f t="shared" si="0"/>
        <v>INGA/EEEIF ABEL DA SILVA</v>
      </c>
      <c r="B247" s="2">
        <v>13069</v>
      </c>
      <c r="C247" s="27" t="s">
        <v>850</v>
      </c>
      <c r="D247" s="11" t="s">
        <v>851</v>
      </c>
      <c r="E247" s="11" t="s">
        <v>858</v>
      </c>
      <c r="F247" s="11" t="s">
        <v>859</v>
      </c>
      <c r="G247" s="11"/>
      <c r="H247" s="11"/>
    </row>
    <row r="248" spans="1:8" ht="37.5" customHeight="1" x14ac:dyDescent="0.25">
      <c r="A248" s="51" t="str">
        <f t="shared" si="0"/>
        <v>INGA/EMEIEF ABEL DA SILVA</v>
      </c>
      <c r="B248" s="2">
        <v>13069</v>
      </c>
      <c r="C248" s="27" t="s">
        <v>850</v>
      </c>
      <c r="D248" s="27" t="s">
        <v>851</v>
      </c>
      <c r="E248" s="11" t="s">
        <v>860</v>
      </c>
      <c r="F248" s="11" t="s">
        <v>861</v>
      </c>
      <c r="G248" s="11"/>
      <c r="H248" s="11"/>
    </row>
    <row r="249" spans="1:8" ht="37.5" customHeight="1" x14ac:dyDescent="0.25">
      <c r="A249" s="51" t="str">
        <f t="shared" si="0"/>
        <v>INGA/ESCOLA QUILOMBOLA DE PEDRA D’AGUA JOSEFA MARIA DO ESPIRITO SANTO</v>
      </c>
      <c r="B249" s="1">
        <v>13069</v>
      </c>
      <c r="C249" s="27" t="s">
        <v>850</v>
      </c>
      <c r="D249" s="27" t="s">
        <v>851</v>
      </c>
      <c r="E249" s="27" t="s">
        <v>862</v>
      </c>
      <c r="F249" s="27" t="s">
        <v>863</v>
      </c>
      <c r="G249" s="11"/>
      <c r="H249" s="11"/>
    </row>
    <row r="250" spans="1:8" ht="37.5" customHeight="1" x14ac:dyDescent="0.25">
      <c r="A250" s="51" t="str">
        <f t="shared" si="0"/>
        <v>ITABAIANA/EEE JOÃO FAGUNDES</v>
      </c>
      <c r="B250" s="2">
        <v>13070</v>
      </c>
      <c r="C250" s="52" t="s">
        <v>864</v>
      </c>
      <c r="D250" s="11" t="s">
        <v>865</v>
      </c>
      <c r="E250" s="11" t="s">
        <v>866</v>
      </c>
      <c r="F250" s="11" t="s">
        <v>867</v>
      </c>
      <c r="G250" s="11"/>
      <c r="H250" s="11"/>
    </row>
    <row r="251" spans="1:8" ht="37.5" customHeight="1" x14ac:dyDescent="0.25">
      <c r="A251" s="51" t="str">
        <f t="shared" si="0"/>
        <v>ITABAIANA/E.M.E.I.E.F. JOANA TRINDADE</v>
      </c>
      <c r="B251" s="2">
        <v>13070</v>
      </c>
      <c r="C251" s="52" t="s">
        <v>864</v>
      </c>
      <c r="D251" s="27" t="s">
        <v>865</v>
      </c>
      <c r="E251" s="11" t="s">
        <v>868</v>
      </c>
      <c r="F251" s="11" t="s">
        <v>869</v>
      </c>
      <c r="G251" s="11"/>
      <c r="H251" s="11"/>
    </row>
    <row r="252" spans="1:8" ht="37.5" customHeight="1" x14ac:dyDescent="0.25">
      <c r="A252" s="51" t="str">
        <f t="shared" si="0"/>
        <v>ITABAIANA/ZONA RURAL DE CARIATA .</v>
      </c>
      <c r="B252" s="2">
        <v>13070</v>
      </c>
      <c r="C252" s="52" t="s">
        <v>864</v>
      </c>
      <c r="D252" s="27" t="s">
        <v>865</v>
      </c>
      <c r="E252" s="11" t="s">
        <v>870</v>
      </c>
      <c r="F252" s="11" t="s">
        <v>871</v>
      </c>
      <c r="G252" s="11"/>
      <c r="H252" s="11"/>
    </row>
    <row r="253" spans="1:8" ht="37.5" customHeight="1" x14ac:dyDescent="0.25">
      <c r="A253" s="51" t="str">
        <f t="shared" si="0"/>
        <v>ITABAIANA/SITIO ALMIR MUNIZ.</v>
      </c>
      <c r="B253" s="2">
        <v>13070</v>
      </c>
      <c r="C253" s="52" t="s">
        <v>864</v>
      </c>
      <c r="D253" s="27" t="s">
        <v>865</v>
      </c>
      <c r="E253" s="11" t="s">
        <v>872</v>
      </c>
      <c r="F253" s="11" t="s">
        <v>873</v>
      </c>
      <c r="G253" s="11"/>
      <c r="H253" s="11"/>
    </row>
    <row r="254" spans="1:8" ht="37.5" customHeight="1" x14ac:dyDescent="0.25">
      <c r="A254" s="51" t="str">
        <f t="shared" si="0"/>
        <v>ITABAIANA/ECIT DR. ANTÔNIO BATISTA SANTIAGO</v>
      </c>
      <c r="B254" s="2">
        <v>13070</v>
      </c>
      <c r="C254" s="52" t="s">
        <v>864</v>
      </c>
      <c r="D254" s="27" t="s">
        <v>865</v>
      </c>
      <c r="E254" s="11" t="s">
        <v>874</v>
      </c>
      <c r="F254" s="11" t="s">
        <v>875</v>
      </c>
      <c r="G254" s="11"/>
      <c r="H254" s="11"/>
    </row>
    <row r="255" spans="1:8" ht="37.5" customHeight="1" x14ac:dyDescent="0.25">
      <c r="A255" s="51" t="str">
        <f t="shared" si="0"/>
        <v>ITABAIANA/SCFV SERVICO DE CONVIVENCIA E FORTALECIMENTO DE VINCULOS</v>
      </c>
      <c r="B255" s="1">
        <v>13070</v>
      </c>
      <c r="C255" s="52" t="s">
        <v>864</v>
      </c>
      <c r="D255" s="27" t="s">
        <v>865</v>
      </c>
      <c r="E255" s="27" t="s">
        <v>876</v>
      </c>
      <c r="F255" s="27" t="s">
        <v>877</v>
      </c>
      <c r="G255" s="11"/>
      <c r="H255" s="11"/>
    </row>
    <row r="256" spans="1:8" ht="37.5" customHeight="1" x14ac:dyDescent="0.25">
      <c r="A256" s="51" t="str">
        <f t="shared" si="0"/>
        <v>ITAPORANGA/EEEM ADALGISA TEODULO DA FONSECA</v>
      </c>
      <c r="B256" s="2">
        <v>13071</v>
      </c>
      <c r="C256" s="52" t="s">
        <v>878</v>
      </c>
      <c r="D256" s="11" t="s">
        <v>879</v>
      </c>
      <c r="E256" s="11" t="s">
        <v>880</v>
      </c>
      <c r="F256" s="11" t="s">
        <v>881</v>
      </c>
      <c r="G256" s="11"/>
      <c r="H256" s="11"/>
    </row>
    <row r="257" spans="1:8" ht="37.5" customHeight="1" x14ac:dyDescent="0.25">
      <c r="A257" s="51" t="str">
        <f t="shared" si="0"/>
        <v>ITAPORANGA/ECIT ITAPORANGA</v>
      </c>
      <c r="B257" s="2">
        <v>13071</v>
      </c>
      <c r="C257" s="52" t="s">
        <v>878</v>
      </c>
      <c r="D257" s="11" t="s">
        <v>879</v>
      </c>
      <c r="E257" s="11" t="s">
        <v>882</v>
      </c>
      <c r="F257" s="11" t="s">
        <v>883</v>
      </c>
      <c r="G257" s="11"/>
      <c r="H257" s="11"/>
    </row>
    <row r="258" spans="1:8" ht="37.5" customHeight="1" x14ac:dyDescent="0.25">
      <c r="A258" s="51" t="str">
        <f t="shared" si="0"/>
        <v>ITAPORANGA/ECIT MONSENHOR JOSÉ SINFRÔNIO DE ASSIS FILHO</v>
      </c>
      <c r="B258" s="2">
        <v>13071</v>
      </c>
      <c r="C258" s="52" t="s">
        <v>878</v>
      </c>
      <c r="D258" s="11" t="s">
        <v>879</v>
      </c>
      <c r="E258" s="11" t="s">
        <v>884</v>
      </c>
      <c r="F258" s="11" t="s">
        <v>885</v>
      </c>
      <c r="G258" s="11"/>
      <c r="H258" s="11"/>
    </row>
    <row r="259" spans="1:8" ht="37.5" customHeight="1" x14ac:dyDescent="0.25">
      <c r="A259" s="51" t="str">
        <f t="shared" si="0"/>
        <v>ITAPORANGA/ITAPORANGA - 13071.01 - RUA: SANTOS DUMONT, 107, CENTRO</v>
      </c>
      <c r="B259" s="2">
        <v>13071</v>
      </c>
      <c r="C259" s="52" t="s">
        <v>878</v>
      </c>
      <c r="D259" s="11" t="s">
        <v>879</v>
      </c>
      <c r="E259" s="11" t="s">
        <v>886</v>
      </c>
      <c r="F259" s="11" t="s">
        <v>887</v>
      </c>
      <c r="G259" s="11"/>
      <c r="H259" s="11"/>
    </row>
    <row r="260" spans="1:8" ht="37.5" customHeight="1" x14ac:dyDescent="0.25">
      <c r="A260" s="51" t="str">
        <f t="shared" si="0"/>
        <v>ITAPORANGA/ECI FRACELINO A. NEVES</v>
      </c>
      <c r="B260" s="2">
        <v>13071</v>
      </c>
      <c r="C260" s="52" t="s">
        <v>878</v>
      </c>
      <c r="D260" s="11" t="s">
        <v>879</v>
      </c>
      <c r="E260" s="11" t="s">
        <v>888</v>
      </c>
      <c r="F260" s="11" t="s">
        <v>889</v>
      </c>
      <c r="G260" s="11"/>
      <c r="H260" s="11"/>
    </row>
    <row r="261" spans="1:8" ht="37.5" customHeight="1" x14ac:dyDescent="0.25">
      <c r="A261" s="51" t="str">
        <f t="shared" si="0"/>
        <v>ITAPOROROCA/ECI SEVERINO FELIX</v>
      </c>
      <c r="B261" s="2">
        <v>13072</v>
      </c>
      <c r="C261" s="52" t="s">
        <v>890</v>
      </c>
      <c r="D261" s="27" t="s">
        <v>891</v>
      </c>
      <c r="E261" s="11" t="s">
        <v>892</v>
      </c>
      <c r="F261" s="11" t="s">
        <v>893</v>
      </c>
      <c r="G261" s="11"/>
      <c r="H261" s="11"/>
    </row>
    <row r="262" spans="1:8" ht="37.5" customHeight="1" x14ac:dyDescent="0.25">
      <c r="A262" s="51" t="str">
        <f t="shared" si="0"/>
        <v>ITAPOROROCA/AUDITÓRIO DA IGREJA CRISTO VIVE</v>
      </c>
      <c r="B262" s="2">
        <v>13072</v>
      </c>
      <c r="C262" s="52" t="s">
        <v>890</v>
      </c>
      <c r="D262" s="27" t="s">
        <v>891</v>
      </c>
      <c r="E262" s="11" t="s">
        <v>894</v>
      </c>
      <c r="F262" s="11" t="s">
        <v>895</v>
      </c>
      <c r="G262" s="11"/>
      <c r="H262" s="11"/>
    </row>
    <row r="263" spans="1:8" ht="37.5" customHeight="1" x14ac:dyDescent="0.25">
      <c r="A263" s="51" t="str">
        <f t="shared" si="0"/>
        <v>ITAPOROROCA/EEEFM ISAURA FERNANDES DE SOUZA</v>
      </c>
      <c r="B263" s="2">
        <v>13072</v>
      </c>
      <c r="C263" s="52" t="s">
        <v>890</v>
      </c>
      <c r="D263" s="27" t="s">
        <v>891</v>
      </c>
      <c r="E263" s="11" t="s">
        <v>896</v>
      </c>
      <c r="F263" s="11" t="s">
        <v>897</v>
      </c>
      <c r="G263" s="11"/>
      <c r="H263" s="11"/>
    </row>
    <row r="264" spans="1:8" ht="37.5" customHeight="1" x14ac:dyDescent="0.25">
      <c r="A264" s="51" t="str">
        <f t="shared" si="0"/>
        <v>ITATUBA/COLÔNIA DE PESCADORES</v>
      </c>
      <c r="B264" s="2">
        <v>13073</v>
      </c>
      <c r="C264" s="52" t="s">
        <v>898</v>
      </c>
      <c r="D264" s="11" t="s">
        <v>899</v>
      </c>
      <c r="E264" s="11" t="s">
        <v>497</v>
      </c>
      <c r="F264" s="11" t="s">
        <v>900</v>
      </c>
      <c r="G264" s="11"/>
      <c r="H264" s="11"/>
    </row>
    <row r="265" spans="1:8" ht="37.5" customHeight="1" x14ac:dyDescent="0.25">
      <c r="A265" s="51" t="str">
        <f t="shared" si="0"/>
        <v>ITATUBA/ITATUBA - 13073.01 - R. Maurino Rodrigues de Andrade, SN - JOAQUIM FLORENTINO, Itatuba - PB</v>
      </c>
      <c r="B265" s="2">
        <v>13073</v>
      </c>
      <c r="C265" s="52" t="s">
        <v>898</v>
      </c>
      <c r="D265" s="27" t="s">
        <v>899</v>
      </c>
      <c r="E265" s="11" t="s">
        <v>901</v>
      </c>
      <c r="F265" s="11" t="s">
        <v>902</v>
      </c>
      <c r="G265" s="11"/>
      <c r="H265" s="11"/>
    </row>
    <row r="266" spans="1:8" ht="37.5" customHeight="1" x14ac:dyDescent="0.25">
      <c r="A266" s="51" t="str">
        <f t="shared" si="0"/>
        <v>JACARAÚ/ECI AUZIRA LISBOA</v>
      </c>
      <c r="B266" s="2">
        <v>13074</v>
      </c>
      <c r="C266" s="52" t="s">
        <v>903</v>
      </c>
      <c r="D266" s="11" t="s">
        <v>904</v>
      </c>
      <c r="E266" s="11" t="s">
        <v>905</v>
      </c>
      <c r="F266" s="11" t="s">
        <v>906</v>
      </c>
      <c r="G266" s="11"/>
      <c r="H266" s="11"/>
    </row>
    <row r="267" spans="1:8" ht="37.5" customHeight="1" x14ac:dyDescent="0.25">
      <c r="A267" s="51" t="str">
        <f t="shared" si="0"/>
        <v>JACARAÚ/JACARAU - 13074.01 - Rua Augusto Luna, s/n - Centro</v>
      </c>
      <c r="B267" s="2">
        <v>13074</v>
      </c>
      <c r="C267" s="52" t="s">
        <v>903</v>
      </c>
      <c r="D267" s="11" t="s">
        <v>904</v>
      </c>
      <c r="E267" s="11" t="s">
        <v>907</v>
      </c>
      <c r="F267" s="11" t="s">
        <v>908</v>
      </c>
      <c r="G267" s="11"/>
      <c r="H267" s="11"/>
    </row>
    <row r="268" spans="1:8" ht="37.5" customHeight="1" x14ac:dyDescent="0.25">
      <c r="A268" s="51" t="str">
        <f t="shared" si="0"/>
        <v>JERICO/JERICO - 13075.01 - Rua Artur Dantas</v>
      </c>
      <c r="B268" s="2">
        <v>13075</v>
      </c>
      <c r="C268" s="26" t="s">
        <v>909</v>
      </c>
      <c r="D268" s="27" t="s">
        <v>910</v>
      </c>
      <c r="E268" s="11" t="s">
        <v>911</v>
      </c>
      <c r="F268" s="11" t="s">
        <v>912</v>
      </c>
      <c r="G268" s="11"/>
      <c r="H268" s="11"/>
    </row>
    <row r="269" spans="1:8" ht="37.5" customHeight="1" x14ac:dyDescent="0.25">
      <c r="A269" s="51" t="str">
        <f t="shared" si="0"/>
        <v>JERICO/JERICO - 13075.02 - Rua Lopes de Figueiredo, S/N Centro de Jericó</v>
      </c>
      <c r="B269" s="2">
        <v>13075</v>
      </c>
      <c r="C269" s="26" t="s">
        <v>909</v>
      </c>
      <c r="D269" s="27" t="s">
        <v>910</v>
      </c>
      <c r="E269" s="11" t="s">
        <v>913</v>
      </c>
      <c r="F269" s="11" t="s">
        <v>914</v>
      </c>
      <c r="G269" s="11"/>
      <c r="H269" s="11"/>
    </row>
    <row r="270" spans="1:8" ht="37.5" customHeight="1" x14ac:dyDescent="0.25">
      <c r="A270" s="51" t="str">
        <f t="shared" si="0"/>
        <v>JERICO/SERVIÇO DE CONVIVENCIA E FORTALECIMENTO DE VINCULOS-SCFV-JERICO</v>
      </c>
      <c r="B270" s="2">
        <v>13075</v>
      </c>
      <c r="C270" s="26" t="s">
        <v>909</v>
      </c>
      <c r="D270" s="27" t="s">
        <v>910</v>
      </c>
      <c r="E270" s="11" t="s">
        <v>915</v>
      </c>
      <c r="F270" s="11" t="s">
        <v>916</v>
      </c>
      <c r="G270" s="11"/>
      <c r="H270" s="11"/>
    </row>
    <row r="271" spans="1:8" ht="37.5" customHeight="1" x14ac:dyDescent="0.25">
      <c r="A271" s="51" t="str">
        <f t="shared" si="0"/>
        <v>JERICO/EMEF. JOAO ROSADO DE OLIVEIRA</v>
      </c>
      <c r="B271" s="2">
        <v>13075</v>
      </c>
      <c r="C271" s="26" t="s">
        <v>909</v>
      </c>
      <c r="D271" s="27" t="s">
        <v>910</v>
      </c>
      <c r="E271" s="11" t="s">
        <v>917</v>
      </c>
      <c r="F271" s="11" t="s">
        <v>918</v>
      </c>
      <c r="G271" s="11"/>
      <c r="H271" s="11"/>
    </row>
    <row r="272" spans="1:8" ht="37.5" customHeight="1" x14ac:dyDescent="0.25">
      <c r="A272" s="51" t="str">
        <f t="shared" si="0"/>
        <v>JOAO PESSOA/ECIT MANGABEIRA (ECIT PASTOR JOÃO PEREIRA GOMES FILHO)</v>
      </c>
      <c r="B272" s="2">
        <v>13076</v>
      </c>
      <c r="C272" s="26" t="s">
        <v>48</v>
      </c>
      <c r="D272" s="11" t="s">
        <v>919</v>
      </c>
      <c r="E272" s="11" t="s">
        <v>920</v>
      </c>
      <c r="F272" s="11" t="s">
        <v>921</v>
      </c>
      <c r="G272" s="11"/>
      <c r="H272" s="11"/>
    </row>
    <row r="273" spans="1:8" ht="37.5" customHeight="1" x14ac:dyDescent="0.25">
      <c r="A273" s="51" t="str">
        <f t="shared" si="0"/>
        <v>JOAO PESSOA/EEEF PROFESSORA ANTONIA RANGEL DE FARIAS</v>
      </c>
      <c r="B273" s="2">
        <v>13076</v>
      </c>
      <c r="C273" s="26" t="s">
        <v>48</v>
      </c>
      <c r="D273" s="11" t="s">
        <v>919</v>
      </c>
      <c r="E273" s="11" t="s">
        <v>922</v>
      </c>
      <c r="F273" s="11" t="s">
        <v>923</v>
      </c>
      <c r="G273" s="11"/>
      <c r="H273" s="11"/>
    </row>
    <row r="274" spans="1:8" ht="37.5" customHeight="1" x14ac:dyDescent="0.25">
      <c r="A274" s="51" t="str">
        <f t="shared" si="0"/>
        <v>JOAO PESSOA/ECI FAC - FRANCISCA ASCENSSÃO CUNHA</v>
      </c>
      <c r="B274" s="2">
        <v>13076</v>
      </c>
      <c r="C274" s="26" t="s">
        <v>48</v>
      </c>
      <c r="D274" s="11" t="s">
        <v>919</v>
      </c>
      <c r="E274" s="11" t="s">
        <v>924</v>
      </c>
      <c r="F274" s="11" t="s">
        <v>925</v>
      </c>
      <c r="G274" s="11"/>
      <c r="H274" s="11"/>
    </row>
    <row r="275" spans="1:8" ht="37.5" customHeight="1" x14ac:dyDescent="0.25">
      <c r="A275" s="51" t="str">
        <f t="shared" si="0"/>
        <v>JOAO PESSOA/ECI LUIZ RAMALHO</v>
      </c>
      <c r="B275" s="2">
        <v>13076</v>
      </c>
      <c r="C275" s="26" t="s">
        <v>48</v>
      </c>
      <c r="D275" s="11" t="s">
        <v>919</v>
      </c>
      <c r="E275" s="11" t="s">
        <v>926</v>
      </c>
      <c r="F275" s="11" t="s">
        <v>927</v>
      </c>
      <c r="G275" s="11"/>
      <c r="H275" s="11"/>
    </row>
    <row r="276" spans="1:8" ht="37.5" customHeight="1" x14ac:dyDescent="0.25">
      <c r="A276" s="51" t="str">
        <f t="shared" si="0"/>
        <v>JOAO PESSOA/ECI RAUL MACHADO</v>
      </c>
      <c r="B276" s="2">
        <v>13076</v>
      </c>
      <c r="C276" s="26" t="s">
        <v>48</v>
      </c>
      <c r="D276" s="11" t="s">
        <v>919</v>
      </c>
      <c r="E276" s="11" t="s">
        <v>928</v>
      </c>
      <c r="F276" s="11" t="s">
        <v>929</v>
      </c>
      <c r="G276" s="11"/>
      <c r="H276" s="11"/>
    </row>
    <row r="277" spans="1:8" ht="37.5" customHeight="1" x14ac:dyDescent="0.25">
      <c r="A277" s="51" t="str">
        <f t="shared" si="0"/>
        <v>JOAO PESSOA/ECIT DAURA SANTTIAGO</v>
      </c>
      <c r="B277" s="2">
        <v>13076</v>
      </c>
      <c r="C277" s="26" t="s">
        <v>48</v>
      </c>
      <c r="D277" s="11" t="s">
        <v>919</v>
      </c>
      <c r="E277" s="11" t="s">
        <v>930</v>
      </c>
      <c r="F277" s="11" t="s">
        <v>931</v>
      </c>
      <c r="G277" s="11"/>
      <c r="H277" s="11"/>
    </row>
    <row r="278" spans="1:8" ht="37.5" customHeight="1" x14ac:dyDescent="0.25">
      <c r="A278" s="51" t="str">
        <f t="shared" si="0"/>
        <v>JOAO PESSOA/ECIT MANGABEIRA</v>
      </c>
      <c r="B278" s="2">
        <v>13076</v>
      </c>
      <c r="C278" s="26" t="s">
        <v>48</v>
      </c>
      <c r="D278" s="27" t="s">
        <v>919</v>
      </c>
      <c r="E278" s="11" t="s">
        <v>932</v>
      </c>
      <c r="F278" s="11" t="s">
        <v>933</v>
      </c>
      <c r="G278" s="11"/>
      <c r="H278" s="11"/>
    </row>
    <row r="279" spans="1:8" ht="37.5" customHeight="1" x14ac:dyDescent="0.25">
      <c r="A279" s="51" t="str">
        <f t="shared" si="0"/>
        <v>JOAO PESSOA/ECIT MARIA DOCARMO</v>
      </c>
      <c r="B279" s="2">
        <v>13076</v>
      </c>
      <c r="C279" s="26" t="s">
        <v>48</v>
      </c>
      <c r="D279" s="27" t="s">
        <v>919</v>
      </c>
      <c r="E279" s="11" t="s">
        <v>934</v>
      </c>
      <c r="F279" s="11" t="s">
        <v>935</v>
      </c>
      <c r="G279" s="11"/>
      <c r="H279" s="11"/>
    </row>
    <row r="280" spans="1:8" ht="37.5" customHeight="1" x14ac:dyDescent="0.25">
      <c r="A280" s="51" t="str">
        <f t="shared" si="0"/>
        <v>JOAO PESSOA/ECIT OSWALDO PESSOA</v>
      </c>
      <c r="B280" s="2">
        <v>13076</v>
      </c>
      <c r="C280" s="26" t="s">
        <v>48</v>
      </c>
      <c r="D280" s="27" t="s">
        <v>919</v>
      </c>
      <c r="E280" s="11" t="s">
        <v>936</v>
      </c>
      <c r="F280" s="11" t="s">
        <v>937</v>
      </c>
      <c r="G280" s="11"/>
      <c r="H280" s="11"/>
    </row>
    <row r="281" spans="1:8" ht="37.5" customHeight="1" x14ac:dyDescent="0.25">
      <c r="A281" s="51" t="str">
        <f t="shared" si="0"/>
        <v>JOAO PESSOA/ECIT FRANCISCA ASCENSÃO CUNHA</v>
      </c>
      <c r="B281" s="2">
        <v>13076</v>
      </c>
      <c r="C281" s="26" t="s">
        <v>48</v>
      </c>
      <c r="D281" s="27" t="s">
        <v>919</v>
      </c>
      <c r="E281" s="11" t="s">
        <v>938</v>
      </c>
      <c r="F281" s="11" t="s">
        <v>939</v>
      </c>
      <c r="G281" s="11"/>
      <c r="H281" s="11"/>
    </row>
    <row r="282" spans="1:8" ht="37.5" customHeight="1" x14ac:dyDescent="0.25">
      <c r="A282" s="51" t="str">
        <f t="shared" si="0"/>
        <v>JOAO PESSOA/CEEEA SESQUICENTENARIO</v>
      </c>
      <c r="B282" s="2">
        <v>13076</v>
      </c>
      <c r="C282" s="26" t="s">
        <v>48</v>
      </c>
      <c r="D282" s="27" t="s">
        <v>919</v>
      </c>
      <c r="E282" s="11" t="s">
        <v>940</v>
      </c>
      <c r="F282" s="11" t="s">
        <v>941</v>
      </c>
      <c r="G282" s="11"/>
      <c r="H282" s="11"/>
    </row>
    <row r="283" spans="1:8" ht="37.5" customHeight="1" x14ac:dyDescent="0.25">
      <c r="A283" s="51" t="str">
        <f t="shared" si="0"/>
        <v>JOAO PESSOA/CENTRO PROFIS DEP ANTONIO CABRAL</v>
      </c>
      <c r="B283" s="2">
        <v>13076</v>
      </c>
      <c r="C283" s="26" t="s">
        <v>48</v>
      </c>
      <c r="D283" s="27" t="s">
        <v>919</v>
      </c>
      <c r="E283" s="11" t="s">
        <v>942</v>
      </c>
      <c r="F283" s="11" t="s">
        <v>943</v>
      </c>
      <c r="G283" s="11"/>
      <c r="H283" s="11"/>
    </row>
    <row r="284" spans="1:8" ht="37.5" customHeight="1" x14ac:dyDescent="0.25">
      <c r="A284" s="51" t="str">
        <f t="shared" si="0"/>
        <v>JOAO PESSOA/ECI CONEGO FRANCISCO GOMES DE LIMA</v>
      </c>
      <c r="B284" s="2">
        <v>13076</v>
      </c>
      <c r="C284" s="26" t="s">
        <v>48</v>
      </c>
      <c r="D284" s="11" t="s">
        <v>919</v>
      </c>
      <c r="E284" s="11" t="s">
        <v>944</v>
      </c>
      <c r="F284" s="11" t="s">
        <v>945</v>
      </c>
      <c r="G284" s="11"/>
      <c r="H284" s="11"/>
    </row>
    <row r="285" spans="1:8" ht="37.5" customHeight="1" x14ac:dyDescent="0.25">
      <c r="A285" s="51" t="str">
        <f t="shared" si="0"/>
        <v>JOAO PESSOA/ECI LUIS RAMALHO</v>
      </c>
      <c r="B285" s="2">
        <v>13076</v>
      </c>
      <c r="C285" s="26" t="s">
        <v>48</v>
      </c>
      <c r="D285" s="11" t="s">
        <v>919</v>
      </c>
      <c r="E285" s="11" t="s">
        <v>946</v>
      </c>
      <c r="F285" s="11" t="s">
        <v>947</v>
      </c>
      <c r="G285" s="11"/>
      <c r="H285" s="11"/>
    </row>
    <row r="286" spans="1:8" ht="37.5" customHeight="1" x14ac:dyDescent="0.25">
      <c r="A286" s="51" t="str">
        <f t="shared" si="0"/>
        <v>JOAO PESSOA/ECI OLIVIO PINTO</v>
      </c>
      <c r="B286" s="2">
        <v>13076</v>
      </c>
      <c r="C286" s="26" t="s">
        <v>48</v>
      </c>
      <c r="D286" s="11" t="s">
        <v>919</v>
      </c>
      <c r="E286" s="11" t="s">
        <v>948</v>
      </c>
      <c r="F286" s="11" t="s">
        <v>949</v>
      </c>
      <c r="G286" s="11"/>
      <c r="H286" s="11"/>
    </row>
    <row r="287" spans="1:8" ht="37.5" customHeight="1" x14ac:dyDescent="0.25">
      <c r="A287" s="51" t="str">
        <f t="shared" si="0"/>
        <v>JOAO PESSOA/ECI PAPA PAULO VI</v>
      </c>
      <c r="B287" s="2">
        <v>13076</v>
      </c>
      <c r="C287" s="26" t="s">
        <v>48</v>
      </c>
      <c r="D287" s="11" t="s">
        <v>919</v>
      </c>
      <c r="E287" s="11" t="s">
        <v>950</v>
      </c>
      <c r="F287" s="11" t="s">
        <v>951</v>
      </c>
      <c r="G287" s="11"/>
      <c r="H287" s="11"/>
    </row>
    <row r="288" spans="1:8" ht="37.5" customHeight="1" x14ac:dyDescent="0.25">
      <c r="A288" s="51" t="str">
        <f t="shared" si="0"/>
        <v>JOAO PESSOA/ECIT ALICE CARNEIRO</v>
      </c>
      <c r="B288" s="2">
        <v>13076</v>
      </c>
      <c r="C288" s="26" t="s">
        <v>48</v>
      </c>
      <c r="D288" s="11" t="s">
        <v>919</v>
      </c>
      <c r="E288" s="11" t="s">
        <v>952</v>
      </c>
      <c r="F288" s="11" t="s">
        <v>953</v>
      </c>
      <c r="G288" s="11"/>
      <c r="H288" s="11"/>
    </row>
    <row r="289" spans="1:8" ht="37.5" customHeight="1" x14ac:dyDescent="0.25">
      <c r="A289" s="51" t="str">
        <f t="shared" si="0"/>
        <v>JOAO PESSOA/EEEF PROF ORLANDO CAVALCANTI GOMES</v>
      </c>
      <c r="B289" s="2">
        <v>13076</v>
      </c>
      <c r="C289" s="26" t="s">
        <v>48</v>
      </c>
      <c r="D289" s="27" t="s">
        <v>919</v>
      </c>
      <c r="E289" s="11" t="s">
        <v>954</v>
      </c>
      <c r="F289" s="11" t="s">
        <v>955</v>
      </c>
      <c r="G289" s="11"/>
      <c r="H289" s="11"/>
    </row>
    <row r="290" spans="1:8" ht="37.5" customHeight="1" x14ac:dyDescent="0.25">
      <c r="A290" s="51" t="str">
        <f t="shared" si="0"/>
        <v>JOAO PESSOA/SEDE (SEECT)</v>
      </c>
      <c r="B290" s="2">
        <v>13076</v>
      </c>
      <c r="C290" s="26" t="s">
        <v>48</v>
      </c>
      <c r="D290" s="27" t="s">
        <v>919</v>
      </c>
      <c r="E290" s="11" t="s">
        <v>956</v>
      </c>
      <c r="F290" s="11" t="s">
        <v>957</v>
      </c>
      <c r="G290" s="11"/>
      <c r="H290" s="11"/>
    </row>
    <row r="291" spans="1:8" ht="37.5" customHeight="1" x14ac:dyDescent="0.25">
      <c r="A291" s="51" t="str">
        <f t="shared" si="0"/>
        <v>JOAO PESSOA/ECIT MONSENHOR PEDRO ANÍSIO BEZERRA DANTAS</v>
      </c>
      <c r="B291" s="2">
        <v>13076</v>
      </c>
      <c r="C291" s="26" t="s">
        <v>48</v>
      </c>
      <c r="D291" s="27" t="s">
        <v>919</v>
      </c>
      <c r="E291" s="11" t="s">
        <v>958</v>
      </c>
      <c r="F291" s="11" t="s">
        <v>959</v>
      </c>
      <c r="G291" s="11"/>
      <c r="H291" s="11"/>
    </row>
    <row r="292" spans="1:8" ht="37.5" customHeight="1" x14ac:dyDescent="0.25">
      <c r="A292" s="51" t="str">
        <f t="shared" si="0"/>
        <v>JOAO PESSOA/ECIT MANOEL LISBOA</v>
      </c>
      <c r="B292" s="2">
        <v>13076</v>
      </c>
      <c r="C292" s="26" t="s">
        <v>48</v>
      </c>
      <c r="D292" s="27" t="s">
        <v>919</v>
      </c>
      <c r="E292" s="11" t="s">
        <v>960</v>
      </c>
      <c r="F292" s="11" t="s">
        <v>961</v>
      </c>
      <c r="G292" s="11"/>
      <c r="H292" s="11"/>
    </row>
    <row r="293" spans="1:8" ht="37.5" customHeight="1" x14ac:dyDescent="0.25">
      <c r="A293" s="51" t="str">
        <f t="shared" si="0"/>
        <v>JOAO PESSOA/COLÉGIO DA POLÍCIA MILITAR ESTUDANTE REBECA CRISTINA ALVES SIMÕES</v>
      </c>
      <c r="B293" s="2">
        <v>13076</v>
      </c>
      <c r="C293" s="26" t="s">
        <v>48</v>
      </c>
      <c r="D293" s="11" t="s">
        <v>919</v>
      </c>
      <c r="E293" s="11" t="s">
        <v>962</v>
      </c>
      <c r="F293" s="11" t="s">
        <v>963</v>
      </c>
      <c r="G293" s="11"/>
      <c r="H293" s="11"/>
    </row>
    <row r="294" spans="1:8" ht="37.5" customHeight="1" x14ac:dyDescent="0.25">
      <c r="A294" s="51" t="str">
        <f t="shared" si="0"/>
        <v>JOAO PESSOA/ECIT PRESIDENTE JOÃO GOULART</v>
      </c>
      <c r="B294" s="2">
        <v>13076</v>
      </c>
      <c r="C294" s="26" t="s">
        <v>48</v>
      </c>
      <c r="D294" s="11" t="s">
        <v>919</v>
      </c>
      <c r="E294" s="11" t="s">
        <v>964</v>
      </c>
      <c r="F294" s="11" t="s">
        <v>965</v>
      </c>
      <c r="G294" s="11"/>
      <c r="H294" s="11"/>
    </row>
    <row r="295" spans="1:8" ht="37.5" customHeight="1" x14ac:dyDescent="0.25">
      <c r="A295" s="51" t="str">
        <f t="shared" si="0"/>
        <v>JOAO PESSOA/ECIT MARIA DO CARMO DE MIRANDA</v>
      </c>
      <c r="B295" s="2">
        <v>13076</v>
      </c>
      <c r="C295" s="26" t="s">
        <v>48</v>
      </c>
      <c r="D295" s="11" t="s">
        <v>919</v>
      </c>
      <c r="E295" s="11" t="s">
        <v>966</v>
      </c>
      <c r="F295" s="11" t="s">
        <v>967</v>
      </c>
      <c r="G295" s="11"/>
      <c r="H295" s="11"/>
    </row>
    <row r="296" spans="1:8" ht="37.5" customHeight="1" x14ac:dyDescent="0.25">
      <c r="A296" s="51" t="str">
        <f t="shared" si="0"/>
        <v>JOAO PESSOA/CENTRO PROFISSIONALIZANTE DEPUTADO ANTÔNIO CABRAL</v>
      </c>
      <c r="B296" s="2">
        <v>13076</v>
      </c>
      <c r="C296" s="26" t="s">
        <v>48</v>
      </c>
      <c r="D296" s="11" t="s">
        <v>919</v>
      </c>
      <c r="E296" s="11" t="s">
        <v>968</v>
      </c>
      <c r="F296" s="11" t="s">
        <v>969</v>
      </c>
      <c r="G296" s="11"/>
      <c r="H296" s="11"/>
    </row>
    <row r="297" spans="1:8" ht="37.5" customHeight="1" x14ac:dyDescent="0.25">
      <c r="A297" s="51" t="str">
        <f t="shared" si="0"/>
        <v>JOAO PESSOA/ECIT DOM JOSÉ MARIA PIRES</v>
      </c>
      <c r="B297" s="2">
        <v>13076</v>
      </c>
      <c r="C297" s="26" t="s">
        <v>48</v>
      </c>
      <c r="D297" s="11" t="s">
        <v>919</v>
      </c>
      <c r="E297" s="11" t="s">
        <v>970</v>
      </c>
      <c r="F297" s="11" t="s">
        <v>971</v>
      </c>
      <c r="G297" s="11"/>
      <c r="H297" s="11"/>
    </row>
    <row r="298" spans="1:8" ht="37.5" customHeight="1" x14ac:dyDescent="0.25">
      <c r="A298" s="51" t="str">
        <f t="shared" si="0"/>
        <v>JOAO PESSOA/ECIT PREFEITO OSWALDO PESSOA</v>
      </c>
      <c r="B298" s="2">
        <v>13076</v>
      </c>
      <c r="C298" s="26" t="s">
        <v>48</v>
      </c>
      <c r="D298" s="11" t="s">
        <v>919</v>
      </c>
      <c r="E298" s="11" t="s">
        <v>972</v>
      </c>
      <c r="F298" s="11" t="s">
        <v>973</v>
      </c>
      <c r="G298" s="11"/>
      <c r="H298" s="11"/>
    </row>
    <row r="299" spans="1:8" ht="37.5" customHeight="1" x14ac:dyDescent="0.25">
      <c r="A299" s="51" t="str">
        <f t="shared" si="0"/>
        <v>JOAO PESSOA/ECIT PASTOR JOÃO PEREIRA GOMES FILHO</v>
      </c>
      <c r="B299" s="2">
        <v>13076</v>
      </c>
      <c r="C299" s="26" t="s">
        <v>48</v>
      </c>
      <c r="D299" s="11" t="s">
        <v>919</v>
      </c>
      <c r="E299" s="11" t="s">
        <v>974</v>
      </c>
      <c r="F299" s="11" t="s">
        <v>975</v>
      </c>
      <c r="G299" s="11"/>
      <c r="H299" s="11"/>
    </row>
    <row r="300" spans="1:8" ht="37.5" customHeight="1" x14ac:dyDescent="0.25">
      <c r="A300" s="51" t="str">
        <f t="shared" si="0"/>
        <v>JOAO PESSOA/ECIT RAUL MACHADO</v>
      </c>
      <c r="B300" s="2">
        <v>13076</v>
      </c>
      <c r="C300" s="26" t="s">
        <v>48</v>
      </c>
      <c r="D300" s="11" t="s">
        <v>919</v>
      </c>
      <c r="E300" s="11" t="s">
        <v>976</v>
      </c>
      <c r="F300" s="11" t="s">
        <v>977</v>
      </c>
      <c r="G300" s="11"/>
      <c r="H300" s="11"/>
    </row>
    <row r="301" spans="1:8" ht="37.5" customHeight="1" x14ac:dyDescent="0.25">
      <c r="A301" s="51" t="str">
        <f t="shared" si="0"/>
        <v>JOAO PESSOA/ECIT PROF. RAUL CÓRDULA</v>
      </c>
      <c r="B301" s="2">
        <v>13076</v>
      </c>
      <c r="C301" s="26" t="s">
        <v>48</v>
      </c>
      <c r="D301" s="11" t="s">
        <v>919</v>
      </c>
      <c r="E301" s="11" t="s">
        <v>600</v>
      </c>
      <c r="F301" s="11" t="s">
        <v>978</v>
      </c>
      <c r="G301" s="11"/>
      <c r="H301" s="11"/>
    </row>
    <row r="302" spans="1:8" ht="37.5" customHeight="1" x14ac:dyDescent="0.25">
      <c r="A302" s="51" t="str">
        <f t="shared" si="0"/>
        <v>JOAO PESSOA/ECIT MANOEL LISBOA DE MOURA</v>
      </c>
      <c r="B302" s="2">
        <v>13076</v>
      </c>
      <c r="C302" s="26" t="s">
        <v>48</v>
      </c>
      <c r="D302" s="11" t="s">
        <v>919</v>
      </c>
      <c r="E302" s="11" t="s">
        <v>979</v>
      </c>
      <c r="F302" s="11" t="s">
        <v>980</v>
      </c>
      <c r="G302" s="11"/>
      <c r="H302" s="11"/>
    </row>
    <row r="303" spans="1:8" ht="37.5" customHeight="1" x14ac:dyDescent="0.25">
      <c r="A303" s="51" t="str">
        <f t="shared" si="0"/>
        <v>JOAO PESSOA/ECIT PROFA OLIVINA OLÍVIA CARNEIRO DA CUNHA</v>
      </c>
      <c r="B303" s="2">
        <v>13076</v>
      </c>
      <c r="C303" s="26" t="s">
        <v>48</v>
      </c>
      <c r="D303" s="11" t="s">
        <v>919</v>
      </c>
      <c r="E303" s="11" t="s">
        <v>981</v>
      </c>
      <c r="F303" s="11" t="s">
        <v>982</v>
      </c>
      <c r="G303" s="11"/>
      <c r="H303" s="11"/>
    </row>
    <row r="304" spans="1:8" ht="37.5" customHeight="1" x14ac:dyDescent="0.25">
      <c r="A304" s="51" t="str">
        <f t="shared" si="0"/>
        <v>JOAO PESSOA/ECIT MESTRE SIVUCA</v>
      </c>
      <c r="B304" s="2">
        <v>13076</v>
      </c>
      <c r="C304" s="26" t="s">
        <v>48</v>
      </c>
      <c r="D304" s="11" t="s">
        <v>919</v>
      </c>
      <c r="E304" s="11" t="s">
        <v>983</v>
      </c>
      <c r="F304" s="11" t="s">
        <v>984</v>
      </c>
      <c r="G304" s="11"/>
      <c r="H304" s="11"/>
    </row>
    <row r="305" spans="1:8" ht="37.5" customHeight="1" x14ac:dyDescent="0.25">
      <c r="A305" s="51" t="str">
        <f t="shared" si="0"/>
        <v>JOAO PESSOA/ECIT PAPA PAULO VI</v>
      </c>
      <c r="B305" s="2">
        <v>13076</v>
      </c>
      <c r="C305" s="26" t="s">
        <v>48</v>
      </c>
      <c r="D305" s="11" t="s">
        <v>919</v>
      </c>
      <c r="E305" s="11" t="s">
        <v>985</v>
      </c>
      <c r="F305" s="11" t="s">
        <v>986</v>
      </c>
      <c r="G305" s="11"/>
      <c r="H305" s="11"/>
    </row>
    <row r="306" spans="1:8" ht="37.5" customHeight="1" x14ac:dyDescent="0.25">
      <c r="A306" s="51" t="str">
        <f t="shared" si="0"/>
        <v>JOAO PESSOA/ECIT HORÁCIO DE ALMEIDA</v>
      </c>
      <c r="B306" s="2">
        <v>13076</v>
      </c>
      <c r="C306" s="26" t="s">
        <v>48</v>
      </c>
      <c r="D306" s="11" t="s">
        <v>919</v>
      </c>
      <c r="E306" s="11" t="s">
        <v>987</v>
      </c>
      <c r="F306" s="11" t="s">
        <v>988</v>
      </c>
      <c r="G306" s="11"/>
      <c r="H306" s="11"/>
    </row>
    <row r="307" spans="1:8" ht="37.5" customHeight="1" x14ac:dyDescent="0.25">
      <c r="A307" s="51" t="str">
        <f t="shared" si="0"/>
        <v>JOAO PESSOA/ECIT DAURA SANTIAGO RANGEL</v>
      </c>
      <c r="B307" s="2">
        <v>13076</v>
      </c>
      <c r="C307" s="26" t="s">
        <v>48</v>
      </c>
      <c r="D307" s="11" t="s">
        <v>919</v>
      </c>
      <c r="E307" s="11" t="s">
        <v>989</v>
      </c>
      <c r="F307" s="11" t="s">
        <v>990</v>
      </c>
      <c r="G307" s="11"/>
      <c r="H307" s="11"/>
    </row>
    <row r="308" spans="1:8" ht="37.5" customHeight="1" x14ac:dyDescent="0.25">
      <c r="A308" s="51" t="str">
        <f t="shared" si="0"/>
        <v>JOAO PESSOA/ECIT JOÃO ROBERTO BORGES DE SOUZA</v>
      </c>
      <c r="B308" s="2">
        <v>13076</v>
      </c>
      <c r="C308" s="26" t="s">
        <v>48</v>
      </c>
      <c r="D308" s="27" t="s">
        <v>919</v>
      </c>
      <c r="E308" s="11" t="s">
        <v>991</v>
      </c>
      <c r="F308" s="11" t="s">
        <v>992</v>
      </c>
      <c r="G308" s="11"/>
      <c r="H308" s="11"/>
    </row>
    <row r="309" spans="1:8" ht="37.5" customHeight="1" x14ac:dyDescent="0.25">
      <c r="A309" s="51" t="str">
        <f t="shared" si="0"/>
        <v>JOAO PESSOA/ECIT LUIZ GONZAGA DE ALBUQUERQUE BURITY</v>
      </c>
      <c r="B309" s="2">
        <v>13076</v>
      </c>
      <c r="C309" s="26" t="s">
        <v>48</v>
      </c>
      <c r="D309" s="27" t="s">
        <v>919</v>
      </c>
      <c r="E309" s="11" t="s">
        <v>993</v>
      </c>
      <c r="F309" s="11" t="s">
        <v>994</v>
      </c>
      <c r="G309" s="11"/>
      <c r="H309" s="11"/>
    </row>
    <row r="310" spans="1:8" ht="37.5" customHeight="1" x14ac:dyDescent="0.25">
      <c r="A310" s="51" t="str">
        <f t="shared" si="0"/>
        <v>JOAO PESSOA/ECIT PADRE HILDON BANDEIRA</v>
      </c>
      <c r="B310" s="2">
        <v>13076</v>
      </c>
      <c r="C310" s="26" t="s">
        <v>48</v>
      </c>
      <c r="D310" s="27" t="s">
        <v>919</v>
      </c>
      <c r="E310" s="11" t="s">
        <v>995</v>
      </c>
      <c r="F310" s="11" t="s">
        <v>996</v>
      </c>
      <c r="G310" s="11"/>
      <c r="H310" s="11"/>
    </row>
    <row r="311" spans="1:8" ht="37.5" customHeight="1" x14ac:dyDescent="0.25">
      <c r="A311" s="51" t="str">
        <f t="shared" si="0"/>
        <v>JOAO PESSOA/ECIT LICEU PARAIBANO</v>
      </c>
      <c r="B311" s="2">
        <v>13076</v>
      </c>
      <c r="C311" s="26" t="s">
        <v>48</v>
      </c>
      <c r="D311" s="27" t="s">
        <v>919</v>
      </c>
      <c r="E311" s="11" t="s">
        <v>997</v>
      </c>
      <c r="F311" s="11" t="s">
        <v>998</v>
      </c>
      <c r="G311" s="11"/>
      <c r="H311" s="11"/>
    </row>
    <row r="312" spans="1:8" ht="37.5" customHeight="1" x14ac:dyDescent="0.25">
      <c r="A312" s="51" t="str">
        <f t="shared" si="0"/>
        <v>JOAO PESSOA/EEEFM PROF CELESTIN MALZAC</v>
      </c>
      <c r="B312" s="2">
        <v>13076</v>
      </c>
      <c r="C312" s="26" t="s">
        <v>48</v>
      </c>
      <c r="D312" s="27" t="s">
        <v>919</v>
      </c>
      <c r="E312" s="11" t="s">
        <v>999</v>
      </c>
      <c r="F312" s="11" t="s">
        <v>1000</v>
      </c>
      <c r="G312" s="11"/>
      <c r="H312" s="11"/>
    </row>
    <row r="313" spans="1:8" ht="37.5" customHeight="1" x14ac:dyDescent="0.25">
      <c r="A313" s="51" t="str">
        <f t="shared" si="0"/>
        <v>JOAO PESSOA/EEEM CON LUIZ GONZAGA DE OLIVEIRA</v>
      </c>
      <c r="B313" s="2">
        <v>13076</v>
      </c>
      <c r="C313" s="26" t="s">
        <v>48</v>
      </c>
      <c r="D313" s="27" t="s">
        <v>919</v>
      </c>
      <c r="E313" s="11" t="s">
        <v>1001</v>
      </c>
      <c r="F313" s="11" t="s">
        <v>1002</v>
      </c>
      <c r="G313" s="11"/>
      <c r="H313" s="11"/>
    </row>
    <row r="314" spans="1:8" ht="37.5" customHeight="1" x14ac:dyDescent="0.25">
      <c r="A314" s="51" t="str">
        <f t="shared" si="0"/>
        <v>JOAO PESSOA/EEEF DR OTAVIO NOVAIS</v>
      </c>
      <c r="B314" s="2">
        <v>13076</v>
      </c>
      <c r="C314" s="26" t="s">
        <v>48</v>
      </c>
      <c r="D314" s="27" t="s">
        <v>919</v>
      </c>
      <c r="E314" s="11" t="s">
        <v>1003</v>
      </c>
      <c r="F314" s="11" t="s">
        <v>1004</v>
      </c>
      <c r="G314" s="11"/>
      <c r="H314" s="11"/>
    </row>
    <row r="315" spans="1:8" ht="37.5" customHeight="1" x14ac:dyDescent="0.25">
      <c r="A315" s="51" t="str">
        <f t="shared" si="0"/>
        <v>JOAO PESSOA/EEEFM DOMINGOS JOSE DA PAIXAO</v>
      </c>
      <c r="B315" s="2">
        <v>13076</v>
      </c>
      <c r="C315" s="26" t="s">
        <v>48</v>
      </c>
      <c r="D315" s="27" t="s">
        <v>919</v>
      </c>
      <c r="E315" s="11" t="s">
        <v>1005</v>
      </c>
      <c r="F315" s="11" t="s">
        <v>1006</v>
      </c>
      <c r="G315" s="11"/>
      <c r="H315" s="11"/>
    </row>
    <row r="316" spans="1:8" ht="37.5" customHeight="1" x14ac:dyDescent="0.25">
      <c r="A316" s="51" t="str">
        <f t="shared" si="0"/>
        <v>JOAO PESSOA/EEEFM DR JOAO NAVARRO FILHO</v>
      </c>
      <c r="B316" s="2">
        <v>13076</v>
      </c>
      <c r="C316" s="26" t="s">
        <v>48</v>
      </c>
      <c r="D316" s="27" t="s">
        <v>919</v>
      </c>
      <c r="E316" s="11" t="s">
        <v>1007</v>
      </c>
      <c r="F316" s="11" t="s">
        <v>1008</v>
      </c>
      <c r="G316" s="11"/>
      <c r="H316" s="11"/>
    </row>
    <row r="317" spans="1:8" ht="37.5" customHeight="1" x14ac:dyDescent="0.25">
      <c r="A317" s="51" t="str">
        <f t="shared" si="0"/>
        <v>JOAO PESSOA/EEEFM PROF JOSE BAPTISTA DE MELLO</v>
      </c>
      <c r="B317" s="2">
        <v>13076</v>
      </c>
      <c r="C317" s="26" t="s">
        <v>48</v>
      </c>
      <c r="D317" s="27" t="s">
        <v>919</v>
      </c>
      <c r="E317" s="11" t="s">
        <v>1009</v>
      </c>
      <c r="F317" s="11" t="s">
        <v>1010</v>
      </c>
      <c r="G317" s="11"/>
      <c r="H317" s="11"/>
    </row>
    <row r="318" spans="1:8" ht="37.5" customHeight="1" x14ac:dyDescent="0.25">
      <c r="A318" s="51" t="str">
        <f t="shared" si="0"/>
        <v>JOAO PESSOA/EEEFM SANTOS DUMONT</v>
      </c>
      <c r="B318" s="2">
        <v>13076</v>
      </c>
      <c r="C318" s="26" t="s">
        <v>48</v>
      </c>
      <c r="D318" s="27" t="s">
        <v>919</v>
      </c>
      <c r="E318" s="11" t="s">
        <v>1011</v>
      </c>
      <c r="F318" s="11" t="s">
        <v>1012</v>
      </c>
      <c r="G318" s="11"/>
      <c r="H318" s="11"/>
    </row>
    <row r="319" spans="1:8" ht="37.5" customHeight="1" x14ac:dyDescent="0.25">
      <c r="A319" s="51" t="str">
        <f t="shared" si="0"/>
        <v>JOAO PESSOA/EEEF PROFA ARGENTINA PEREIRA GOMES</v>
      </c>
      <c r="B319" s="2">
        <v>13076</v>
      </c>
      <c r="C319" s="26" t="s">
        <v>48</v>
      </c>
      <c r="D319" s="27" t="s">
        <v>919</v>
      </c>
      <c r="E319" s="11" t="s">
        <v>1013</v>
      </c>
      <c r="F319" s="11" t="s">
        <v>1014</v>
      </c>
      <c r="G319" s="11"/>
      <c r="H319" s="11"/>
    </row>
    <row r="320" spans="1:8" ht="37.5" customHeight="1" x14ac:dyDescent="0.25">
      <c r="A320" s="51" t="str">
        <f t="shared" si="0"/>
        <v>JOAO PESSOA/INSTITUTO DE EDUCACAO DA PARAIBA IEP</v>
      </c>
      <c r="B320" s="2">
        <v>13076</v>
      </c>
      <c r="C320" s="26" t="s">
        <v>48</v>
      </c>
      <c r="D320" s="27" t="s">
        <v>919</v>
      </c>
      <c r="E320" s="11" t="s">
        <v>1015</v>
      </c>
      <c r="F320" s="11" t="s">
        <v>1016</v>
      </c>
      <c r="G320" s="11"/>
      <c r="H320" s="11"/>
    </row>
    <row r="321" spans="1:8" ht="37.5" customHeight="1" x14ac:dyDescent="0.25">
      <c r="A321" s="51" t="str">
        <f t="shared" si="0"/>
        <v>JOAO PESSOA/ASSOCIAÇÃO BENEFICENTE SÃO JOSÉ</v>
      </c>
      <c r="B321" s="2">
        <v>13076</v>
      </c>
      <c r="C321" s="26" t="s">
        <v>48</v>
      </c>
      <c r="D321" s="27" t="s">
        <v>919</v>
      </c>
      <c r="E321" s="11" t="s">
        <v>1017</v>
      </c>
      <c r="F321" s="11" t="s">
        <v>1018</v>
      </c>
      <c r="G321" s="11"/>
      <c r="H321" s="11"/>
    </row>
    <row r="322" spans="1:8" ht="37.5" customHeight="1" x14ac:dyDescent="0.25">
      <c r="A322" s="51" t="str">
        <f t="shared" si="0"/>
        <v>JOAO PESSOA/PENITENCIÁRIA DESEMBARGADOR SILVIO PORTO</v>
      </c>
      <c r="B322" s="2">
        <v>13076</v>
      </c>
      <c r="C322" s="26" t="s">
        <v>48</v>
      </c>
      <c r="D322" s="27" t="s">
        <v>919</v>
      </c>
      <c r="E322" s="11" t="s">
        <v>1019</v>
      </c>
      <c r="F322" s="11" t="s">
        <v>1020</v>
      </c>
      <c r="G322" s="11"/>
      <c r="H322" s="11"/>
    </row>
    <row r="323" spans="1:8" ht="37.5" customHeight="1" x14ac:dyDescent="0.25">
      <c r="A323" s="51" t="str">
        <f t="shared" si="0"/>
        <v>JOAO PESSOA/PIA SOCIEDADE DE PE. NICOLA MAZZA</v>
      </c>
      <c r="B323" s="2">
        <v>13076</v>
      </c>
      <c r="C323" s="26" t="s">
        <v>48</v>
      </c>
      <c r="D323" s="27" t="s">
        <v>919</v>
      </c>
      <c r="E323" s="11" t="s">
        <v>1021</v>
      </c>
      <c r="F323" s="11" t="s">
        <v>1022</v>
      </c>
      <c r="G323" s="11"/>
      <c r="H323" s="11"/>
    </row>
    <row r="324" spans="1:8" ht="37.5" customHeight="1" x14ac:dyDescent="0.25">
      <c r="A324" s="51" t="str">
        <f t="shared" si="0"/>
        <v>JOAO PESSOA/INSTITUTO HUMANITAS</v>
      </c>
      <c r="B324" s="2">
        <v>13076</v>
      </c>
      <c r="C324" s="26" t="s">
        <v>48</v>
      </c>
      <c r="D324" s="27" t="s">
        <v>919</v>
      </c>
      <c r="E324" s="11" t="s">
        <v>1023</v>
      </c>
      <c r="F324" s="11" t="s">
        <v>1024</v>
      </c>
      <c r="G324" s="11"/>
      <c r="H324" s="11"/>
    </row>
    <row r="325" spans="1:8" ht="37.5" customHeight="1" x14ac:dyDescent="0.25">
      <c r="A325" s="51" t="str">
        <f t="shared" si="0"/>
        <v>JOAO PESSOA/PENITENCIÁRIA CRIMINALISTA GERALDO BELTRÃO</v>
      </c>
      <c r="B325" s="2">
        <v>13076</v>
      </c>
      <c r="C325" s="26" t="s">
        <v>48</v>
      </c>
      <c r="D325" s="27" t="s">
        <v>919</v>
      </c>
      <c r="E325" s="11" t="s">
        <v>1025</v>
      </c>
      <c r="F325" s="11" t="s">
        <v>1026</v>
      </c>
      <c r="G325" s="11"/>
      <c r="H325" s="11"/>
    </row>
    <row r="326" spans="1:8" ht="37.5" customHeight="1" x14ac:dyDescent="0.25">
      <c r="A326" s="51" t="str">
        <f t="shared" si="0"/>
        <v>JOAO PESSOA/ASSOCIACAO BENEFICENTE SAO JOSE</v>
      </c>
      <c r="B326" s="2">
        <v>13076</v>
      </c>
      <c r="C326" s="26" t="s">
        <v>48</v>
      </c>
      <c r="D326" s="27" t="s">
        <v>919</v>
      </c>
      <c r="E326" s="11" t="s">
        <v>53</v>
      </c>
      <c r="F326" s="11" t="s">
        <v>1027</v>
      </c>
      <c r="G326" s="11"/>
      <c r="H326" s="11"/>
    </row>
    <row r="327" spans="1:8" ht="37.5" customHeight="1" x14ac:dyDescent="0.25">
      <c r="A327" s="51" t="str">
        <f t="shared" si="0"/>
        <v>JOAO PESSOA/CENTRO SOCIAL URBANO MONSENHOR JOSE COUTINHO</v>
      </c>
      <c r="B327" s="2">
        <v>13076</v>
      </c>
      <c r="C327" s="26" t="s">
        <v>48</v>
      </c>
      <c r="D327" s="27" t="s">
        <v>919</v>
      </c>
      <c r="E327" s="11" t="s">
        <v>1028</v>
      </c>
      <c r="F327" s="11" t="s">
        <v>1029</v>
      </c>
      <c r="G327" s="11"/>
      <c r="H327" s="11"/>
    </row>
    <row r="328" spans="1:8" ht="37.5" customHeight="1" x14ac:dyDescent="0.25">
      <c r="A328" s="51" t="str">
        <f t="shared" si="0"/>
        <v>JOAO PESSOA/ECIT DOM JOSE MARIA PIRES</v>
      </c>
      <c r="B328" s="2">
        <v>13076</v>
      </c>
      <c r="C328" s="26" t="s">
        <v>48</v>
      </c>
      <c r="D328" s="27" t="s">
        <v>919</v>
      </c>
      <c r="E328" s="11" t="s">
        <v>1030</v>
      </c>
      <c r="F328" s="11" t="s">
        <v>1031</v>
      </c>
      <c r="G328" s="11"/>
      <c r="H328" s="11"/>
    </row>
    <row r="329" spans="1:8" ht="37.5" customHeight="1" x14ac:dyDescent="0.25">
      <c r="A329" s="51" t="str">
        <f t="shared" si="0"/>
        <v>JOAO PESSOA/ECIT PEDRO ANISIO BEZERRA DANTAS</v>
      </c>
      <c r="B329" s="2">
        <v>13076</v>
      </c>
      <c r="C329" s="26" t="s">
        <v>48</v>
      </c>
      <c r="D329" s="27" t="s">
        <v>919</v>
      </c>
      <c r="E329" s="11" t="s">
        <v>1032</v>
      </c>
      <c r="F329" s="11" t="s">
        <v>1033</v>
      </c>
      <c r="G329" s="11"/>
      <c r="H329" s="11"/>
    </row>
    <row r="330" spans="1:8" ht="37.5" customHeight="1" x14ac:dyDescent="0.25">
      <c r="A330" s="51" t="str">
        <f t="shared" si="0"/>
        <v>JOAO PESSOA/EEEFM DESEMBARGADOR BRAZ BARACUHY</v>
      </c>
      <c r="B330" s="2">
        <v>13076</v>
      </c>
      <c r="C330" s="26" t="s">
        <v>48</v>
      </c>
      <c r="D330" s="27" t="s">
        <v>919</v>
      </c>
      <c r="E330" s="11" t="s">
        <v>1034</v>
      </c>
      <c r="F330" s="11" t="s">
        <v>1035</v>
      </c>
      <c r="G330" s="11"/>
      <c r="H330" s="11"/>
    </row>
    <row r="331" spans="1:8" ht="37.5" customHeight="1" x14ac:dyDescent="0.25">
      <c r="A331" s="51" t="str">
        <f t="shared" si="0"/>
        <v>JOCA CLAUDINO/ESCOLA MUNICIPAL JOSE GUALBERTO DE ANDRADE</v>
      </c>
      <c r="B331" s="2">
        <v>13210</v>
      </c>
      <c r="C331" s="52" t="s">
        <v>1036</v>
      </c>
      <c r="D331" s="11" t="s">
        <v>1037</v>
      </c>
      <c r="E331" s="11" t="s">
        <v>1038</v>
      </c>
      <c r="F331" s="11" t="s">
        <v>1039</v>
      </c>
      <c r="G331" s="11"/>
      <c r="H331" s="11"/>
    </row>
    <row r="332" spans="1:8" ht="37.5" customHeight="1" x14ac:dyDescent="0.25">
      <c r="A332" s="51" t="str">
        <f t="shared" si="0"/>
        <v>JUAREZ TÁVORA/JUAREZ TAVORA - 13077.01 - RUA ADALBERTO PEREIRA DE MELO, S/N, CENTRO</v>
      </c>
      <c r="B332" s="2">
        <v>13077</v>
      </c>
      <c r="C332" s="52" t="s">
        <v>1040</v>
      </c>
      <c r="D332" s="27" t="s">
        <v>1041</v>
      </c>
      <c r="E332" s="11" t="s">
        <v>1042</v>
      </c>
      <c r="F332" s="11" t="s">
        <v>1043</v>
      </c>
      <c r="G332" s="11"/>
      <c r="H332" s="11"/>
    </row>
    <row r="333" spans="1:8" ht="37.5" customHeight="1" x14ac:dyDescent="0.25">
      <c r="A333" s="51" t="str">
        <f t="shared" si="0"/>
        <v>JUAREZ TÁVORA/JUAREZ TAVORA - 13077.02 - RUA TOBIAS RIBEIRO, S/N, CENTRO</v>
      </c>
      <c r="B333" s="2">
        <v>13077</v>
      </c>
      <c r="C333" s="52" t="s">
        <v>1040</v>
      </c>
      <c r="D333" s="27" t="s">
        <v>1041</v>
      </c>
      <c r="E333" s="11" t="s">
        <v>1044</v>
      </c>
      <c r="F333" s="11" t="s">
        <v>1045</v>
      </c>
      <c r="G333" s="11"/>
      <c r="H333" s="11"/>
    </row>
    <row r="334" spans="1:8" ht="37.5" customHeight="1" x14ac:dyDescent="0.25">
      <c r="A334" s="51" t="str">
        <f t="shared" si="0"/>
        <v>JUAZEIRINHO/JUAZEIRINHO - 13078.01 - Avenida Juiz Federal Genival Matias</v>
      </c>
      <c r="B334" s="2">
        <v>13078</v>
      </c>
      <c r="C334" s="52" t="s">
        <v>1046</v>
      </c>
      <c r="D334" s="27" t="s">
        <v>1047</v>
      </c>
      <c r="E334" s="11" t="s">
        <v>1048</v>
      </c>
      <c r="F334" s="11" t="s">
        <v>1049</v>
      </c>
      <c r="G334" s="11"/>
      <c r="H334" s="11"/>
    </row>
    <row r="335" spans="1:8" ht="37.5" customHeight="1" x14ac:dyDescent="0.25">
      <c r="A335" s="51" t="str">
        <f t="shared" si="0"/>
        <v>JUAZEIRINHO/ECIT DEPUTADO GENIVAL MATIAS</v>
      </c>
      <c r="B335" s="2">
        <v>13078</v>
      </c>
      <c r="C335" s="52" t="s">
        <v>1046</v>
      </c>
      <c r="D335" s="27" t="s">
        <v>1047</v>
      </c>
      <c r="E335" s="11" t="s">
        <v>1050</v>
      </c>
      <c r="F335" s="11" t="s">
        <v>1051</v>
      </c>
      <c r="G335" s="11"/>
      <c r="H335" s="11"/>
    </row>
    <row r="336" spans="1:8" ht="37.5" customHeight="1" x14ac:dyDescent="0.25">
      <c r="A336" s="51" t="str">
        <f t="shared" si="0"/>
        <v>JUAZEIRINHO/ECIT ESCOLA CIDADA INTEGRAL DEPUTADO GENIVAL MATIAS DE OLIVEIRA</v>
      </c>
      <c r="B336" s="2">
        <v>13078</v>
      </c>
      <c r="C336" s="52" t="s">
        <v>1046</v>
      </c>
      <c r="D336" s="27" t="s">
        <v>1047</v>
      </c>
      <c r="E336" s="11" t="s">
        <v>1052</v>
      </c>
      <c r="F336" s="11" t="s">
        <v>1053</v>
      </c>
      <c r="G336" s="11"/>
      <c r="H336" s="11"/>
    </row>
    <row r="337" spans="1:8" ht="37.5" customHeight="1" x14ac:dyDescent="0.25">
      <c r="A337" s="51" t="str">
        <f t="shared" si="0"/>
        <v>JUNCO DO SERIDO/GRUPO ESCOLAR DA COMUNIDADE DA CARNEIRA</v>
      </c>
      <c r="B337" s="2">
        <v>13079</v>
      </c>
      <c r="C337" s="26" t="s">
        <v>1054</v>
      </c>
      <c r="D337" s="27" t="s">
        <v>1055</v>
      </c>
      <c r="E337" s="11" t="s">
        <v>1056</v>
      </c>
      <c r="F337" s="11" t="s">
        <v>1057</v>
      </c>
      <c r="G337" s="11"/>
      <c r="H337" s="11"/>
    </row>
    <row r="338" spans="1:8" ht="37.5" customHeight="1" x14ac:dyDescent="0.25">
      <c r="A338" s="51" t="str">
        <f t="shared" si="0"/>
        <v>JUNCO DO SERIDO/JUNCO DO SERIDO - 13079.01 - AVENIDA BALDUINO GUEDES, 218</v>
      </c>
      <c r="B338" s="2">
        <v>13079</v>
      </c>
      <c r="C338" s="26" t="s">
        <v>1054</v>
      </c>
      <c r="D338" s="27" t="s">
        <v>1055</v>
      </c>
      <c r="E338" s="11" t="s">
        <v>1058</v>
      </c>
      <c r="F338" s="11" t="s">
        <v>1059</v>
      </c>
      <c r="G338" s="11"/>
      <c r="H338" s="11"/>
    </row>
    <row r="339" spans="1:8" ht="37.5" customHeight="1" x14ac:dyDescent="0.25">
      <c r="A339" s="51" t="str">
        <f t="shared" si="0"/>
        <v>JUNCO DO SERIDO/ECIT EZEQUIEL FERNANDES</v>
      </c>
      <c r="B339" s="2">
        <v>13079</v>
      </c>
      <c r="C339" s="26" t="s">
        <v>1054</v>
      </c>
      <c r="D339" s="27" t="s">
        <v>1055</v>
      </c>
      <c r="E339" s="11" t="s">
        <v>1060</v>
      </c>
      <c r="F339" s="11" t="s">
        <v>1061</v>
      </c>
      <c r="G339" s="11"/>
      <c r="H339" s="11"/>
    </row>
    <row r="340" spans="1:8" ht="37.5" customHeight="1" x14ac:dyDescent="0.25">
      <c r="A340" s="51" t="str">
        <f t="shared" si="0"/>
        <v>JUNCO DO SERIDO/ESCOLA MUNICIPAL SANTO ONOFRE</v>
      </c>
      <c r="B340" s="2">
        <v>13079</v>
      </c>
      <c r="C340" s="26" t="s">
        <v>1054</v>
      </c>
      <c r="D340" s="27" t="s">
        <v>1055</v>
      </c>
      <c r="E340" s="11" t="s">
        <v>1062</v>
      </c>
      <c r="F340" s="11" t="s">
        <v>1063</v>
      </c>
      <c r="G340" s="11"/>
      <c r="H340" s="11"/>
    </row>
    <row r="341" spans="1:8" ht="37.5" customHeight="1" x14ac:dyDescent="0.25">
      <c r="A341" s="51" t="str">
        <f t="shared" si="0"/>
        <v>JURIPIRANGA/ESCOLA MUNICIPAL MARIA JOSE BORBA</v>
      </c>
      <c r="B341" s="2">
        <v>13080</v>
      </c>
      <c r="C341" s="52" t="s">
        <v>1064</v>
      </c>
      <c r="D341" s="27" t="s">
        <v>1065</v>
      </c>
      <c r="E341" s="11" t="s">
        <v>1066</v>
      </c>
      <c r="F341" s="11" t="s">
        <v>1067</v>
      </c>
      <c r="G341" s="11"/>
      <c r="H341" s="11"/>
    </row>
    <row r="342" spans="1:8" ht="37.5" customHeight="1" x14ac:dyDescent="0.25">
      <c r="A342" s="51" t="str">
        <f t="shared" si="0"/>
        <v>JURU/EMF ANTONIO ALVES DA SILVA</v>
      </c>
      <c r="B342" s="2">
        <v>13081</v>
      </c>
      <c r="C342" s="52" t="s">
        <v>1068</v>
      </c>
      <c r="D342" s="27" t="s">
        <v>1069</v>
      </c>
      <c r="E342" s="11" t="s">
        <v>1070</v>
      </c>
      <c r="F342" s="11" t="s">
        <v>1071</v>
      </c>
      <c r="G342" s="11"/>
      <c r="H342" s="11"/>
    </row>
    <row r="343" spans="1:8" ht="37.5" customHeight="1" x14ac:dyDescent="0.25">
      <c r="A343" s="51" t="str">
        <f t="shared" si="0"/>
        <v>JURU/LOTEAMENTO NOVO HORIZONTE</v>
      </c>
      <c r="B343" s="2">
        <v>13081</v>
      </c>
      <c r="C343" s="52" t="s">
        <v>1068</v>
      </c>
      <c r="D343" s="27" t="s">
        <v>1069</v>
      </c>
      <c r="E343" s="11" t="s">
        <v>1072</v>
      </c>
      <c r="F343" s="11" t="s">
        <v>1073</v>
      </c>
      <c r="G343" s="11"/>
      <c r="H343" s="11"/>
    </row>
    <row r="344" spans="1:8" ht="37.5" customHeight="1" x14ac:dyDescent="0.25">
      <c r="A344" s="51" t="str">
        <f t="shared" si="0"/>
        <v>JURU/ECIT ARLINDA PESSOA DA SILVA</v>
      </c>
      <c r="B344" s="2">
        <v>13081</v>
      </c>
      <c r="C344" s="52" t="s">
        <v>1068</v>
      </c>
      <c r="D344" s="27" t="s">
        <v>1069</v>
      </c>
      <c r="E344" s="11" t="s">
        <v>1074</v>
      </c>
      <c r="F344" s="11" t="s">
        <v>1075</v>
      </c>
      <c r="G344" s="11"/>
      <c r="H344" s="11"/>
    </row>
    <row r="345" spans="1:8" ht="37.5" customHeight="1" x14ac:dyDescent="0.25">
      <c r="A345" s="51" t="str">
        <f t="shared" si="0"/>
        <v>LAGOA DE DENTRO/EEEFM IVAN BICHARA SOBREIRA</v>
      </c>
      <c r="B345" s="2">
        <v>13083</v>
      </c>
      <c r="C345" s="52" t="s">
        <v>1076</v>
      </c>
      <c r="D345" s="27" t="s">
        <v>1077</v>
      </c>
      <c r="E345" s="11" t="s">
        <v>1078</v>
      </c>
      <c r="F345" s="11" t="s">
        <v>1079</v>
      </c>
      <c r="G345" s="11"/>
      <c r="H345" s="11"/>
    </row>
    <row r="346" spans="1:8" ht="37.5" customHeight="1" x14ac:dyDescent="0.25">
      <c r="A346" s="51" t="str">
        <f t="shared" si="0"/>
        <v>LAGOA DE DENTRO/ESCOLA MUNICIPAL DE ENSINO FUNDAMENTAL ALFREDO CHAVES</v>
      </c>
      <c r="B346" s="2">
        <v>13083</v>
      </c>
      <c r="C346" s="52" t="s">
        <v>1076</v>
      </c>
      <c r="D346" s="27" t="s">
        <v>1077</v>
      </c>
      <c r="E346" s="11" t="s">
        <v>1080</v>
      </c>
      <c r="F346" s="11" t="s">
        <v>1081</v>
      </c>
      <c r="G346" s="11"/>
      <c r="H346" s="11"/>
    </row>
    <row r="347" spans="1:8" ht="37.5" customHeight="1" x14ac:dyDescent="0.25">
      <c r="A347" s="51" t="str">
        <f t="shared" si="0"/>
        <v>LAGOA SECA/EEEFM PROF. GERALDO LAFAYETTE BEZERRA</v>
      </c>
      <c r="B347" s="2">
        <v>13084</v>
      </c>
      <c r="C347" s="52" t="s">
        <v>1082</v>
      </c>
      <c r="D347" s="27" t="s">
        <v>1083</v>
      </c>
      <c r="E347" s="11" t="s">
        <v>1084</v>
      </c>
      <c r="F347" s="11" t="s">
        <v>1085</v>
      </c>
      <c r="G347" s="11"/>
      <c r="H347" s="11"/>
    </row>
    <row r="348" spans="1:8" ht="37.5" customHeight="1" x14ac:dyDescent="0.25">
      <c r="A348" s="51" t="str">
        <f t="shared" si="0"/>
        <v>LAGOA SECA/LAGOA SECA - 13084.01 - Rua Antônio Borges, 210 – Centro</v>
      </c>
      <c r="B348" s="2">
        <v>13084</v>
      </c>
      <c r="C348" s="52" t="s">
        <v>1082</v>
      </c>
      <c r="D348" s="27" t="s">
        <v>1083</v>
      </c>
      <c r="E348" s="11" t="s">
        <v>1086</v>
      </c>
      <c r="F348" s="11" t="s">
        <v>1087</v>
      </c>
      <c r="G348" s="11"/>
      <c r="H348" s="11"/>
    </row>
    <row r="349" spans="1:8" ht="37.5" customHeight="1" x14ac:dyDescent="0.25">
      <c r="A349" s="51" t="str">
        <f t="shared" si="0"/>
        <v>LAGOA SECA/ECIT FRANCISCA MARTINIANO DA ROCHA</v>
      </c>
      <c r="B349" s="2">
        <v>13084</v>
      </c>
      <c r="C349" s="52" t="s">
        <v>1082</v>
      </c>
      <c r="D349" s="27" t="s">
        <v>1083</v>
      </c>
      <c r="E349" s="11" t="s">
        <v>1088</v>
      </c>
      <c r="F349" s="11" t="s">
        <v>1089</v>
      </c>
      <c r="G349" s="11"/>
      <c r="H349" s="11"/>
    </row>
    <row r="350" spans="1:8" ht="37.5" customHeight="1" x14ac:dyDescent="0.25">
      <c r="A350" s="51" t="str">
        <f t="shared" si="0"/>
        <v>LOGRADOURO/CRAS - CENTRO DE REFERENCIA DA ASSISTENCIA SOCIAL</v>
      </c>
      <c r="B350" s="2">
        <v>13194</v>
      </c>
      <c r="C350" s="52" t="s">
        <v>1090</v>
      </c>
      <c r="D350" s="27" t="s">
        <v>1091</v>
      </c>
      <c r="E350" s="11" t="s">
        <v>1092</v>
      </c>
      <c r="F350" s="11" t="s">
        <v>1093</v>
      </c>
      <c r="G350" s="11"/>
      <c r="H350" s="11"/>
    </row>
    <row r="351" spans="1:8" ht="37.5" customHeight="1" x14ac:dyDescent="0.25">
      <c r="A351" s="51" t="str">
        <f t="shared" si="0"/>
        <v>LUCENA/EM AMÉRICO FALCÃO</v>
      </c>
      <c r="B351" s="2">
        <v>13087</v>
      </c>
      <c r="C351" s="52" t="s">
        <v>1094</v>
      </c>
      <c r="D351" s="27" t="s">
        <v>1095</v>
      </c>
      <c r="E351" s="11" t="s">
        <v>1096</v>
      </c>
      <c r="F351" s="11" t="s">
        <v>1097</v>
      </c>
      <c r="G351" s="11"/>
      <c r="H351" s="11"/>
    </row>
    <row r="352" spans="1:8" ht="37.5" customHeight="1" x14ac:dyDescent="0.25">
      <c r="A352" s="51" t="str">
        <f t="shared" si="0"/>
        <v>MALTA/EEEFM DR ANTONIO FERNANDES</v>
      </c>
      <c r="B352" s="2">
        <v>13089</v>
      </c>
      <c r="C352" s="52" t="s">
        <v>1098</v>
      </c>
      <c r="D352" s="27" t="s">
        <v>1099</v>
      </c>
      <c r="E352" s="11" t="s">
        <v>1100</v>
      </c>
      <c r="F352" s="11" t="s">
        <v>1101</v>
      </c>
      <c r="G352" s="11"/>
      <c r="H352" s="11"/>
    </row>
    <row r="353" spans="1:8" ht="37.5" customHeight="1" x14ac:dyDescent="0.25">
      <c r="A353" s="51" t="str">
        <f t="shared" si="0"/>
        <v>MAMANGUAPE/ECIT MAMANGUAPE (ECIT JOAO DA MATA CAVALCANTI DE ALBUQUERQUE)</v>
      </c>
      <c r="B353" s="2">
        <v>13090</v>
      </c>
      <c r="C353" s="52" t="s">
        <v>1102</v>
      </c>
      <c r="D353" s="27" t="s">
        <v>1103</v>
      </c>
      <c r="E353" s="11" t="s">
        <v>1104</v>
      </c>
      <c r="F353" s="11" t="s">
        <v>1105</v>
      </c>
      <c r="G353" s="11"/>
      <c r="H353" s="11"/>
    </row>
    <row r="354" spans="1:8" ht="37.5" customHeight="1" x14ac:dyDescent="0.25">
      <c r="A354" s="51" t="str">
        <f t="shared" si="0"/>
        <v>MAMANGUAPE/ECIT MAMANGUAPE</v>
      </c>
      <c r="B354" s="2">
        <v>13090</v>
      </c>
      <c r="C354" s="52" t="s">
        <v>1102</v>
      </c>
      <c r="D354" s="27" t="s">
        <v>1103</v>
      </c>
      <c r="E354" s="11" t="s">
        <v>1106</v>
      </c>
      <c r="F354" s="11" t="s">
        <v>1107</v>
      </c>
      <c r="G354" s="11"/>
      <c r="H354" s="11"/>
    </row>
    <row r="355" spans="1:8" ht="37.5" customHeight="1" x14ac:dyDescent="0.25">
      <c r="A355" s="51" t="str">
        <f t="shared" si="0"/>
        <v>MAMANGUAPE/ECIT JOÃO DA MATA CAVALCANTI DE ALBUQUERQUE</v>
      </c>
      <c r="B355" s="2">
        <v>13090</v>
      </c>
      <c r="C355" s="52" t="s">
        <v>1102</v>
      </c>
      <c r="D355" s="27" t="s">
        <v>1103</v>
      </c>
      <c r="E355" s="11" t="s">
        <v>1108</v>
      </c>
      <c r="F355" s="11" t="s">
        <v>1109</v>
      </c>
      <c r="G355" s="11"/>
      <c r="H355" s="11"/>
    </row>
    <row r="356" spans="1:8" ht="37.5" customHeight="1" x14ac:dyDescent="0.25">
      <c r="A356" s="51" t="str">
        <f t="shared" si="0"/>
        <v>MAMANGUAPE/CENTRO DE CIENCIAS APLICADAS E EDUCACAO (CCAE)</v>
      </c>
      <c r="B356" s="1">
        <v>13090</v>
      </c>
      <c r="C356" s="27" t="s">
        <v>1102</v>
      </c>
      <c r="D356" s="27" t="s">
        <v>1103</v>
      </c>
      <c r="E356" s="26" t="s">
        <v>1110</v>
      </c>
      <c r="F356" s="27" t="s">
        <v>1111</v>
      </c>
      <c r="G356" s="11"/>
      <c r="H356" s="11"/>
    </row>
    <row r="357" spans="1:8" ht="37.5" customHeight="1" x14ac:dyDescent="0.25">
      <c r="A357" s="51" t="str">
        <f t="shared" si="0"/>
        <v>MANAIRA/MANAIRA - 13091.01 - RUA JOAQUIM SIMAO, 96</v>
      </c>
      <c r="B357" s="2">
        <v>13091</v>
      </c>
      <c r="C357" s="1" t="s">
        <v>1112</v>
      </c>
      <c r="D357" s="27" t="s">
        <v>1113</v>
      </c>
      <c r="E357" s="11" t="s">
        <v>1114</v>
      </c>
      <c r="F357" s="11" t="s">
        <v>1115</v>
      </c>
      <c r="G357" s="11"/>
      <c r="H357" s="11"/>
    </row>
    <row r="358" spans="1:8" ht="37.5" customHeight="1" x14ac:dyDescent="0.25">
      <c r="A358" s="51" t="str">
        <f t="shared" si="0"/>
        <v>MANAIRA/EMEF PROF. CICERO RABELO NOGUEIRA</v>
      </c>
      <c r="B358" s="2">
        <v>13091</v>
      </c>
      <c r="C358" s="27" t="s">
        <v>1112</v>
      </c>
      <c r="D358" s="27" t="s">
        <v>1113</v>
      </c>
      <c r="E358" s="11" t="s">
        <v>1116</v>
      </c>
      <c r="F358" s="11" t="s">
        <v>1117</v>
      </c>
      <c r="G358" s="11"/>
      <c r="H358" s="11"/>
    </row>
    <row r="359" spans="1:8" ht="37.5" customHeight="1" x14ac:dyDescent="0.25">
      <c r="A359" s="51" t="str">
        <f t="shared" si="0"/>
        <v>MANAIRA/ECI MONSENHOR SEBASTIAO RABELO NOGUEIRA</v>
      </c>
      <c r="B359" s="2">
        <v>13091</v>
      </c>
      <c r="C359" s="27" t="s">
        <v>1112</v>
      </c>
      <c r="D359" s="27" t="s">
        <v>1113</v>
      </c>
      <c r="E359" s="11" t="s">
        <v>1118</v>
      </c>
      <c r="F359" s="11" t="s">
        <v>1119</v>
      </c>
      <c r="G359" s="11"/>
      <c r="H359" s="11"/>
    </row>
    <row r="360" spans="1:8" ht="37.5" customHeight="1" x14ac:dyDescent="0.25">
      <c r="A360" s="51" t="str">
        <f t="shared" si="0"/>
        <v>MANAIRA/EMEF PROFESSOR CICERO RABELO NOGUEIRA</v>
      </c>
      <c r="B360" s="2">
        <v>13091</v>
      </c>
      <c r="C360" s="27" t="s">
        <v>1112</v>
      </c>
      <c r="D360" s="27" t="s">
        <v>1113</v>
      </c>
      <c r="E360" s="11" t="s">
        <v>1120</v>
      </c>
      <c r="F360" s="11" t="s">
        <v>1121</v>
      </c>
      <c r="G360" s="11"/>
      <c r="H360" s="11"/>
    </row>
    <row r="361" spans="1:8" ht="37.5" customHeight="1" x14ac:dyDescent="0.25">
      <c r="A361" s="51" t="str">
        <f t="shared" si="0"/>
        <v>MARI/ASSOCIAÇÃO DOS FILHOS E AMIGOS DE MARI</v>
      </c>
      <c r="B361" s="2">
        <v>13092</v>
      </c>
      <c r="C361" s="52" t="s">
        <v>1122</v>
      </c>
      <c r="D361" s="27" t="s">
        <v>1123</v>
      </c>
      <c r="E361" s="11" t="s">
        <v>1124</v>
      </c>
      <c r="F361" s="11" t="s">
        <v>1125</v>
      </c>
      <c r="G361" s="11"/>
      <c r="H361" s="11"/>
    </row>
    <row r="362" spans="1:8" ht="37.5" customHeight="1" x14ac:dyDescent="0.25">
      <c r="A362" s="51" t="str">
        <f t="shared" si="0"/>
        <v>MARI/ASFAM ASSOCIACAO DOS FILHOS E AMIGOS DE MARI</v>
      </c>
      <c r="B362" s="2">
        <v>13092</v>
      </c>
      <c r="C362" s="52" t="s">
        <v>1122</v>
      </c>
      <c r="D362" s="27" t="s">
        <v>1123</v>
      </c>
      <c r="E362" s="11" t="s">
        <v>1126</v>
      </c>
      <c r="F362" s="11" t="s">
        <v>1127</v>
      </c>
      <c r="G362" s="11"/>
      <c r="H362" s="11"/>
    </row>
    <row r="363" spans="1:8" ht="37.5" customHeight="1" x14ac:dyDescent="0.25">
      <c r="A363" s="51" t="str">
        <f t="shared" si="0"/>
        <v>MARI/ECIT JOSE PAULO DE FRANCA</v>
      </c>
      <c r="B363" s="2">
        <v>13092</v>
      </c>
      <c r="C363" s="52" t="s">
        <v>1122</v>
      </c>
      <c r="D363" s="27" t="s">
        <v>1123</v>
      </c>
      <c r="E363" s="11" t="s">
        <v>1128</v>
      </c>
      <c r="F363" s="11" t="s">
        <v>1129</v>
      </c>
      <c r="G363" s="11"/>
      <c r="H363" s="11"/>
    </row>
    <row r="364" spans="1:8" ht="37.5" customHeight="1" x14ac:dyDescent="0.25">
      <c r="A364" s="51" t="str">
        <f t="shared" si="0"/>
        <v>MARI/ESCOLA MUNICIPAL DE PIRPIRI</v>
      </c>
      <c r="B364" s="2">
        <v>13092</v>
      </c>
      <c r="C364" s="52" t="s">
        <v>1122</v>
      </c>
      <c r="D364" s="27" t="s">
        <v>1123</v>
      </c>
      <c r="E364" s="11" t="s">
        <v>1130</v>
      </c>
      <c r="F364" s="11" t="s">
        <v>1131</v>
      </c>
      <c r="G364" s="11"/>
      <c r="H364" s="11"/>
    </row>
    <row r="365" spans="1:8" ht="37.5" customHeight="1" x14ac:dyDescent="0.25">
      <c r="A365" s="51" t="str">
        <f t="shared" si="0"/>
        <v>MARIZÓPOLIS/ASSENTAMENTO JUAZEIRO</v>
      </c>
      <c r="B365" s="2">
        <v>13196</v>
      </c>
      <c r="C365" s="52" t="s">
        <v>1132</v>
      </c>
      <c r="D365" s="27" t="s">
        <v>1133</v>
      </c>
      <c r="E365" s="11" t="s">
        <v>1134</v>
      </c>
      <c r="F365" s="11" t="s">
        <v>1135</v>
      </c>
      <c r="G365" s="11"/>
      <c r="H365" s="11"/>
    </row>
    <row r="366" spans="1:8" ht="37.5" customHeight="1" x14ac:dyDescent="0.25">
      <c r="A366" s="51" t="str">
        <f t="shared" si="0"/>
        <v>MARIZÓPOLIS/ESCOLA  MUNICIPAL JOÃO ALEXANDRE DE OLIVEIRA</v>
      </c>
      <c r="B366" s="2">
        <v>13196</v>
      </c>
      <c r="C366" s="52" t="s">
        <v>1132</v>
      </c>
      <c r="D366" s="27" t="s">
        <v>1133</v>
      </c>
      <c r="E366" s="11" t="s">
        <v>1136</v>
      </c>
      <c r="F366" s="11" t="s">
        <v>1137</v>
      </c>
      <c r="G366" s="11"/>
      <c r="H366" s="11"/>
    </row>
    <row r="367" spans="1:8" ht="37.5" customHeight="1" x14ac:dyDescent="0.25">
      <c r="A367" s="51" t="str">
        <f t="shared" si="0"/>
        <v>MARIZÓPOLIS/EM PE. JULIA MARIA DE CARVALHO SILVA</v>
      </c>
      <c r="B367" s="2">
        <v>13196</v>
      </c>
      <c r="C367" s="52" t="s">
        <v>1132</v>
      </c>
      <c r="D367" s="27" t="s">
        <v>1133</v>
      </c>
      <c r="E367" s="11" t="s">
        <v>1138</v>
      </c>
      <c r="F367" s="11" t="s">
        <v>1139</v>
      </c>
      <c r="G367" s="11"/>
      <c r="H367" s="11"/>
    </row>
    <row r="368" spans="1:8" ht="37.5" customHeight="1" x14ac:dyDescent="0.25">
      <c r="A368" s="51" t="str">
        <f t="shared" si="0"/>
        <v>MASSARANDUBA/ASSOCIACAO DE DESENVOLVIMENTO COMUNITARIO DO SITIO CHUPADOURO</v>
      </c>
      <c r="B368" s="2">
        <v>13093</v>
      </c>
      <c r="C368" s="52" t="s">
        <v>1140</v>
      </c>
      <c r="D368" s="27" t="s">
        <v>1141</v>
      </c>
      <c r="E368" s="11" t="s">
        <v>1142</v>
      </c>
      <c r="F368" s="11" t="s">
        <v>1143</v>
      </c>
      <c r="G368" s="11"/>
      <c r="H368" s="11"/>
    </row>
    <row r="369" spans="1:8" ht="37.5" customHeight="1" x14ac:dyDescent="0.25">
      <c r="A369" s="51" t="str">
        <f t="shared" si="0"/>
        <v>MASSARANDUBA/SINDICATO DOS TRABALHADORES RURAIS AGRICULTORES E AGRICULTORAS FAMILIARES DE MASSARANDUBA</v>
      </c>
      <c r="B369" s="1">
        <v>13093</v>
      </c>
      <c r="C369" s="52" t="s">
        <v>1140</v>
      </c>
      <c r="D369" s="27" t="s">
        <v>1141</v>
      </c>
      <c r="E369" s="27" t="s">
        <v>1144</v>
      </c>
      <c r="F369" s="27" t="s">
        <v>1145</v>
      </c>
      <c r="G369" s="11"/>
      <c r="H369" s="11"/>
    </row>
    <row r="370" spans="1:8" ht="37.5" customHeight="1" x14ac:dyDescent="0.25">
      <c r="A370" s="51" t="str">
        <f t="shared" si="0"/>
        <v>MATINHAS/ECIT POETA MÁRIO VIEIRA DA SILVA</v>
      </c>
      <c r="B370" s="2">
        <v>13197</v>
      </c>
      <c r="C370" s="52" t="s">
        <v>1146</v>
      </c>
      <c r="D370" s="27" t="s">
        <v>1147</v>
      </c>
      <c r="E370" s="11" t="s">
        <v>1148</v>
      </c>
      <c r="F370" s="11" t="s">
        <v>1149</v>
      </c>
      <c r="G370" s="11"/>
      <c r="H370" s="11"/>
    </row>
    <row r="371" spans="1:8" ht="37.5" customHeight="1" x14ac:dyDescent="0.25">
      <c r="A371" s="51" t="str">
        <f t="shared" si="0"/>
        <v xml:space="preserve">MATUREIA/ESCOLA MUNICIPAL DE ENSINO FUNDAMENTAL MARIA TAMARA SOUZA DE NASCIMENTO </v>
      </c>
      <c r="B371" s="2">
        <v>13199</v>
      </c>
      <c r="C371" s="26" t="s">
        <v>1150</v>
      </c>
      <c r="D371" s="27" t="s">
        <v>1151</v>
      </c>
      <c r="E371" s="11" t="s">
        <v>1152</v>
      </c>
      <c r="F371" s="11" t="s">
        <v>1153</v>
      </c>
      <c r="G371" s="11"/>
      <c r="H371" s="11"/>
    </row>
    <row r="372" spans="1:8" ht="37.5" customHeight="1" x14ac:dyDescent="0.25">
      <c r="A372" s="51" t="str">
        <f t="shared" si="0"/>
        <v>MATUREIA/EMEF MARIA TAMARA SOUZA DO NASCIMENTO</v>
      </c>
      <c r="B372" s="2">
        <v>13199</v>
      </c>
      <c r="C372" s="26" t="s">
        <v>1150</v>
      </c>
      <c r="D372" s="11" t="s">
        <v>1151</v>
      </c>
      <c r="E372" s="11" t="s">
        <v>1154</v>
      </c>
      <c r="F372" s="11" t="s">
        <v>1155</v>
      </c>
      <c r="G372" s="11"/>
      <c r="H372" s="11"/>
    </row>
    <row r="373" spans="1:8" ht="37.5" customHeight="1" x14ac:dyDescent="0.25">
      <c r="A373" s="51" t="str">
        <f t="shared" si="0"/>
        <v>MOGEIRO/EEE OTÁVIA SILVEIRA</v>
      </c>
      <c r="B373" s="2">
        <v>13095</v>
      </c>
      <c r="C373" s="52" t="s">
        <v>1156</v>
      </c>
      <c r="D373" s="11" t="s">
        <v>1157</v>
      </c>
      <c r="E373" s="11" t="s">
        <v>1158</v>
      </c>
      <c r="F373" s="11" t="s">
        <v>1159</v>
      </c>
      <c r="G373" s="11"/>
      <c r="H373" s="11"/>
    </row>
    <row r="374" spans="1:8" ht="37.5" customHeight="1" x14ac:dyDescent="0.25">
      <c r="A374" s="51" t="str">
        <f t="shared" si="0"/>
        <v>MOGEIRO/EMEF IRACI RODRIGUES DE FARIAS MELO</v>
      </c>
      <c r="B374" s="2">
        <v>13095</v>
      </c>
      <c r="C374" s="52" t="s">
        <v>1156</v>
      </c>
      <c r="D374" s="27" t="s">
        <v>1157</v>
      </c>
      <c r="E374" s="11" t="s">
        <v>1160</v>
      </c>
      <c r="F374" s="11" t="s">
        <v>1161</v>
      </c>
      <c r="G374" s="11"/>
      <c r="H374" s="11"/>
    </row>
    <row r="375" spans="1:8" ht="37.5" customHeight="1" x14ac:dyDescent="0.25">
      <c r="A375" s="51" t="str">
        <f t="shared" si="0"/>
        <v>MOGEIRO/ECIT OTAVIA SILVEIRA</v>
      </c>
      <c r="B375" s="2">
        <v>13095</v>
      </c>
      <c r="C375" s="52" t="s">
        <v>1156</v>
      </c>
      <c r="D375" s="27" t="s">
        <v>1157</v>
      </c>
      <c r="E375" s="11" t="s">
        <v>1162</v>
      </c>
      <c r="F375" s="11" t="s">
        <v>1163</v>
      </c>
      <c r="G375" s="11"/>
      <c r="H375" s="11"/>
    </row>
    <row r="376" spans="1:8" ht="37.5" customHeight="1" x14ac:dyDescent="0.25">
      <c r="A376" s="51" t="str">
        <f t="shared" si="0"/>
        <v>MOGEIRO/ESCOLA MUNICIPAL IRACI RODRIGUES DE FARIAS MELO</v>
      </c>
      <c r="B376" s="2">
        <v>13095</v>
      </c>
      <c r="C376" s="52" t="s">
        <v>1156</v>
      </c>
      <c r="D376" s="27" t="s">
        <v>1157</v>
      </c>
      <c r="E376" s="11" t="s">
        <v>1164</v>
      </c>
      <c r="F376" s="11" t="s">
        <v>1165</v>
      </c>
      <c r="G376" s="11"/>
      <c r="H376" s="11"/>
    </row>
    <row r="377" spans="1:8" ht="37.5" customHeight="1" x14ac:dyDescent="0.25">
      <c r="A377" s="51" t="str">
        <f t="shared" si="0"/>
        <v>MONTEIRO/ECIT JOSE LEITE DE SOUSA</v>
      </c>
      <c r="B377" s="2">
        <v>13098</v>
      </c>
      <c r="C377" s="52" t="s">
        <v>1166</v>
      </c>
      <c r="D377" s="11" t="s">
        <v>1167</v>
      </c>
      <c r="E377" s="11" t="s">
        <v>1168</v>
      </c>
      <c r="F377" s="11" t="s">
        <v>1169</v>
      </c>
      <c r="G377" s="11"/>
      <c r="H377" s="11"/>
    </row>
    <row r="378" spans="1:8" ht="37.5" customHeight="1" x14ac:dyDescent="0.25">
      <c r="A378" s="51" t="str">
        <f t="shared" si="0"/>
        <v>MONTEIRO/EEEFM JOAO DE OLIVEIRA CHAVES</v>
      </c>
      <c r="B378" s="2">
        <v>13098</v>
      </c>
      <c r="C378" s="52" t="s">
        <v>1166</v>
      </c>
      <c r="D378" s="11" t="s">
        <v>1167</v>
      </c>
      <c r="E378" s="11" t="s">
        <v>1170</v>
      </c>
      <c r="F378" s="11" t="s">
        <v>1171</v>
      </c>
      <c r="G378" s="11"/>
      <c r="H378" s="11"/>
    </row>
    <row r="379" spans="1:8" ht="37.5" customHeight="1" x14ac:dyDescent="0.25">
      <c r="A379" s="51" t="str">
        <f t="shared" si="0"/>
        <v>MONTEIRO/ESCOLA MUNICIPAL VILA LAFAYETTE</v>
      </c>
      <c r="B379" s="2">
        <v>13098</v>
      </c>
      <c r="C379" s="52" t="s">
        <v>1166</v>
      </c>
      <c r="D379" s="11" t="s">
        <v>1167</v>
      </c>
      <c r="E379" s="11" t="s">
        <v>1172</v>
      </c>
      <c r="F379" s="11" t="s">
        <v>1173</v>
      </c>
      <c r="G379" s="11"/>
      <c r="H379" s="11"/>
    </row>
    <row r="380" spans="1:8" ht="37.5" customHeight="1" x14ac:dyDescent="0.25">
      <c r="A380" s="51" t="str">
        <f t="shared" si="0"/>
        <v>MONTEIRO/MONTEIRO - 13098.01 - Rua Professora Maria da Salete , SN, Alto São Vicente</v>
      </c>
      <c r="B380" s="2">
        <v>13098</v>
      </c>
      <c r="C380" s="52" t="s">
        <v>1166</v>
      </c>
      <c r="D380" s="11" t="s">
        <v>1167</v>
      </c>
      <c r="E380" s="11" t="s">
        <v>1174</v>
      </c>
      <c r="F380" s="11" t="s">
        <v>1175</v>
      </c>
      <c r="G380" s="11"/>
      <c r="H380" s="11"/>
    </row>
    <row r="381" spans="1:8" ht="37.5" customHeight="1" x14ac:dyDescent="0.25">
      <c r="A381" s="51" t="str">
        <f t="shared" si="0"/>
        <v>MONTEIRO/MONTEIRO - 13098.02 - Rua Projetada S/N, Vila Santa Maria</v>
      </c>
      <c r="B381" s="2">
        <v>13098</v>
      </c>
      <c r="C381" s="52" t="s">
        <v>1166</v>
      </c>
      <c r="D381" s="11" t="s">
        <v>1167</v>
      </c>
      <c r="E381" s="11" t="s">
        <v>1176</v>
      </c>
      <c r="F381" s="11" t="s">
        <v>1177</v>
      </c>
      <c r="G381" s="11"/>
      <c r="H381" s="11"/>
    </row>
    <row r="382" spans="1:8" ht="37.5" customHeight="1" x14ac:dyDescent="0.25">
      <c r="A382" s="51" t="str">
        <f t="shared" si="0"/>
        <v>MONTEIRO/ESCOLA MUNICIPAL PROFESSOR JOSE DE ARAUJO VALENCA</v>
      </c>
      <c r="B382" s="2">
        <v>13098</v>
      </c>
      <c r="C382" s="52" t="s">
        <v>1166</v>
      </c>
      <c r="D382" s="11" t="s">
        <v>1167</v>
      </c>
      <c r="E382" s="11" t="s">
        <v>1178</v>
      </c>
      <c r="F382" s="11" t="s">
        <v>1179</v>
      </c>
      <c r="G382" s="11"/>
      <c r="H382" s="11"/>
    </row>
    <row r="383" spans="1:8" ht="37.5" customHeight="1" x14ac:dyDescent="0.25">
      <c r="A383" s="51" t="str">
        <f t="shared" si="0"/>
        <v>NAZAREZINHO/NAZAREZINHO - 13101.01 - Endereço: RUA ANTONIO GINO FILHO, S/N - LINDOLFO PIRES, Nazarezinho - PB,</v>
      </c>
      <c r="B383" s="2">
        <v>13101</v>
      </c>
      <c r="C383" s="52" t="s">
        <v>1180</v>
      </c>
      <c r="D383" s="11" t="s">
        <v>1181</v>
      </c>
      <c r="E383" s="11" t="s">
        <v>1182</v>
      </c>
      <c r="F383" s="11" t="s">
        <v>1183</v>
      </c>
      <c r="G383" s="11"/>
      <c r="H383" s="11"/>
    </row>
    <row r="384" spans="1:8" ht="37.5" customHeight="1" x14ac:dyDescent="0.25">
      <c r="A384" s="51" t="str">
        <f t="shared" si="0"/>
        <v>NAZAREZINHO/COOPERATIVA DOS AGRICULTORES E AQUICULTORES DE NAZAREZINHO E REGIAO (COOPENAZA)</v>
      </c>
      <c r="B384" s="2">
        <v>13101</v>
      </c>
      <c r="C384" s="52" t="s">
        <v>1180</v>
      </c>
      <c r="D384" s="11" t="s">
        <v>1181</v>
      </c>
      <c r="E384" s="11" t="s">
        <v>1184</v>
      </c>
      <c r="F384" s="11" t="s">
        <v>1185</v>
      </c>
      <c r="G384" s="11"/>
      <c r="H384" s="11"/>
    </row>
    <row r="385" spans="1:8" ht="37.5" customHeight="1" x14ac:dyDescent="0.25">
      <c r="A385" s="51" t="str">
        <f t="shared" si="0"/>
        <v>NOVA FLORESTA/EEEFM JOSÉ ROLDERICK DE OLIVEIRA</v>
      </c>
      <c r="B385" s="1">
        <v>13102</v>
      </c>
      <c r="C385" s="52" t="s">
        <v>1186</v>
      </c>
      <c r="D385" s="27" t="s">
        <v>1187</v>
      </c>
      <c r="E385" s="27" t="s">
        <v>1188</v>
      </c>
      <c r="F385" s="27" t="s">
        <v>1189</v>
      </c>
      <c r="G385" s="11"/>
      <c r="H385" s="11"/>
    </row>
    <row r="386" spans="1:8" ht="37.5" customHeight="1" x14ac:dyDescent="0.25">
      <c r="A386" s="51" t="str">
        <f t="shared" si="0"/>
        <v>NOVA OLINDA/EEEFM JOÃO LEITE NETO</v>
      </c>
      <c r="B386" s="2">
        <v>13103</v>
      </c>
      <c r="C386" s="52" t="s">
        <v>1190</v>
      </c>
      <c r="D386" s="11" t="s">
        <v>1191</v>
      </c>
      <c r="E386" s="11" t="s">
        <v>1192</v>
      </c>
      <c r="F386" s="11" t="s">
        <v>1193</v>
      </c>
      <c r="G386" s="11"/>
      <c r="H386" s="11"/>
    </row>
    <row r="387" spans="1:8" ht="37.5" customHeight="1" x14ac:dyDescent="0.25">
      <c r="A387" s="51" t="str">
        <f t="shared" si="0"/>
        <v>NOVA OLINDA/NOVA OLINDA - 13103.01 - Rua vereador António Gonçalves</v>
      </c>
      <c r="B387" s="2">
        <v>13103</v>
      </c>
      <c r="C387" s="52" t="s">
        <v>1190</v>
      </c>
      <c r="D387" s="11" t="s">
        <v>1191</v>
      </c>
      <c r="E387" s="11" t="s">
        <v>1194</v>
      </c>
      <c r="F387" s="11" t="s">
        <v>1195</v>
      </c>
      <c r="G387" s="11"/>
      <c r="H387" s="11"/>
    </row>
    <row r="388" spans="1:8" ht="37.5" customHeight="1" x14ac:dyDescent="0.25">
      <c r="A388" s="51" t="str">
        <f t="shared" si="0"/>
        <v>NOVA OLINDA/EMEF GENESIO PINTO RAMALHO</v>
      </c>
      <c r="B388" s="2">
        <v>13103</v>
      </c>
      <c r="C388" s="52" t="s">
        <v>1190</v>
      </c>
      <c r="D388" s="11" t="s">
        <v>1191</v>
      </c>
      <c r="E388" s="11" t="s">
        <v>1196</v>
      </c>
      <c r="F388" s="11" t="s">
        <v>1197</v>
      </c>
      <c r="G388" s="11"/>
      <c r="H388" s="11"/>
    </row>
    <row r="389" spans="1:8" ht="37.5" customHeight="1" x14ac:dyDescent="0.25">
      <c r="A389" s="51" t="str">
        <f t="shared" si="0"/>
        <v>NOVA PALMEIRA/SEDE DA ASSOCIAÇÃO QUILOMBA SERRA DO ABREU</v>
      </c>
      <c r="B389" s="2">
        <v>13104</v>
      </c>
      <c r="C389" s="52" t="s">
        <v>1198</v>
      </c>
      <c r="D389" s="11" t="s">
        <v>1199</v>
      </c>
      <c r="E389" s="11" t="s">
        <v>1200</v>
      </c>
      <c r="F389" s="11" t="s">
        <v>1201</v>
      </c>
      <c r="G389" s="11"/>
      <c r="H389" s="11"/>
    </row>
    <row r="390" spans="1:8" ht="37.5" customHeight="1" x14ac:dyDescent="0.25">
      <c r="A390" s="51" t="str">
        <f t="shared" si="0"/>
        <v>OLHO DAGUA/EEEFM ANTÔNIO AVELINO</v>
      </c>
      <c r="B390" s="2">
        <v>13105</v>
      </c>
      <c r="C390" s="26" t="s">
        <v>1202</v>
      </c>
      <c r="D390" s="11" t="s">
        <v>1203</v>
      </c>
      <c r="E390" s="11" t="s">
        <v>1204</v>
      </c>
      <c r="F390" s="11" t="s">
        <v>1205</v>
      </c>
      <c r="G390" s="11"/>
      <c r="H390" s="11"/>
    </row>
    <row r="391" spans="1:8" ht="37.5" customHeight="1" x14ac:dyDescent="0.25">
      <c r="A391" s="51" t="str">
        <f t="shared" si="0"/>
        <v>OLHO DAGUA/SEDE DO CRAS</v>
      </c>
      <c r="B391" s="2">
        <v>13105</v>
      </c>
      <c r="C391" s="26" t="s">
        <v>1202</v>
      </c>
      <c r="D391" s="27" t="s">
        <v>1203</v>
      </c>
      <c r="E391" s="11" t="s">
        <v>1206</v>
      </c>
      <c r="F391" s="11" t="s">
        <v>1207</v>
      </c>
      <c r="G391" s="11"/>
      <c r="H391" s="11"/>
    </row>
    <row r="392" spans="1:8" ht="37.5" customHeight="1" x14ac:dyDescent="0.25">
      <c r="A392" s="51" t="str">
        <f t="shared" si="0"/>
        <v>OLHO DAGUA/ASSENTAMENTO "MÃE RAINHA"</v>
      </c>
      <c r="B392" s="2">
        <v>13105</v>
      </c>
      <c r="C392" s="26" t="s">
        <v>1202</v>
      </c>
      <c r="D392" s="27" t="s">
        <v>1203</v>
      </c>
      <c r="E392" s="11" t="s">
        <v>1208</v>
      </c>
      <c r="F392" s="11" t="s">
        <v>1209</v>
      </c>
      <c r="G392" s="11"/>
      <c r="H392" s="11"/>
    </row>
    <row r="393" spans="1:8" ht="37.5" customHeight="1" x14ac:dyDescent="0.25">
      <c r="A393" s="51" t="str">
        <f t="shared" si="0"/>
        <v>OLHO DAGUA/ECIT ANTONIO AVELINO DE ALMEIDA</v>
      </c>
      <c r="B393" s="2">
        <v>13105</v>
      </c>
      <c r="C393" s="26" t="s">
        <v>1202</v>
      </c>
      <c r="D393" s="11" t="s">
        <v>1203</v>
      </c>
      <c r="E393" s="11" t="s">
        <v>1210</v>
      </c>
      <c r="F393" s="11" t="s">
        <v>1211</v>
      </c>
      <c r="G393" s="11"/>
      <c r="H393" s="11"/>
    </row>
    <row r="394" spans="1:8" ht="37.5" customHeight="1" x14ac:dyDescent="0.25">
      <c r="A394" s="51" t="str">
        <f t="shared" si="0"/>
        <v>OLHO DAGUA/EEEF CONEGO MANOEL OTAVIANO</v>
      </c>
      <c r="B394" s="2">
        <v>13105</v>
      </c>
      <c r="C394" s="26" t="s">
        <v>1202</v>
      </c>
      <c r="D394" s="11" t="s">
        <v>1203</v>
      </c>
      <c r="E394" s="11" t="s">
        <v>1212</v>
      </c>
      <c r="F394" s="11" t="s">
        <v>1213</v>
      </c>
      <c r="G394" s="11"/>
      <c r="H394" s="11"/>
    </row>
    <row r="395" spans="1:8" ht="37.5" customHeight="1" x14ac:dyDescent="0.25">
      <c r="A395" s="51" t="str">
        <f t="shared" si="0"/>
        <v>OLHO DAGUA/EEEF CONEGO MANOEL OTAVIANO</v>
      </c>
      <c r="B395" s="2">
        <v>13105</v>
      </c>
      <c r="C395" s="26" t="s">
        <v>1202</v>
      </c>
      <c r="D395" s="27" t="s">
        <v>1203</v>
      </c>
      <c r="E395" s="11" t="s">
        <v>1212</v>
      </c>
      <c r="F395" s="11" t="s">
        <v>1214</v>
      </c>
      <c r="G395" s="11"/>
      <c r="H395" s="11"/>
    </row>
    <row r="396" spans="1:8" ht="37.5" customHeight="1" x14ac:dyDescent="0.25">
      <c r="A396" s="51" t="str">
        <f t="shared" si="0"/>
        <v>OLHO DAGUA/ESCOLA MUNICIPAL JULIO MINERVINO</v>
      </c>
      <c r="B396" s="2">
        <v>13105</v>
      </c>
      <c r="C396" s="26" t="s">
        <v>1202</v>
      </c>
      <c r="D396" s="27" t="s">
        <v>1203</v>
      </c>
      <c r="E396" s="11" t="s">
        <v>1215</v>
      </c>
      <c r="F396" s="11" t="s">
        <v>1216</v>
      </c>
      <c r="G396" s="11"/>
      <c r="H396" s="11"/>
    </row>
    <row r="397" spans="1:8" ht="37.5" customHeight="1" x14ac:dyDescent="0.25">
      <c r="A397" s="51" t="str">
        <f t="shared" si="0"/>
        <v>OLHO DAGUA/EEEF CONEGO MANOEL OTAVIANO</v>
      </c>
      <c r="B397" s="2">
        <v>13105</v>
      </c>
      <c r="C397" s="26" t="s">
        <v>1202</v>
      </c>
      <c r="D397" s="27" t="s">
        <v>1203</v>
      </c>
      <c r="E397" s="11" t="s">
        <v>1212</v>
      </c>
      <c r="F397" s="11" t="s">
        <v>1217</v>
      </c>
      <c r="G397" s="11"/>
      <c r="H397" s="11"/>
    </row>
    <row r="398" spans="1:8" ht="37.5" customHeight="1" x14ac:dyDescent="0.25">
      <c r="A398" s="51" t="str">
        <f t="shared" si="0"/>
        <v>OLHO DAGUA/ESCOLA MUNICIPAL JULIO MINERVINO</v>
      </c>
      <c r="B398" s="1">
        <v>13105</v>
      </c>
      <c r="C398" s="26" t="s">
        <v>1202</v>
      </c>
      <c r="D398" s="27" t="s">
        <v>1203</v>
      </c>
      <c r="E398" s="27" t="s">
        <v>1215</v>
      </c>
      <c r="F398" s="27" t="s">
        <v>1218</v>
      </c>
      <c r="G398" s="11"/>
      <c r="H398" s="11"/>
    </row>
    <row r="399" spans="1:8" ht="37.5" customHeight="1" x14ac:dyDescent="0.25">
      <c r="A399" s="51" t="str">
        <f t="shared" si="0"/>
        <v>PATOS/EEEFM AUZENIR LACERDA</v>
      </c>
      <c r="B399" s="2">
        <v>13109</v>
      </c>
      <c r="C399" s="52" t="s">
        <v>55</v>
      </c>
      <c r="D399" s="11" t="s">
        <v>1219</v>
      </c>
      <c r="E399" s="11" t="s">
        <v>1220</v>
      </c>
      <c r="F399" s="11" t="s">
        <v>1221</v>
      </c>
      <c r="G399" s="11"/>
      <c r="H399" s="11"/>
    </row>
    <row r="400" spans="1:8" ht="37.5" customHeight="1" x14ac:dyDescent="0.25">
      <c r="A400" s="51" t="str">
        <f t="shared" si="0"/>
        <v>PATOS/ECIT AUZENIR LACERDA</v>
      </c>
      <c r="B400" s="2">
        <v>13109</v>
      </c>
      <c r="C400" s="52" t="s">
        <v>55</v>
      </c>
      <c r="D400" s="27" t="s">
        <v>1219</v>
      </c>
      <c r="E400" s="11" t="s">
        <v>1222</v>
      </c>
      <c r="F400" s="11" t="s">
        <v>1223</v>
      </c>
      <c r="G400" s="11"/>
      <c r="H400" s="11"/>
    </row>
    <row r="401" spans="1:8" ht="37.5" customHeight="1" x14ac:dyDescent="0.25">
      <c r="A401" s="51" t="str">
        <f t="shared" si="0"/>
        <v>PATOS/PATOS - 13109.01 - Rua José Satiro Quinho, 171 - Monte Castelo</v>
      </c>
      <c r="B401" s="2">
        <v>13109</v>
      </c>
      <c r="C401" s="52" t="s">
        <v>55</v>
      </c>
      <c r="D401" s="27" t="s">
        <v>1219</v>
      </c>
      <c r="E401" s="11" t="s">
        <v>1224</v>
      </c>
      <c r="F401" s="11" t="s">
        <v>1225</v>
      </c>
      <c r="G401" s="11"/>
      <c r="H401" s="11"/>
    </row>
    <row r="402" spans="1:8" ht="37.5" customHeight="1" x14ac:dyDescent="0.25">
      <c r="A402" s="51" t="str">
        <f t="shared" si="0"/>
        <v>PATOS/ECIT DR. DIONÍSIO DA COSTA</v>
      </c>
      <c r="B402" s="2">
        <v>13109</v>
      </c>
      <c r="C402" s="52" t="s">
        <v>55</v>
      </c>
      <c r="D402" s="11" t="s">
        <v>1219</v>
      </c>
      <c r="E402" s="11" t="s">
        <v>1226</v>
      </c>
      <c r="F402" s="11" t="s">
        <v>1227</v>
      </c>
      <c r="G402" s="11"/>
      <c r="H402" s="11"/>
    </row>
    <row r="403" spans="1:8" ht="37.5" customHeight="1" x14ac:dyDescent="0.25">
      <c r="A403" s="51" t="str">
        <f t="shared" si="0"/>
        <v>PATOS/ECIT LYNALDO CAVALCANTI DE ALBUQUERQUE</v>
      </c>
      <c r="B403" s="2">
        <v>13109</v>
      </c>
      <c r="C403" s="52" t="s">
        <v>55</v>
      </c>
      <c r="D403" s="11" t="s">
        <v>1219</v>
      </c>
      <c r="E403" s="11" t="s">
        <v>1228</v>
      </c>
      <c r="F403" s="11" t="s">
        <v>1229</v>
      </c>
      <c r="G403" s="11"/>
      <c r="H403" s="11"/>
    </row>
    <row r="404" spans="1:8" ht="37.5" customHeight="1" x14ac:dyDescent="0.25">
      <c r="A404" s="51" t="str">
        <f t="shared" si="0"/>
        <v>PATOS/EEEF RIO BRANCO</v>
      </c>
      <c r="B404" s="2">
        <v>13109</v>
      </c>
      <c r="C404" s="52" t="s">
        <v>55</v>
      </c>
      <c r="D404" s="11" t="s">
        <v>1219</v>
      </c>
      <c r="E404" s="11" t="s">
        <v>1230</v>
      </c>
      <c r="F404" s="11" t="s">
        <v>1231</v>
      </c>
      <c r="G404" s="11"/>
      <c r="H404" s="11"/>
    </row>
    <row r="405" spans="1:8" ht="37.5" customHeight="1" x14ac:dyDescent="0.25">
      <c r="A405" s="51" t="str">
        <f t="shared" si="0"/>
        <v>PATOS/EMEF ARISTIDES HAMAD TIMENE</v>
      </c>
      <c r="B405" s="2">
        <v>13109</v>
      </c>
      <c r="C405" s="52" t="s">
        <v>55</v>
      </c>
      <c r="D405" s="11" t="s">
        <v>1219</v>
      </c>
      <c r="E405" s="11" t="s">
        <v>1232</v>
      </c>
      <c r="F405" s="11" t="s">
        <v>1233</v>
      </c>
      <c r="G405" s="11"/>
      <c r="H405" s="11"/>
    </row>
    <row r="406" spans="1:8" ht="37.5" customHeight="1" x14ac:dyDescent="0.25">
      <c r="A406" s="51" t="str">
        <f t="shared" si="0"/>
        <v>PATOS/EEEFM ANTONIA ARAUJO</v>
      </c>
      <c r="B406" s="2">
        <v>13109</v>
      </c>
      <c r="C406" s="52" t="s">
        <v>55</v>
      </c>
      <c r="D406" s="11" t="s">
        <v>1219</v>
      </c>
      <c r="E406" s="11" t="s">
        <v>1234</v>
      </c>
      <c r="F406" s="11" t="s">
        <v>1235</v>
      </c>
      <c r="G406" s="11"/>
      <c r="H406" s="11"/>
    </row>
    <row r="407" spans="1:8" ht="37.5" customHeight="1" x14ac:dyDescent="0.25">
      <c r="A407" s="51" t="str">
        <f t="shared" si="0"/>
        <v>PATOS/PENITENCIARIA REGIONAL FEMININA DE PATOS</v>
      </c>
      <c r="B407" s="2">
        <v>13109</v>
      </c>
      <c r="C407" s="52" t="s">
        <v>55</v>
      </c>
      <c r="D407" s="11" t="s">
        <v>1219</v>
      </c>
      <c r="E407" s="11" t="s">
        <v>1236</v>
      </c>
      <c r="F407" s="11" t="s">
        <v>1237</v>
      </c>
      <c r="G407" s="11"/>
      <c r="H407" s="11"/>
    </row>
    <row r="408" spans="1:8" ht="37.5" customHeight="1" x14ac:dyDescent="0.25">
      <c r="A408" s="51" t="str">
        <f t="shared" si="0"/>
        <v>PAULISTA/PAULISTA - 13110.01 - Rua Vigolvino Calixto, Centro.</v>
      </c>
      <c r="B408" s="2">
        <v>13110</v>
      </c>
      <c r="C408" s="52" t="s">
        <v>1238</v>
      </c>
      <c r="D408" s="11" t="s">
        <v>1239</v>
      </c>
      <c r="E408" s="11" t="s">
        <v>1240</v>
      </c>
      <c r="F408" s="11" t="s">
        <v>1241</v>
      </c>
      <c r="G408" s="11"/>
      <c r="H408" s="11"/>
    </row>
    <row r="409" spans="1:8" ht="37.5" customHeight="1" x14ac:dyDescent="0.25">
      <c r="A409" s="51" t="str">
        <f t="shared" si="0"/>
        <v>PAULISTA/ECIT FRANCISCO DE SÁ CAVALCANTE</v>
      </c>
      <c r="B409" s="2">
        <v>13110</v>
      </c>
      <c r="C409" s="52" t="s">
        <v>1238</v>
      </c>
      <c r="D409" s="11" t="s">
        <v>1239</v>
      </c>
      <c r="E409" s="11" t="s">
        <v>1242</v>
      </c>
      <c r="F409" s="11" t="s">
        <v>1243</v>
      </c>
      <c r="G409" s="11"/>
      <c r="H409" s="11"/>
    </row>
    <row r="410" spans="1:8" ht="37.5" customHeight="1" x14ac:dyDescent="0.25">
      <c r="A410" s="51" t="str">
        <f t="shared" si="0"/>
        <v>PAULISTA/EMEF CANDIDO DE ASSIS QUEIROGA</v>
      </c>
      <c r="B410" s="2">
        <v>13110</v>
      </c>
      <c r="C410" s="52" t="s">
        <v>1238</v>
      </c>
      <c r="D410" s="11" t="s">
        <v>1239</v>
      </c>
      <c r="E410" s="11" t="s">
        <v>1244</v>
      </c>
      <c r="F410" s="11" t="s">
        <v>1245</v>
      </c>
      <c r="G410" s="11"/>
      <c r="H410" s="11"/>
    </row>
    <row r="411" spans="1:8" ht="37.5" customHeight="1" x14ac:dyDescent="0.25">
      <c r="A411" s="51" t="str">
        <f t="shared" si="0"/>
        <v>PAULISTA/EECIT FRANCISCO DE SA CAVALCANTE</v>
      </c>
      <c r="B411" s="2">
        <v>13110</v>
      </c>
      <c r="C411" s="52" t="s">
        <v>1238</v>
      </c>
      <c r="D411" s="11" t="s">
        <v>1239</v>
      </c>
      <c r="E411" s="11" t="s">
        <v>1246</v>
      </c>
      <c r="F411" s="11" t="s">
        <v>1247</v>
      </c>
      <c r="G411" s="11"/>
      <c r="H411" s="11"/>
    </row>
    <row r="412" spans="1:8" ht="37.5" customHeight="1" x14ac:dyDescent="0.25">
      <c r="A412" s="51" t="str">
        <f t="shared" si="0"/>
        <v>PEDRA BRANCA/EM MANOEL CLAUDINO DA SILVA</v>
      </c>
      <c r="B412" s="2">
        <v>13111</v>
      </c>
      <c r="C412" s="52" t="s">
        <v>1248</v>
      </c>
      <c r="D412" s="11" t="s">
        <v>1249</v>
      </c>
      <c r="E412" s="11" t="s">
        <v>1250</v>
      </c>
      <c r="F412" s="11" t="s">
        <v>1251</v>
      </c>
      <c r="G412" s="11"/>
      <c r="H412" s="11"/>
    </row>
    <row r="413" spans="1:8" ht="37.5" customHeight="1" x14ac:dyDescent="0.25">
      <c r="A413" s="51" t="str">
        <f t="shared" si="0"/>
        <v>PEDRA LAVRADA/PEDRA LAVRADA - 13112.01 - Rua Heronides Meira Vasconcelos - s/n, Pedra Lavrada</v>
      </c>
      <c r="B413" s="2">
        <v>13112</v>
      </c>
      <c r="C413" s="52" t="s">
        <v>1252</v>
      </c>
      <c r="D413" s="11" t="s">
        <v>1253</v>
      </c>
      <c r="E413" s="11" t="s">
        <v>1254</v>
      </c>
      <c r="F413" s="11" t="s">
        <v>1255</v>
      </c>
      <c r="G413" s="11"/>
      <c r="H413" s="11"/>
    </row>
    <row r="414" spans="1:8" ht="37.5" customHeight="1" x14ac:dyDescent="0.25">
      <c r="A414" s="51" t="str">
        <f t="shared" si="0"/>
        <v>PEDRAS DE FOGO/ECIT JOÃO ÚRSULO</v>
      </c>
      <c r="B414" s="1">
        <v>13113</v>
      </c>
      <c r="C414" s="34" t="s">
        <v>1256</v>
      </c>
      <c r="D414" s="27" t="s">
        <v>1257</v>
      </c>
      <c r="E414" s="27" t="s">
        <v>1258</v>
      </c>
      <c r="F414" s="27" t="s">
        <v>1259</v>
      </c>
      <c r="G414" s="11"/>
      <c r="H414" s="11"/>
    </row>
    <row r="415" spans="1:8" ht="37.5" customHeight="1" x14ac:dyDescent="0.25">
      <c r="A415" s="51" t="str">
        <f t="shared" si="0"/>
        <v>PEDRAS DE FOGO/ESCOLA MUNICIPAL VALDECI CAVALCANTI</v>
      </c>
      <c r="B415" s="2">
        <v>13113</v>
      </c>
      <c r="C415" s="52" t="s">
        <v>1256</v>
      </c>
      <c r="D415" s="11" t="s">
        <v>1257</v>
      </c>
      <c r="E415" s="11" t="s">
        <v>1260</v>
      </c>
      <c r="F415" s="11" t="s">
        <v>1261</v>
      </c>
      <c r="G415" s="11"/>
      <c r="H415" s="11"/>
    </row>
    <row r="416" spans="1:8" ht="37.5" customHeight="1" x14ac:dyDescent="0.25">
      <c r="A416" s="51" t="str">
        <f t="shared" si="0"/>
        <v>PEDRAS DE FOGO/EEEFM PROF GETULIO CESAR RODRIGUES GUEDES</v>
      </c>
      <c r="B416" s="2">
        <v>13113</v>
      </c>
      <c r="C416" s="52" t="s">
        <v>1256</v>
      </c>
      <c r="D416" s="11" t="s">
        <v>1257</v>
      </c>
      <c r="E416" s="11" t="s">
        <v>1262</v>
      </c>
      <c r="F416" s="11" t="s">
        <v>1263</v>
      </c>
      <c r="G416" s="11"/>
      <c r="H416" s="11"/>
    </row>
    <row r="417" spans="1:8" ht="37.5" customHeight="1" x14ac:dyDescent="0.25">
      <c r="A417" s="51" t="str">
        <f t="shared" si="0"/>
        <v>PEDRO RÉGIS/ESCOLA MUNICIPAL E.F DAURA RIBEIRO</v>
      </c>
      <c r="B417" s="2">
        <v>13203</v>
      </c>
      <c r="C417" s="52" t="s">
        <v>1264</v>
      </c>
      <c r="D417" s="11" t="s">
        <v>1265</v>
      </c>
      <c r="E417" s="11" t="s">
        <v>1266</v>
      </c>
      <c r="F417" s="11" t="s">
        <v>1267</v>
      </c>
      <c r="G417" s="11"/>
      <c r="H417" s="11"/>
    </row>
    <row r="418" spans="1:8" ht="37.5" customHeight="1" x14ac:dyDescent="0.25">
      <c r="A418" s="51" t="str">
        <f t="shared" si="0"/>
        <v>PEDRO RÉGIS/EEEFM MARGARIDA DIAS</v>
      </c>
      <c r="B418" s="1">
        <v>13203</v>
      </c>
      <c r="C418" s="52" t="s">
        <v>1264</v>
      </c>
      <c r="D418" s="27" t="s">
        <v>1265</v>
      </c>
      <c r="E418" s="27" t="s">
        <v>1268</v>
      </c>
      <c r="F418" s="27" t="s">
        <v>1269</v>
      </c>
      <c r="G418" s="11"/>
      <c r="H418" s="11"/>
    </row>
    <row r="419" spans="1:8" ht="37.5" customHeight="1" x14ac:dyDescent="0.25">
      <c r="A419" s="51" t="str">
        <f t="shared" si="0"/>
        <v>PEDRO RÉGIS/EMEF DAURA RIBEIRO DA SILVA</v>
      </c>
      <c r="B419" s="1">
        <v>13203</v>
      </c>
      <c r="C419" s="52" t="s">
        <v>1264</v>
      </c>
      <c r="D419" s="27" t="s">
        <v>1265</v>
      </c>
      <c r="E419" s="27" t="s">
        <v>1270</v>
      </c>
      <c r="F419" s="27" t="s">
        <v>1271</v>
      </c>
      <c r="G419" s="11"/>
      <c r="H419" s="11"/>
    </row>
    <row r="420" spans="1:8" ht="37.5" customHeight="1" x14ac:dyDescent="0.25">
      <c r="A420" s="51" t="str">
        <f t="shared" si="0"/>
        <v>PIANCO/EEEM SANTO ANTONIO</v>
      </c>
      <c r="B420" s="1">
        <v>13114</v>
      </c>
      <c r="C420" s="26" t="s">
        <v>1272</v>
      </c>
      <c r="D420" s="27" t="s">
        <v>1273</v>
      </c>
      <c r="E420" s="27" t="s">
        <v>1274</v>
      </c>
      <c r="F420" s="27" t="s">
        <v>1275</v>
      </c>
      <c r="G420" s="11"/>
      <c r="H420" s="11"/>
    </row>
    <row r="421" spans="1:8" ht="37.5" customHeight="1" x14ac:dyDescent="0.25">
      <c r="A421" s="51" t="str">
        <f t="shared" si="0"/>
        <v>PIANCO/PIANCO - 13114.01 - Av Virgilio Silva</v>
      </c>
      <c r="B421" s="2">
        <v>13114</v>
      </c>
      <c r="C421" s="26" t="s">
        <v>1272</v>
      </c>
      <c r="D421" s="11" t="s">
        <v>1273</v>
      </c>
      <c r="E421" s="11" t="s">
        <v>1276</v>
      </c>
      <c r="F421" s="11" t="s">
        <v>1277</v>
      </c>
      <c r="G421" s="11"/>
      <c r="H421" s="11"/>
    </row>
    <row r="422" spans="1:8" ht="37.5" customHeight="1" x14ac:dyDescent="0.25">
      <c r="A422" s="51" t="str">
        <f t="shared" si="0"/>
        <v>PIANCO/EMEIF LUCIANO FREIRE DE FARIAS</v>
      </c>
      <c r="B422" s="2">
        <v>13114</v>
      </c>
      <c r="C422" s="26" t="s">
        <v>1272</v>
      </c>
      <c r="D422" s="11" t="s">
        <v>1273</v>
      </c>
      <c r="E422" s="11" t="s">
        <v>1278</v>
      </c>
      <c r="F422" s="11" t="s">
        <v>1279</v>
      </c>
      <c r="G422" s="11"/>
      <c r="H422" s="11"/>
    </row>
    <row r="423" spans="1:8" ht="37.5" customHeight="1" x14ac:dyDescent="0.25">
      <c r="A423" s="51" t="str">
        <f t="shared" si="0"/>
        <v>PIANCO/ECIT SANTO ANTONIO</v>
      </c>
      <c r="B423" s="2">
        <v>13114</v>
      </c>
      <c r="C423" s="26" t="s">
        <v>1272</v>
      </c>
      <c r="D423" s="11" t="s">
        <v>1273</v>
      </c>
      <c r="E423" s="11" t="s">
        <v>1280</v>
      </c>
      <c r="F423" s="11" t="s">
        <v>1281</v>
      </c>
      <c r="G423" s="11"/>
      <c r="H423" s="11"/>
    </row>
    <row r="424" spans="1:8" ht="37.5" customHeight="1" x14ac:dyDescent="0.25">
      <c r="A424" s="51" t="str">
        <f t="shared" si="0"/>
        <v>PICUÍ/ESCOLA MUNICIPAL DE ENSINO FUNDAMENTAL TERTULIANO PEREIRA DE ARAÚJO</v>
      </c>
      <c r="B424" s="2">
        <v>13115</v>
      </c>
      <c r="C424" s="52" t="s">
        <v>1282</v>
      </c>
      <c r="D424" s="11" t="s">
        <v>1283</v>
      </c>
      <c r="E424" s="11" t="s">
        <v>1284</v>
      </c>
      <c r="F424" s="11" t="s">
        <v>1285</v>
      </c>
      <c r="G424" s="11"/>
      <c r="H424" s="11"/>
    </row>
    <row r="425" spans="1:8" ht="37.5" customHeight="1" x14ac:dyDescent="0.25">
      <c r="A425" s="51" t="str">
        <f t="shared" si="0"/>
        <v>PICUÍ/PARQUE ECOLÓGICO MUNICIPAL</v>
      </c>
      <c r="B425" s="2">
        <v>13115</v>
      </c>
      <c r="C425" s="52" t="s">
        <v>1282</v>
      </c>
      <c r="D425" s="11" t="s">
        <v>1283</v>
      </c>
      <c r="E425" s="11" t="s">
        <v>1286</v>
      </c>
      <c r="F425" s="11" t="s">
        <v>1287</v>
      </c>
      <c r="G425" s="11"/>
      <c r="H425" s="11"/>
    </row>
    <row r="426" spans="1:8" ht="37.5" customHeight="1" x14ac:dyDescent="0.25">
      <c r="A426" s="51" t="str">
        <f t="shared" si="0"/>
        <v>PICUÍ/PICUI - 13115.01 - AV LUIZA ALVES , S/N, BAIRRO CONECISTA</v>
      </c>
      <c r="B426" s="2">
        <v>13115</v>
      </c>
      <c r="C426" s="52" t="s">
        <v>1282</v>
      </c>
      <c r="D426" s="11" t="s">
        <v>1283</v>
      </c>
      <c r="E426" s="11" t="s">
        <v>1288</v>
      </c>
      <c r="F426" s="11" t="s">
        <v>1289</v>
      </c>
      <c r="G426" s="11"/>
      <c r="H426" s="11"/>
    </row>
    <row r="427" spans="1:8" ht="37.5" customHeight="1" x14ac:dyDescent="0.25">
      <c r="A427" s="51" t="str">
        <f t="shared" si="0"/>
        <v>PICUÍ/PICUI - 13115.02 - RUA ANTÔNIO FIRMINO DE MACEDO, S/N., LIMEIRA</v>
      </c>
      <c r="B427" s="2">
        <v>13115</v>
      </c>
      <c r="C427" s="52" t="s">
        <v>1282</v>
      </c>
      <c r="D427" s="11" t="s">
        <v>1283</v>
      </c>
      <c r="E427" s="11" t="s">
        <v>1290</v>
      </c>
      <c r="F427" s="11" t="s">
        <v>1291</v>
      </c>
      <c r="G427" s="11"/>
      <c r="H427" s="11"/>
    </row>
    <row r="428" spans="1:8" ht="37.5" customHeight="1" x14ac:dyDescent="0.25">
      <c r="A428" s="51" t="str">
        <f t="shared" si="0"/>
        <v>PICUÍ/ECIT PROF. LORDÃO</v>
      </c>
      <c r="B428" s="2">
        <v>13115</v>
      </c>
      <c r="C428" s="52" t="s">
        <v>1282</v>
      </c>
      <c r="D428" s="11" t="s">
        <v>1283</v>
      </c>
      <c r="E428" s="11" t="s">
        <v>1292</v>
      </c>
      <c r="F428" s="11" t="s">
        <v>1293</v>
      </c>
      <c r="G428" s="11"/>
      <c r="H428" s="11"/>
    </row>
    <row r="429" spans="1:8" ht="37.5" customHeight="1" x14ac:dyDescent="0.25">
      <c r="A429" s="51" t="str">
        <f t="shared" si="0"/>
        <v>PICUÍ/EEEFM FELIPE TIAGO GOMES</v>
      </c>
      <c r="B429" s="2">
        <v>13115</v>
      </c>
      <c r="C429" s="52" t="s">
        <v>1282</v>
      </c>
      <c r="D429" s="11" t="s">
        <v>1283</v>
      </c>
      <c r="E429" s="11" t="s">
        <v>1294</v>
      </c>
      <c r="F429" s="11" t="s">
        <v>1295</v>
      </c>
      <c r="G429" s="11"/>
      <c r="H429" s="11"/>
    </row>
    <row r="430" spans="1:8" ht="37.5" customHeight="1" x14ac:dyDescent="0.25">
      <c r="A430" s="51" t="str">
        <f t="shared" si="0"/>
        <v>PICUÍ/ASSOCIAÇAO COMUNITÁRIA NEGRA SERRA DO ABREU</v>
      </c>
      <c r="B430" s="2">
        <v>13115</v>
      </c>
      <c r="C430" s="52" t="s">
        <v>1282</v>
      </c>
      <c r="D430" s="11" t="s">
        <v>1283</v>
      </c>
      <c r="E430" s="11" t="s">
        <v>1296</v>
      </c>
      <c r="F430" s="11" t="s">
        <v>1297</v>
      </c>
      <c r="G430" s="11"/>
      <c r="H430" s="11"/>
    </row>
    <row r="431" spans="1:8" ht="37.5" customHeight="1" x14ac:dyDescent="0.25">
      <c r="A431" s="51" t="str">
        <f t="shared" si="0"/>
        <v>PILAR/EEE MARIA ALVES DE BRITO</v>
      </c>
      <c r="B431" s="2">
        <v>13116</v>
      </c>
      <c r="C431" s="52" t="s">
        <v>1298</v>
      </c>
      <c r="D431" s="11" t="s">
        <v>1299</v>
      </c>
      <c r="E431" s="11" t="s">
        <v>1300</v>
      </c>
      <c r="F431" s="11" t="s">
        <v>1301</v>
      </c>
      <c r="G431" s="11"/>
      <c r="H431" s="11"/>
    </row>
    <row r="432" spans="1:8" ht="37.5" customHeight="1" x14ac:dyDescent="0.25">
      <c r="A432" s="51" t="str">
        <f t="shared" si="0"/>
        <v>PILOES/ESCOLA MUNICIPAL E.F BRAZ BARACHUY</v>
      </c>
      <c r="B432" s="2">
        <v>13117</v>
      </c>
      <c r="C432" s="26" t="s">
        <v>56</v>
      </c>
      <c r="D432" s="11" t="s">
        <v>1302</v>
      </c>
      <c r="E432" s="11" t="s">
        <v>1303</v>
      </c>
      <c r="F432" s="11" t="s">
        <v>1304</v>
      </c>
      <c r="G432" s="11"/>
      <c r="H432" s="11"/>
    </row>
    <row r="433" spans="1:8" ht="37.5" customHeight="1" x14ac:dyDescent="0.25">
      <c r="A433" s="51" t="str">
        <f t="shared" si="0"/>
        <v>PILOES/E.M.E.F DES. BRAZ BARACHUY</v>
      </c>
      <c r="B433" s="2">
        <v>13117</v>
      </c>
      <c r="C433" s="26" t="s">
        <v>56</v>
      </c>
      <c r="D433" s="11" t="s">
        <v>1302</v>
      </c>
      <c r="E433" s="11" t="s">
        <v>1305</v>
      </c>
      <c r="F433" s="11" t="s">
        <v>1306</v>
      </c>
      <c r="G433" s="11"/>
      <c r="H433" s="11"/>
    </row>
    <row r="434" spans="1:8" ht="37.5" customHeight="1" x14ac:dyDescent="0.25">
      <c r="A434" s="51" t="str">
        <f t="shared" si="0"/>
        <v>PILOES/ESCOLA MUNICIPAL DES. BRAZ BARACUHY</v>
      </c>
      <c r="B434" s="2">
        <v>13117</v>
      </c>
      <c r="C434" s="26" t="s">
        <v>56</v>
      </c>
      <c r="D434" s="11" t="s">
        <v>1302</v>
      </c>
      <c r="E434" s="11" t="s">
        <v>1307</v>
      </c>
      <c r="F434" s="11" t="s">
        <v>1308</v>
      </c>
      <c r="G434" s="11"/>
      <c r="H434" s="11"/>
    </row>
    <row r="435" spans="1:8" ht="37.5" customHeight="1" x14ac:dyDescent="0.25">
      <c r="A435" s="51" t="str">
        <f t="shared" si="0"/>
        <v>PILÕEZINHOS/ECI SILVIO PORTO</v>
      </c>
      <c r="B435" s="2">
        <v>13118</v>
      </c>
      <c r="C435" s="52" t="s">
        <v>1309</v>
      </c>
      <c r="D435" s="11" t="s">
        <v>1310</v>
      </c>
      <c r="E435" s="11" t="s">
        <v>1311</v>
      </c>
      <c r="F435" s="11" t="s">
        <v>1312</v>
      </c>
      <c r="G435" s="11"/>
      <c r="H435" s="11"/>
    </row>
    <row r="436" spans="1:8" ht="37.5" customHeight="1" x14ac:dyDescent="0.25">
      <c r="A436" s="51" t="str">
        <f t="shared" si="0"/>
        <v>PITIMBU/ECIT DURVAL GUEDES</v>
      </c>
      <c r="B436" s="2">
        <v>13120</v>
      </c>
      <c r="C436" s="52" t="s">
        <v>1313</v>
      </c>
      <c r="D436" s="11" t="s">
        <v>1314</v>
      </c>
      <c r="E436" s="11" t="s">
        <v>1315</v>
      </c>
      <c r="F436" s="11" t="s">
        <v>1316</v>
      </c>
      <c r="G436" s="11"/>
      <c r="H436" s="11"/>
    </row>
    <row r="437" spans="1:8" ht="37.5" customHeight="1" x14ac:dyDescent="0.25">
      <c r="A437" s="51" t="str">
        <f t="shared" si="0"/>
        <v>PITIMBU/ESCOLA ESTADUAL DE ENSINO FUNDAMENTAL E MÉDIO DURVAL GUEDES</v>
      </c>
      <c r="B437" s="2">
        <v>13120</v>
      </c>
      <c r="C437" s="52" t="s">
        <v>1313</v>
      </c>
      <c r="D437" s="11" t="s">
        <v>1314</v>
      </c>
      <c r="E437" s="11" t="s">
        <v>1317</v>
      </c>
      <c r="F437" s="11" t="s">
        <v>1318</v>
      </c>
      <c r="G437" s="11"/>
      <c r="H437" s="11"/>
    </row>
    <row r="438" spans="1:8" ht="37.5" customHeight="1" x14ac:dyDescent="0.25">
      <c r="A438" s="51" t="str">
        <f t="shared" si="0"/>
        <v>POCINHOS/SECRETARIA DE AGRICULTURA</v>
      </c>
      <c r="B438" s="2">
        <v>13121</v>
      </c>
      <c r="C438" s="52" t="s">
        <v>1319</v>
      </c>
      <c r="D438" s="27" t="s">
        <v>1320</v>
      </c>
      <c r="E438" s="11" t="s">
        <v>1321</v>
      </c>
      <c r="F438" s="11" t="s">
        <v>1322</v>
      </c>
      <c r="G438" s="11"/>
      <c r="H438" s="11"/>
    </row>
    <row r="439" spans="1:8" ht="37.5" customHeight="1" x14ac:dyDescent="0.25">
      <c r="A439" s="51" t="str">
        <f t="shared" si="0"/>
        <v>POCINHOS/COLEGIO MUNICIPAL PADRE GALVAO</v>
      </c>
      <c r="B439" s="1">
        <v>13121</v>
      </c>
      <c r="C439" s="27" t="s">
        <v>1319</v>
      </c>
      <c r="D439" s="27" t="s">
        <v>1320</v>
      </c>
      <c r="E439" s="27" t="s">
        <v>1323</v>
      </c>
      <c r="F439" s="27" t="s">
        <v>1324</v>
      </c>
      <c r="G439" s="11"/>
      <c r="H439" s="11"/>
    </row>
    <row r="440" spans="1:8" ht="37.5" customHeight="1" x14ac:dyDescent="0.25">
      <c r="A440" s="51" t="str">
        <f t="shared" si="0"/>
        <v>POÇO DANTAS/EMEIFM ROSA DIAS DO NASCIMENTO</v>
      </c>
      <c r="B440" s="2">
        <v>13201</v>
      </c>
      <c r="C440" s="52" t="s">
        <v>1325</v>
      </c>
      <c r="D440" s="27" t="s">
        <v>1326</v>
      </c>
      <c r="E440" s="11" t="s">
        <v>1327</v>
      </c>
      <c r="F440" s="11" t="s">
        <v>1328</v>
      </c>
      <c r="G440" s="11"/>
      <c r="H440" s="11"/>
    </row>
    <row r="441" spans="1:8" ht="37.5" customHeight="1" x14ac:dyDescent="0.25">
      <c r="A441" s="51" t="str">
        <f t="shared" si="0"/>
        <v>POÇO DE JOSÉ DE MOURA/POCO DE JOSE DE MOURA - 13202.01 - RUA ALEXANDRE AMADOR, S/N</v>
      </c>
      <c r="B441" s="2">
        <v>13202</v>
      </c>
      <c r="C441" s="52" t="s">
        <v>1329</v>
      </c>
      <c r="D441" s="27" t="s">
        <v>1330</v>
      </c>
      <c r="E441" s="11" t="s">
        <v>1331</v>
      </c>
      <c r="F441" s="11" t="s">
        <v>1332</v>
      </c>
      <c r="G441" s="11"/>
      <c r="H441" s="11"/>
    </row>
    <row r="442" spans="1:8" ht="37.5" customHeight="1" x14ac:dyDescent="0.25">
      <c r="A442" s="51" t="str">
        <f t="shared" si="0"/>
        <v>POMBAL/ECIT MONSENHOR VICENTE FREITAS</v>
      </c>
      <c r="B442" s="2">
        <v>13122</v>
      </c>
      <c r="C442" s="52" t="s">
        <v>57</v>
      </c>
      <c r="D442" s="27" t="s">
        <v>1333</v>
      </c>
      <c r="E442" s="11" t="s">
        <v>1334</v>
      </c>
      <c r="F442" s="11" t="s">
        <v>1335</v>
      </c>
      <c r="G442" s="11"/>
      <c r="H442" s="11"/>
    </row>
    <row r="443" spans="1:8" ht="37.5" customHeight="1" x14ac:dyDescent="0.25">
      <c r="A443" s="51" t="str">
        <f t="shared" si="0"/>
        <v>POMBAL/DISTRITO DE CACHOEIRA</v>
      </c>
      <c r="B443" s="2">
        <v>13122</v>
      </c>
      <c r="C443" s="52" t="s">
        <v>57</v>
      </c>
      <c r="D443" s="27" t="s">
        <v>1333</v>
      </c>
      <c r="E443" s="11" t="s">
        <v>1336</v>
      </c>
      <c r="F443" s="11" t="s">
        <v>1337</v>
      </c>
      <c r="G443" s="11"/>
      <c r="H443" s="11"/>
    </row>
    <row r="444" spans="1:8" ht="37.5" customHeight="1" x14ac:dyDescent="0.25">
      <c r="A444" s="51" t="str">
        <f t="shared" si="0"/>
        <v>POMBAL/EEEFM ARRUDA CAMARA</v>
      </c>
      <c r="B444" s="2">
        <v>13122</v>
      </c>
      <c r="C444" s="52" t="s">
        <v>57</v>
      </c>
      <c r="D444" s="27" t="s">
        <v>1333</v>
      </c>
      <c r="E444" s="11" t="s">
        <v>1338</v>
      </c>
      <c r="F444" s="11" t="s">
        <v>1339</v>
      </c>
      <c r="G444" s="11"/>
      <c r="H444" s="11"/>
    </row>
    <row r="445" spans="1:8" ht="37.5" customHeight="1" x14ac:dyDescent="0.25">
      <c r="A445" s="51" t="str">
        <f t="shared" si="0"/>
        <v>POMBAL/ECIT MONSENHOR VICENTE DE FREITAS</v>
      </c>
      <c r="B445" s="2">
        <v>13122</v>
      </c>
      <c r="C445" s="52" t="s">
        <v>57</v>
      </c>
      <c r="D445" s="27" t="s">
        <v>1333</v>
      </c>
      <c r="E445" s="11" t="s">
        <v>1340</v>
      </c>
      <c r="F445" s="11" t="s">
        <v>1341</v>
      </c>
      <c r="G445" s="11"/>
      <c r="H445" s="11"/>
    </row>
    <row r="446" spans="1:8" ht="37.5" customHeight="1" x14ac:dyDescent="0.25">
      <c r="A446" s="51" t="str">
        <f t="shared" si="0"/>
        <v>PRATA/ECI FRANCISCO DE ASSIS GONZAGA</v>
      </c>
      <c r="B446" s="2">
        <v>13123</v>
      </c>
      <c r="C446" s="52" t="s">
        <v>1342</v>
      </c>
      <c r="D446" s="27" t="s">
        <v>1343</v>
      </c>
      <c r="E446" s="11" t="s">
        <v>1344</v>
      </c>
      <c r="F446" s="11" t="s">
        <v>1345</v>
      </c>
      <c r="G446" s="11"/>
      <c r="H446" s="11"/>
    </row>
    <row r="447" spans="1:8" ht="37.5" customHeight="1" x14ac:dyDescent="0.25">
      <c r="A447" s="51" t="str">
        <f t="shared" si="0"/>
        <v>PRATA/ECIT FRANCISCO DE ASSIS GONZAGA</v>
      </c>
      <c r="B447" s="2">
        <v>13123</v>
      </c>
      <c r="C447" s="52" t="s">
        <v>1342</v>
      </c>
      <c r="D447" s="27" t="s">
        <v>1343</v>
      </c>
      <c r="E447" s="11" t="s">
        <v>1346</v>
      </c>
      <c r="F447" s="11" t="s">
        <v>1347</v>
      </c>
      <c r="G447" s="11"/>
      <c r="H447" s="11"/>
    </row>
    <row r="448" spans="1:8" ht="37.5" customHeight="1" x14ac:dyDescent="0.25">
      <c r="A448" s="51" t="str">
        <f t="shared" si="0"/>
        <v>PRINCESA ISABEL/ECI NOSSA SENHORA DO BOM CONSELHO</v>
      </c>
      <c r="B448" s="2">
        <v>13124</v>
      </c>
      <c r="C448" s="52" t="s">
        <v>1348</v>
      </c>
      <c r="D448" s="27" t="s">
        <v>1349</v>
      </c>
      <c r="E448" s="11" t="s">
        <v>1350</v>
      </c>
      <c r="F448" s="11" t="s">
        <v>1351</v>
      </c>
      <c r="G448" s="11"/>
      <c r="H448" s="11"/>
    </row>
    <row r="449" spans="1:8" ht="37.5" customHeight="1" x14ac:dyDescent="0.25">
      <c r="A449" s="51" t="str">
        <f t="shared" si="0"/>
        <v>PRINCESA ISABEL/ESCOLA MUNICIPAL CARLOS ALBERTO MEDEIROS DUARTE</v>
      </c>
      <c r="B449" s="2">
        <v>13124</v>
      </c>
      <c r="C449" s="52" t="s">
        <v>1348</v>
      </c>
      <c r="D449" s="27" t="s">
        <v>1349</v>
      </c>
      <c r="E449" s="11" t="s">
        <v>1352</v>
      </c>
      <c r="F449" s="11" t="s">
        <v>1353</v>
      </c>
      <c r="G449" s="11"/>
      <c r="H449" s="11"/>
    </row>
    <row r="450" spans="1:8" ht="37.5" customHeight="1" x14ac:dyDescent="0.25">
      <c r="A450" s="51" t="str">
        <f t="shared" si="0"/>
        <v>PRINCESA ISABEL/PRINCESA ISABEL - 13124.01 - EMEF Carlos Alberto Medeiros Duarte Sobreira</v>
      </c>
      <c r="B450" s="2">
        <v>13124</v>
      </c>
      <c r="C450" s="52" t="s">
        <v>1348</v>
      </c>
      <c r="D450" s="27" t="s">
        <v>1349</v>
      </c>
      <c r="E450" s="11" t="s">
        <v>1354</v>
      </c>
      <c r="F450" s="11" t="s">
        <v>1355</v>
      </c>
      <c r="G450" s="11"/>
      <c r="H450" s="11"/>
    </row>
    <row r="451" spans="1:8" ht="37.5" customHeight="1" x14ac:dyDescent="0.25">
      <c r="A451" s="51" t="str">
        <f t="shared" si="0"/>
        <v>PRINCESA ISABEL/ECIT NOSSA SENHORA DO BOM CONSELHO</v>
      </c>
      <c r="B451" s="2">
        <v>13124</v>
      </c>
      <c r="C451" s="52" t="s">
        <v>1348</v>
      </c>
      <c r="D451" s="27" t="s">
        <v>1349</v>
      </c>
      <c r="E451" s="11" t="s">
        <v>1356</v>
      </c>
      <c r="F451" s="11" t="s">
        <v>1357</v>
      </c>
      <c r="G451" s="11"/>
      <c r="H451" s="11"/>
    </row>
    <row r="452" spans="1:8" ht="37.5" customHeight="1" x14ac:dyDescent="0.25">
      <c r="A452" s="51" t="str">
        <f t="shared" si="0"/>
        <v>PUXINANÃ/ECIT PLÍNIO LEMOS</v>
      </c>
      <c r="B452" s="2">
        <v>13125</v>
      </c>
      <c r="C452" s="52" t="s">
        <v>1358</v>
      </c>
      <c r="D452" s="11" t="s">
        <v>1359</v>
      </c>
      <c r="E452" s="11" t="s">
        <v>1360</v>
      </c>
      <c r="F452" s="11" t="s">
        <v>1361</v>
      </c>
      <c r="G452" s="11"/>
      <c r="H452" s="11"/>
    </row>
    <row r="453" spans="1:8" ht="37.5" customHeight="1" x14ac:dyDescent="0.25">
      <c r="A453" s="51" t="str">
        <f t="shared" si="0"/>
        <v>QUEIMADAS/QUEIMADAS - 13126.01 - Av Severino Bezerra Cabral</v>
      </c>
      <c r="B453" s="2">
        <v>13126</v>
      </c>
      <c r="C453" s="52" t="s">
        <v>59</v>
      </c>
      <c r="D453" s="27" t="s">
        <v>1362</v>
      </c>
      <c r="E453" s="11" t="s">
        <v>1363</v>
      </c>
      <c r="F453" s="11" t="s">
        <v>1364</v>
      </c>
      <c r="G453" s="11"/>
      <c r="H453" s="11"/>
    </row>
    <row r="454" spans="1:8" ht="37.5" customHeight="1" x14ac:dyDescent="0.25">
      <c r="A454" s="51" t="str">
        <f t="shared" si="0"/>
        <v>QUEIMADAS/ECIT FRANCISCO ERNESTO DO REGO</v>
      </c>
      <c r="B454" s="2">
        <v>13126</v>
      </c>
      <c r="C454" s="52" t="s">
        <v>59</v>
      </c>
      <c r="D454" s="27" t="s">
        <v>1362</v>
      </c>
      <c r="E454" s="11" t="s">
        <v>60</v>
      </c>
      <c r="F454" s="11" t="s">
        <v>1365</v>
      </c>
      <c r="G454" s="11"/>
      <c r="H454" s="11"/>
    </row>
    <row r="455" spans="1:8" ht="37.5" customHeight="1" x14ac:dyDescent="0.25">
      <c r="A455" s="51" t="str">
        <f t="shared" si="0"/>
        <v>QUEIMADAS/EEEFM FRANCISCO E DO REGO</v>
      </c>
      <c r="B455" s="2">
        <v>13126</v>
      </c>
      <c r="C455" s="52" t="s">
        <v>59</v>
      </c>
      <c r="D455" s="27" t="s">
        <v>1362</v>
      </c>
      <c r="E455" s="11" t="s">
        <v>1366</v>
      </c>
      <c r="F455" s="11" t="s">
        <v>1367</v>
      </c>
      <c r="G455" s="11"/>
      <c r="H455" s="11"/>
    </row>
    <row r="456" spans="1:8" ht="37.5" customHeight="1" x14ac:dyDescent="0.25">
      <c r="A456" s="51" t="str">
        <f t="shared" si="0"/>
        <v>QUEIMADAS/ESCOLA MUNICIPAL CARLOS ERNESTO</v>
      </c>
      <c r="B456" s="2">
        <v>13126</v>
      </c>
      <c r="C456" s="52" t="s">
        <v>59</v>
      </c>
      <c r="D456" s="11" t="s">
        <v>1362</v>
      </c>
      <c r="E456" s="11" t="s">
        <v>1368</v>
      </c>
      <c r="F456" s="11" t="s">
        <v>1369</v>
      </c>
      <c r="G456" s="11"/>
      <c r="H456" s="11"/>
    </row>
    <row r="457" spans="1:8" ht="37.5" customHeight="1" x14ac:dyDescent="0.25">
      <c r="A457" s="51" t="str">
        <f t="shared" si="0"/>
        <v>QUEIMADAS/EMEF ANTONIO VITAL DO REGO</v>
      </c>
      <c r="B457" s="2">
        <v>13126</v>
      </c>
      <c r="C457" s="52" t="s">
        <v>59</v>
      </c>
      <c r="D457" s="11" t="s">
        <v>1362</v>
      </c>
      <c r="E457" s="11" t="s">
        <v>1370</v>
      </c>
      <c r="F457" s="11" t="s">
        <v>1371</v>
      </c>
      <c r="G457" s="11"/>
      <c r="H457" s="11"/>
    </row>
    <row r="458" spans="1:8" ht="37.5" customHeight="1" x14ac:dyDescent="0.25">
      <c r="A458" s="51" t="str">
        <f t="shared" si="0"/>
        <v>QUEIMADAS/SALAO DE COSTURA ANEXO DO CRAS</v>
      </c>
      <c r="B458" s="2">
        <v>13126</v>
      </c>
      <c r="C458" s="52" t="s">
        <v>59</v>
      </c>
      <c r="D458" s="11" t="s">
        <v>1362</v>
      </c>
      <c r="E458" s="11" t="s">
        <v>1372</v>
      </c>
      <c r="F458" s="11" t="s">
        <v>1373</v>
      </c>
      <c r="G458" s="11"/>
      <c r="H458" s="11"/>
    </row>
    <row r="459" spans="1:8" ht="37.5" customHeight="1" x14ac:dyDescent="0.25">
      <c r="A459" s="51" t="str">
        <f t="shared" si="0"/>
        <v>QUEIMADAS/SECRETARIA DE DESENVOLVIMENTO SOCIAL QUALIFICA</v>
      </c>
      <c r="B459" s="2">
        <v>13126</v>
      </c>
      <c r="C459" s="52" t="s">
        <v>59</v>
      </c>
      <c r="D459" s="11" t="s">
        <v>1362</v>
      </c>
      <c r="E459" s="11" t="s">
        <v>1374</v>
      </c>
      <c r="F459" s="11" t="s">
        <v>1375</v>
      </c>
      <c r="G459" s="11"/>
      <c r="H459" s="11"/>
    </row>
    <row r="460" spans="1:8" ht="37.5" customHeight="1" x14ac:dyDescent="0.25">
      <c r="A460" s="51" t="str">
        <f t="shared" si="0"/>
        <v>QUIXABA/EMEIFM CÍCERO SULPINO</v>
      </c>
      <c r="B460" s="2">
        <v>13127</v>
      </c>
      <c r="C460" s="52" t="s">
        <v>1376</v>
      </c>
      <c r="D460" s="27" t="s">
        <v>1377</v>
      </c>
      <c r="E460" s="11" t="s">
        <v>1378</v>
      </c>
      <c r="F460" s="11" t="s">
        <v>1379</v>
      </c>
      <c r="G460" s="11"/>
      <c r="H460" s="11"/>
    </row>
    <row r="461" spans="1:8" ht="37.5" customHeight="1" x14ac:dyDescent="0.25">
      <c r="A461" s="51" t="str">
        <f t="shared" si="0"/>
        <v>REMÍGIO/ECIT JOSÉ BRONZEADO SOBRINHO</v>
      </c>
      <c r="B461" s="2">
        <v>13128</v>
      </c>
      <c r="C461" s="52" t="s">
        <v>1380</v>
      </c>
      <c r="D461" s="11" t="s">
        <v>1381</v>
      </c>
      <c r="E461" s="11" t="s">
        <v>1382</v>
      </c>
      <c r="F461" s="11" t="s">
        <v>1383</v>
      </c>
      <c r="G461" s="11"/>
      <c r="H461" s="11"/>
    </row>
    <row r="462" spans="1:8" ht="37.5" customHeight="1" x14ac:dyDescent="0.25">
      <c r="A462" s="51" t="str">
        <f t="shared" si="0"/>
        <v>RIACHÃO DO BACAMARTE/EEE ADAUTO CABRAL</v>
      </c>
      <c r="B462" s="2">
        <v>13205</v>
      </c>
      <c r="C462" s="52" t="s">
        <v>1384</v>
      </c>
      <c r="D462" s="11" t="s">
        <v>1385</v>
      </c>
      <c r="E462" s="11" t="s">
        <v>1386</v>
      </c>
      <c r="F462" s="11" t="s">
        <v>1387</v>
      </c>
      <c r="G462" s="11"/>
      <c r="H462" s="11"/>
    </row>
    <row r="463" spans="1:8" ht="37.5" customHeight="1" x14ac:dyDescent="0.25">
      <c r="A463" s="51" t="str">
        <f t="shared" si="0"/>
        <v>RIACHO DE SANTO ANTÔNIO/RIACHO DE SANTO ANTONIO - 13207.01 - Rua são João s/nº</v>
      </c>
      <c r="B463" s="2">
        <v>13207</v>
      </c>
      <c r="C463" s="52" t="s">
        <v>1388</v>
      </c>
      <c r="D463" s="11" t="s">
        <v>1389</v>
      </c>
      <c r="E463" s="11" t="s">
        <v>1390</v>
      </c>
      <c r="F463" s="11" t="s">
        <v>1391</v>
      </c>
      <c r="G463" s="11"/>
      <c r="H463" s="11"/>
    </row>
    <row r="464" spans="1:8" ht="37.5" customHeight="1" x14ac:dyDescent="0.25">
      <c r="A464" s="51" t="str">
        <f t="shared" si="0"/>
        <v>RIACHO DOS CAVALOS/CENTRO DE REFERENCIA DE ASSISTENCIA SOCIAL</v>
      </c>
      <c r="B464" s="2">
        <v>13129</v>
      </c>
      <c r="C464" s="52" t="s">
        <v>1392</v>
      </c>
      <c r="D464" s="11" t="s">
        <v>1393</v>
      </c>
      <c r="E464" s="11" t="s">
        <v>698</v>
      </c>
      <c r="F464" s="11" t="s">
        <v>1394</v>
      </c>
      <c r="G464" s="11"/>
      <c r="H464" s="11"/>
    </row>
    <row r="465" spans="1:8" ht="37.5" customHeight="1" x14ac:dyDescent="0.25">
      <c r="A465" s="51" t="str">
        <f t="shared" si="0"/>
        <v>RIO TINTO/EEEFM LUIZ GONZAGA BURITY</v>
      </c>
      <c r="B465" s="2">
        <v>13130</v>
      </c>
      <c r="C465" s="52" t="s">
        <v>1395</v>
      </c>
      <c r="D465" s="11" t="s">
        <v>1396</v>
      </c>
      <c r="E465" s="11" t="s">
        <v>1397</v>
      </c>
      <c r="F465" s="11" t="s">
        <v>1398</v>
      </c>
      <c r="G465" s="11"/>
      <c r="H465" s="11"/>
    </row>
    <row r="466" spans="1:8" ht="37.5" customHeight="1" x14ac:dyDescent="0.25">
      <c r="A466" s="51" t="str">
        <f t="shared" si="0"/>
        <v>RIO TINTO/ECIT LUIZ GONZAGA BURITY</v>
      </c>
      <c r="B466" s="2">
        <v>13130</v>
      </c>
      <c r="C466" s="52" t="s">
        <v>1395</v>
      </c>
      <c r="D466" s="11" t="s">
        <v>1396</v>
      </c>
      <c r="E466" s="11" t="s">
        <v>1399</v>
      </c>
      <c r="F466" s="11" t="s">
        <v>1400</v>
      </c>
      <c r="G466" s="11"/>
      <c r="H466" s="11"/>
    </row>
    <row r="467" spans="1:8" ht="37.5" customHeight="1" x14ac:dyDescent="0.25">
      <c r="A467" s="51" t="str">
        <f t="shared" si="0"/>
        <v>RIO TINTO/EMEFM ANTONIA LUNA LISBOA</v>
      </c>
      <c r="B467" s="2">
        <v>13130</v>
      </c>
      <c r="C467" s="52" t="s">
        <v>1395</v>
      </c>
      <c r="D467" s="11" t="s">
        <v>1396</v>
      </c>
      <c r="E467" s="11" t="s">
        <v>1401</v>
      </c>
      <c r="F467" s="11" t="s">
        <v>1402</v>
      </c>
      <c r="G467" s="11"/>
      <c r="H467" s="11"/>
    </row>
    <row r="468" spans="1:8" ht="37.5" customHeight="1" x14ac:dyDescent="0.25">
      <c r="A468" s="51" t="str">
        <f t="shared" si="0"/>
        <v>RIO TINTO/CENTRO DE CONVIVENCIA DO IDOSO</v>
      </c>
      <c r="B468" s="2">
        <v>13130</v>
      </c>
      <c r="C468" s="52" t="s">
        <v>1395</v>
      </c>
      <c r="D468" s="11" t="s">
        <v>1396</v>
      </c>
      <c r="E468" s="11" t="s">
        <v>1403</v>
      </c>
      <c r="F468" s="11" t="s">
        <v>1404</v>
      </c>
      <c r="G468" s="11"/>
      <c r="H468" s="11"/>
    </row>
    <row r="469" spans="1:8" ht="37.5" customHeight="1" x14ac:dyDescent="0.25">
      <c r="A469" s="51" t="str">
        <f t="shared" si="0"/>
        <v>RIO TINTO/ESCOLA CIDADA INTEGRAL TECNICA ESTADUAL PROFESSOR LUIZ GONZAGA BURITY</v>
      </c>
      <c r="B469" s="2">
        <v>13130</v>
      </c>
      <c r="C469" s="52" t="s">
        <v>1395</v>
      </c>
      <c r="D469" s="11" t="s">
        <v>1396</v>
      </c>
      <c r="E469" s="11" t="s">
        <v>1405</v>
      </c>
      <c r="F469" s="11" t="s">
        <v>1406</v>
      </c>
      <c r="G469" s="11"/>
      <c r="H469" s="11"/>
    </row>
    <row r="470" spans="1:8" ht="37.5" customHeight="1" x14ac:dyDescent="0.25">
      <c r="A470" s="51" t="str">
        <f t="shared" si="0"/>
        <v>SALGADINHO/SALGADINHO - 13131.01 - RUA JOSÉ MACIEL DE SOUZA, S/N</v>
      </c>
      <c r="B470" s="2">
        <v>13131</v>
      </c>
      <c r="C470" s="52" t="s">
        <v>1407</v>
      </c>
      <c r="D470" s="27" t="s">
        <v>1408</v>
      </c>
      <c r="E470" s="11" t="s">
        <v>1409</v>
      </c>
      <c r="F470" s="11" t="s">
        <v>1410</v>
      </c>
      <c r="G470" s="11"/>
      <c r="H470" s="11"/>
    </row>
    <row r="471" spans="1:8" ht="37.5" customHeight="1" x14ac:dyDescent="0.25">
      <c r="A471" s="51" t="str">
        <f t="shared" si="0"/>
        <v>SALGADO DE SÃO FELIX/E.M.E.I.E.F. FRANCISCA MARCELINA SALES</v>
      </c>
      <c r="B471" s="2">
        <v>13132</v>
      </c>
      <c r="C471" s="52" t="s">
        <v>1411</v>
      </c>
      <c r="D471" s="11" t="s">
        <v>1412</v>
      </c>
      <c r="E471" s="11" t="s">
        <v>1413</v>
      </c>
      <c r="F471" s="11" t="s">
        <v>1414</v>
      </c>
      <c r="G471" s="11"/>
      <c r="H471" s="11"/>
    </row>
    <row r="472" spans="1:8" ht="37.5" customHeight="1" x14ac:dyDescent="0.25">
      <c r="A472" s="51" t="str">
        <f t="shared" si="0"/>
        <v>SALGADO DE SÃO FELIX/SALGADO DE SAO FELIX - 13132.01 - Sítio Rodeador, Zona Rural s/n</v>
      </c>
      <c r="B472" s="2">
        <v>13132</v>
      </c>
      <c r="C472" s="52" t="s">
        <v>1411</v>
      </c>
      <c r="D472" s="11" t="s">
        <v>1412</v>
      </c>
      <c r="E472" s="11" t="s">
        <v>1415</v>
      </c>
      <c r="F472" s="11" t="s">
        <v>1416</v>
      </c>
      <c r="G472" s="11"/>
      <c r="H472" s="11"/>
    </row>
    <row r="473" spans="1:8" ht="37.5" customHeight="1" x14ac:dyDescent="0.25">
      <c r="A473" s="51" t="str">
        <f t="shared" si="0"/>
        <v>SANTA CRUZ/SANTA CRUZ - 13133.01 - Conjunto Maurício Gomes, s/n</v>
      </c>
      <c r="B473" s="2">
        <v>13133</v>
      </c>
      <c r="C473" s="52" t="s">
        <v>1417</v>
      </c>
      <c r="D473" s="11" t="s">
        <v>1418</v>
      </c>
      <c r="E473" s="11" t="s">
        <v>1419</v>
      </c>
      <c r="F473" s="11" t="s">
        <v>1420</v>
      </c>
      <c r="G473" s="11"/>
      <c r="H473" s="11"/>
    </row>
    <row r="474" spans="1:8" ht="37.5" customHeight="1" x14ac:dyDescent="0.25">
      <c r="A474" s="51" t="str">
        <f t="shared" si="0"/>
        <v>SANTA CRUZ/CENTRO DE REFERENCIA DE ASSISTENCIA SOCIAL</v>
      </c>
      <c r="B474" s="2">
        <v>13133</v>
      </c>
      <c r="C474" s="52" t="s">
        <v>1417</v>
      </c>
      <c r="D474" s="11" t="s">
        <v>1418</v>
      </c>
      <c r="E474" s="11" t="s">
        <v>698</v>
      </c>
      <c r="F474" s="11" t="s">
        <v>1421</v>
      </c>
      <c r="G474" s="11"/>
      <c r="H474" s="11"/>
    </row>
    <row r="475" spans="1:8" ht="37.5" customHeight="1" x14ac:dyDescent="0.25">
      <c r="A475" s="51" t="str">
        <f t="shared" si="0"/>
        <v>SANTA HELENA/SÍTIO MALHADA BONITA</v>
      </c>
      <c r="B475" s="2">
        <v>13134</v>
      </c>
      <c r="C475" s="52" t="s">
        <v>1422</v>
      </c>
      <c r="D475" s="11" t="s">
        <v>1423</v>
      </c>
      <c r="E475" s="11" t="s">
        <v>1424</v>
      </c>
      <c r="F475" s="11" t="s">
        <v>1425</v>
      </c>
      <c r="G475" s="11"/>
      <c r="H475" s="11"/>
    </row>
    <row r="476" spans="1:8" ht="37.5" customHeight="1" x14ac:dyDescent="0.25">
      <c r="A476" s="51" t="str">
        <f t="shared" si="0"/>
        <v>SANTA HELENA/SANTA HELENA - 13134.01 - AVENIDA VALENTIM GONCALVES DA SILVA, S/N, Distrito de Varzea da Ema</v>
      </c>
      <c r="B476" s="2">
        <v>13134</v>
      </c>
      <c r="C476" s="52" t="s">
        <v>1422</v>
      </c>
      <c r="D476" s="11" t="s">
        <v>1423</v>
      </c>
      <c r="E476" s="11" t="s">
        <v>1426</v>
      </c>
      <c r="F476" s="11" t="s">
        <v>1427</v>
      </c>
      <c r="G476" s="11"/>
      <c r="H476" s="11"/>
    </row>
    <row r="477" spans="1:8" ht="37.5" customHeight="1" x14ac:dyDescent="0.25">
      <c r="A477" s="51" t="str">
        <f t="shared" si="0"/>
        <v>SANTA HELENA/SANTA HELENA - 13134.02 - Rua Joana Ferreira de Sousa, S/N, Centro, Santa Helena</v>
      </c>
      <c r="B477" s="2">
        <v>13134</v>
      </c>
      <c r="C477" s="52" t="s">
        <v>1422</v>
      </c>
      <c r="D477" s="27" t="s">
        <v>1423</v>
      </c>
      <c r="E477" s="11" t="s">
        <v>1428</v>
      </c>
      <c r="F477" s="11" t="s">
        <v>1429</v>
      </c>
      <c r="G477" s="11"/>
      <c r="H477" s="11"/>
    </row>
    <row r="478" spans="1:8" ht="37.5" customHeight="1" x14ac:dyDescent="0.25">
      <c r="A478" s="51" t="str">
        <f t="shared" si="0"/>
        <v>SANTA HELENA/EMEFNNM PADRE JOSE DE ANCHIETA</v>
      </c>
      <c r="B478" s="2">
        <v>13134</v>
      </c>
      <c r="C478" s="52" t="s">
        <v>1422</v>
      </c>
      <c r="D478" s="27" t="s">
        <v>1423</v>
      </c>
      <c r="E478" s="11" t="s">
        <v>1430</v>
      </c>
      <c r="F478" s="11" t="s">
        <v>1431</v>
      </c>
      <c r="G478" s="11"/>
      <c r="H478" s="11"/>
    </row>
    <row r="479" spans="1:8" ht="37.5" customHeight="1" x14ac:dyDescent="0.25">
      <c r="A479" s="51" t="str">
        <f t="shared" si="0"/>
        <v>SANTA LUZIA/ECIT PE. JERONIMO LAUWEN</v>
      </c>
      <c r="B479" s="2">
        <v>13135</v>
      </c>
      <c r="C479" s="52" t="s">
        <v>1432</v>
      </c>
      <c r="D479" s="11" t="s">
        <v>1433</v>
      </c>
      <c r="E479" s="11" t="s">
        <v>1434</v>
      </c>
      <c r="F479" s="11" t="s">
        <v>1435</v>
      </c>
      <c r="G479" s="11"/>
      <c r="H479" s="11"/>
    </row>
    <row r="480" spans="1:8" ht="37.5" customHeight="1" x14ac:dyDescent="0.25">
      <c r="A480" s="51" t="str">
        <f t="shared" si="0"/>
        <v>SANTA LUZIA/ESCOLA MUNICIPAL TRINDADE VERNA</v>
      </c>
      <c r="B480" s="1">
        <v>13135</v>
      </c>
      <c r="C480" s="52" t="s">
        <v>1432</v>
      </c>
      <c r="D480" s="27" t="s">
        <v>1433</v>
      </c>
      <c r="E480" s="27" t="s">
        <v>1436</v>
      </c>
      <c r="F480" s="27" t="s">
        <v>1437</v>
      </c>
      <c r="G480" s="11"/>
      <c r="H480" s="11"/>
    </row>
    <row r="481" spans="1:8" ht="37.5" customHeight="1" x14ac:dyDescent="0.25">
      <c r="A481" s="51" t="str">
        <f t="shared" si="0"/>
        <v>SANTA LUZIA/ASSOCIAÇÃO COMUNITÁRIA DOS PRODUTORES RURAIS DE SACO DOS GOITIS (ASCPROSG).</v>
      </c>
      <c r="B481" s="2">
        <v>13135</v>
      </c>
      <c r="C481" s="52" t="s">
        <v>1432</v>
      </c>
      <c r="D481" s="11" t="s">
        <v>1433</v>
      </c>
      <c r="E481" s="11" t="s">
        <v>1438</v>
      </c>
      <c r="F481" s="11" t="s">
        <v>1439</v>
      </c>
      <c r="G481" s="11"/>
      <c r="H481" s="11"/>
    </row>
    <row r="482" spans="1:8" ht="37.5" customHeight="1" x14ac:dyDescent="0.25">
      <c r="A482" s="51" t="str">
        <f t="shared" si="0"/>
        <v>SANTA LUZIA/SANTA LUZIA - 13135.01 - Rua Quiezinho Fernandes S/N - Bairro Nossa Senhora de Fátima</v>
      </c>
      <c r="B482" s="2">
        <v>13135</v>
      </c>
      <c r="C482" s="52" t="s">
        <v>1432</v>
      </c>
      <c r="D482" s="11" t="s">
        <v>1433</v>
      </c>
      <c r="E482" s="11" t="s">
        <v>1440</v>
      </c>
      <c r="F482" s="11" t="s">
        <v>1441</v>
      </c>
      <c r="G482" s="11"/>
      <c r="H482" s="11"/>
    </row>
    <row r="483" spans="1:8" ht="37.5" customHeight="1" x14ac:dyDescent="0.25">
      <c r="A483" s="51" t="str">
        <f t="shared" si="0"/>
        <v>SANTA LUZIA/ECIT PADRE JERÔNIMO LAUWEN</v>
      </c>
      <c r="B483" s="2">
        <v>13135</v>
      </c>
      <c r="C483" s="52" t="s">
        <v>1432</v>
      </c>
      <c r="D483" s="11" t="s">
        <v>1433</v>
      </c>
      <c r="E483" s="11" t="s">
        <v>1442</v>
      </c>
      <c r="F483" s="11" t="s">
        <v>1443</v>
      </c>
      <c r="G483" s="11"/>
      <c r="H483" s="11"/>
    </row>
    <row r="484" spans="1:8" ht="37.5" customHeight="1" x14ac:dyDescent="0.25">
      <c r="A484" s="51" t="str">
        <f t="shared" si="0"/>
        <v>SANTA LUZIA/ESCOLA ANA BRITO DE FIGUEIREDO</v>
      </c>
      <c r="B484" s="2">
        <v>13135</v>
      </c>
      <c r="C484" s="52" t="s">
        <v>1432</v>
      </c>
      <c r="D484" s="11" t="s">
        <v>1433</v>
      </c>
      <c r="E484" s="11" t="s">
        <v>1444</v>
      </c>
      <c r="F484" s="11" t="s">
        <v>1445</v>
      </c>
      <c r="G484" s="11"/>
      <c r="H484" s="11"/>
    </row>
    <row r="485" spans="1:8" ht="37.5" customHeight="1" x14ac:dyDescent="0.25">
      <c r="A485" s="51" t="str">
        <f t="shared" si="0"/>
        <v>SANTA LUZIA/ASSOCIAÇÃO COMUNITÁRIA DOS PRODUTORES RURAIS DE SACO DOS GOITIS</v>
      </c>
      <c r="B485" s="2">
        <v>13135</v>
      </c>
      <c r="C485" s="52" t="s">
        <v>1432</v>
      </c>
      <c r="D485" s="27" t="s">
        <v>1433</v>
      </c>
      <c r="E485" s="11" t="s">
        <v>1446</v>
      </c>
      <c r="F485" s="11" t="s">
        <v>1447</v>
      </c>
      <c r="G485" s="11"/>
      <c r="H485" s="11"/>
    </row>
    <row r="486" spans="1:8" ht="37.5" customHeight="1" x14ac:dyDescent="0.25">
      <c r="A486" s="51" t="str">
        <f t="shared" si="0"/>
        <v>SANTA LUZIA/ESCOLA MUNICIPAL PEDRO ANISIO</v>
      </c>
      <c r="B486" s="2">
        <v>13135</v>
      </c>
      <c r="C486" s="52" t="s">
        <v>1432</v>
      </c>
      <c r="D486" s="27" t="s">
        <v>1433</v>
      </c>
      <c r="E486" s="11" t="s">
        <v>1448</v>
      </c>
      <c r="F486" s="11" t="s">
        <v>1449</v>
      </c>
      <c r="G486" s="11"/>
      <c r="H486" s="11"/>
    </row>
    <row r="487" spans="1:8" ht="37.5" customHeight="1" x14ac:dyDescent="0.25">
      <c r="A487" s="51" t="str">
        <f t="shared" si="0"/>
        <v>SANTA RITA/ECIT ENEAS DE CARVALHO</v>
      </c>
      <c r="B487" s="2">
        <v>13138</v>
      </c>
      <c r="C487" s="52" t="s">
        <v>1450</v>
      </c>
      <c r="D487" s="11" t="s">
        <v>1451</v>
      </c>
      <c r="E487" s="11" t="s">
        <v>1452</v>
      </c>
      <c r="F487" s="11" t="s">
        <v>1453</v>
      </c>
      <c r="G487" s="11"/>
      <c r="H487" s="11"/>
    </row>
    <row r="488" spans="1:8" ht="37.5" customHeight="1" x14ac:dyDescent="0.25">
      <c r="A488" s="51" t="str">
        <f t="shared" si="0"/>
        <v>SANTA RITA/ECIT PROF. LUIS DE AZEVEDO SOARES</v>
      </c>
      <c r="B488" s="2">
        <v>13138</v>
      </c>
      <c r="C488" s="52" t="s">
        <v>1450</v>
      </c>
      <c r="D488" s="11" t="s">
        <v>1451</v>
      </c>
      <c r="E488" s="11" t="s">
        <v>1454</v>
      </c>
      <c r="F488" s="11" t="s">
        <v>1455</v>
      </c>
      <c r="G488" s="11"/>
      <c r="H488" s="11"/>
    </row>
    <row r="489" spans="1:8" ht="37.5" customHeight="1" x14ac:dyDescent="0.25">
      <c r="A489" s="51" t="str">
        <f t="shared" si="0"/>
        <v>SANTA RITA/PENITENCIARIA PADRAO DE SANTA RITA</v>
      </c>
      <c r="B489" s="2">
        <v>13138</v>
      </c>
      <c r="C489" s="52" t="s">
        <v>1450</v>
      </c>
      <c r="D489" s="11" t="s">
        <v>1451</v>
      </c>
      <c r="E489" s="11" t="s">
        <v>1456</v>
      </c>
      <c r="F489" s="11" t="s">
        <v>1457</v>
      </c>
      <c r="G489" s="11"/>
      <c r="H489" s="11"/>
    </row>
    <row r="490" spans="1:8" ht="37.5" customHeight="1" x14ac:dyDescent="0.25">
      <c r="A490" s="51" t="str">
        <f t="shared" si="0"/>
        <v>SANTA RITA/ESCOLA TECNICA DE SANTA RITA</v>
      </c>
      <c r="B490" s="2">
        <v>13138</v>
      </c>
      <c r="C490" s="52" t="s">
        <v>1450</v>
      </c>
      <c r="D490" s="11" t="s">
        <v>1451</v>
      </c>
      <c r="E490" s="11" t="s">
        <v>1458</v>
      </c>
      <c r="F490" s="11" t="s">
        <v>1459</v>
      </c>
      <c r="G490" s="11"/>
      <c r="H490" s="11"/>
    </row>
    <row r="491" spans="1:8" ht="37.5" customHeight="1" x14ac:dyDescent="0.25">
      <c r="A491" s="51" t="str">
        <f t="shared" si="0"/>
        <v>SANTANA DE MANGAUEIRA/EEEFM PRESIDENTE KENNEDY</v>
      </c>
      <c r="B491" s="2">
        <v>13136</v>
      </c>
      <c r="C491" s="52" t="s">
        <v>1460</v>
      </c>
      <c r="D491" s="11" t="s">
        <v>1461</v>
      </c>
      <c r="E491" s="11" t="s">
        <v>1462</v>
      </c>
      <c r="F491" s="11" t="s">
        <v>1463</v>
      </c>
      <c r="G491" s="11"/>
      <c r="H491" s="11"/>
    </row>
    <row r="492" spans="1:8" ht="37.5" customHeight="1" x14ac:dyDescent="0.25">
      <c r="A492" s="51" t="str">
        <f t="shared" si="0"/>
        <v>SANTANA DOS GARROTES/EEEFM DR. FELIZARDO LEITE</v>
      </c>
      <c r="B492" s="2">
        <v>13137</v>
      </c>
      <c r="C492" s="52" t="s">
        <v>1464</v>
      </c>
      <c r="D492" s="11" t="s">
        <v>1465</v>
      </c>
      <c r="E492" s="11" t="s">
        <v>1466</v>
      </c>
      <c r="F492" s="11" t="s">
        <v>1467</v>
      </c>
      <c r="G492" s="11"/>
      <c r="H492" s="11"/>
    </row>
    <row r="493" spans="1:8" ht="37.5" customHeight="1" x14ac:dyDescent="0.25">
      <c r="A493" s="51" t="str">
        <f t="shared" si="0"/>
        <v>SANTANA DOS GARROTES/SANTANA DOS GARROTES - 13137.01 - Rua Manoel Batista</v>
      </c>
      <c r="B493" s="2">
        <v>13137</v>
      </c>
      <c r="C493" s="52" t="s">
        <v>1464</v>
      </c>
      <c r="D493" s="11" t="s">
        <v>1465</v>
      </c>
      <c r="E493" s="11" t="s">
        <v>1468</v>
      </c>
      <c r="F493" s="11" t="s">
        <v>1469</v>
      </c>
      <c r="G493" s="11"/>
      <c r="H493" s="11"/>
    </row>
    <row r="494" spans="1:8" ht="37.5" customHeight="1" x14ac:dyDescent="0.25">
      <c r="A494" s="51" t="str">
        <f t="shared" si="0"/>
        <v>SANTANA DOS GARROTES/SECRETARIA MUNICIPAL DE ASSISTENCIA SOCIAL</v>
      </c>
      <c r="B494" s="1">
        <v>13137</v>
      </c>
      <c r="C494" s="27" t="s">
        <v>1464</v>
      </c>
      <c r="D494" s="27" t="s">
        <v>1465</v>
      </c>
      <c r="E494" s="27" t="s">
        <v>1470</v>
      </c>
      <c r="F494" s="27" t="s">
        <v>1471</v>
      </c>
      <c r="G494" s="11"/>
      <c r="H494" s="11"/>
    </row>
    <row r="495" spans="1:8" ht="37.5" customHeight="1" x14ac:dyDescent="0.25">
      <c r="A495" s="51" t="str">
        <f t="shared" si="0"/>
        <v>SAO BENTINHO/SAO BENTINHO - 13212.01 - Rua Projetada, s/n Bairro</v>
      </c>
      <c r="B495" s="2">
        <v>13212</v>
      </c>
      <c r="C495" s="26" t="s">
        <v>1472</v>
      </c>
      <c r="D495" s="27" t="s">
        <v>1473</v>
      </c>
      <c r="E495" s="11" t="s">
        <v>1474</v>
      </c>
      <c r="F495" s="11" t="s">
        <v>1475</v>
      </c>
      <c r="G495" s="11"/>
      <c r="H495" s="11"/>
    </row>
    <row r="496" spans="1:8" ht="37.5" customHeight="1" x14ac:dyDescent="0.25">
      <c r="A496" s="51" t="str">
        <f t="shared" si="0"/>
        <v>SAO BENTINHO/CENTRO DE CONVIVENCIA E FORTALECIMENTO DE VINCULOS</v>
      </c>
      <c r="B496" s="2">
        <v>13212</v>
      </c>
      <c r="C496" s="26" t="s">
        <v>1472</v>
      </c>
      <c r="D496" s="27" t="s">
        <v>1473</v>
      </c>
      <c r="E496" s="11" t="s">
        <v>1476</v>
      </c>
      <c r="F496" s="11" t="s">
        <v>1477</v>
      </c>
      <c r="G496" s="11"/>
      <c r="H496" s="11"/>
    </row>
    <row r="497" spans="1:8" ht="37.5" customHeight="1" x14ac:dyDescent="0.25">
      <c r="A497" s="51" t="str">
        <f t="shared" si="0"/>
        <v>SAO BENTINHO/CENTRO DE REFERENCIA DE ASSISTENCIA SOCIAL CRAS</v>
      </c>
      <c r="B497" s="2">
        <v>13212</v>
      </c>
      <c r="C497" s="26" t="s">
        <v>1472</v>
      </c>
      <c r="D497" s="27" t="s">
        <v>1473</v>
      </c>
      <c r="E497" s="11" t="s">
        <v>1478</v>
      </c>
      <c r="F497" s="11" t="s">
        <v>1479</v>
      </c>
      <c r="G497" s="11"/>
      <c r="H497" s="11"/>
    </row>
    <row r="498" spans="1:8" ht="37.5" customHeight="1" x14ac:dyDescent="0.25">
      <c r="A498" s="51" t="str">
        <f t="shared" si="0"/>
        <v>SÃO BENTO/ECIT SÃO BENTO</v>
      </c>
      <c r="B498" s="2">
        <v>13140</v>
      </c>
      <c r="C498" s="52" t="s">
        <v>1480</v>
      </c>
      <c r="D498" s="27" t="s">
        <v>1481</v>
      </c>
      <c r="E498" s="11" t="s">
        <v>1482</v>
      </c>
      <c r="F498" s="11" t="s">
        <v>1483</v>
      </c>
      <c r="G498" s="11"/>
      <c r="H498" s="11"/>
    </row>
    <row r="499" spans="1:8" ht="37.5" customHeight="1" x14ac:dyDescent="0.25">
      <c r="A499" s="51" t="str">
        <f t="shared" si="0"/>
        <v>SÃO BENTO/SAO BENTO - 13140.01 - Rua Bernardino Soares, Número: 752, centro de São Bento.</v>
      </c>
      <c r="B499" s="2">
        <v>13140</v>
      </c>
      <c r="C499" s="52" t="s">
        <v>1480</v>
      </c>
      <c r="D499" s="27" t="s">
        <v>1481</v>
      </c>
      <c r="E499" s="11" t="s">
        <v>1484</v>
      </c>
      <c r="F499" s="11" t="s">
        <v>1485</v>
      </c>
      <c r="G499" s="11"/>
      <c r="H499" s="11"/>
    </row>
    <row r="500" spans="1:8" ht="37.5" customHeight="1" x14ac:dyDescent="0.25">
      <c r="A500" s="51" t="str">
        <f t="shared" si="0"/>
        <v>SÃO BENTO/EEEFM JOAO SILVEIRA GUIMARAES</v>
      </c>
      <c r="B500" s="2">
        <v>13140</v>
      </c>
      <c r="C500" s="52" t="s">
        <v>1480</v>
      </c>
      <c r="D500" s="27" t="s">
        <v>1481</v>
      </c>
      <c r="E500" s="11" t="s">
        <v>1486</v>
      </c>
      <c r="F500" s="11" t="s">
        <v>1487</v>
      </c>
      <c r="G500" s="11"/>
      <c r="H500" s="11"/>
    </row>
    <row r="501" spans="1:8" ht="37.5" customHeight="1" x14ac:dyDescent="0.25">
      <c r="A501" s="51" t="str">
        <f t="shared" si="0"/>
        <v>SÃO DOMINGOS/ECIT CÍCERO SEVERO LOPES</v>
      </c>
      <c r="B501" s="2">
        <v>13214</v>
      </c>
      <c r="C501" s="52" t="s">
        <v>1488</v>
      </c>
      <c r="D501" s="27" t="s">
        <v>1489</v>
      </c>
      <c r="E501" s="11" t="s">
        <v>1490</v>
      </c>
      <c r="F501" s="11" t="s">
        <v>1491</v>
      </c>
      <c r="G501" s="11"/>
      <c r="H501" s="11"/>
    </row>
    <row r="502" spans="1:8" ht="37.5" customHeight="1" x14ac:dyDescent="0.25">
      <c r="A502" s="51" t="str">
        <f t="shared" si="0"/>
        <v>SÃO DOMINGOS DO CARIRI/SAO DOMINGOS DO CARIRI - 13213.01 - Venida Augusto Fernandes de Oliveira, S/N, Centro.</v>
      </c>
      <c r="B502" s="2">
        <v>13213</v>
      </c>
      <c r="C502" s="52" t="s">
        <v>1492</v>
      </c>
      <c r="D502" s="27" t="s">
        <v>1493</v>
      </c>
      <c r="E502" s="11" t="s">
        <v>1494</v>
      </c>
      <c r="F502" s="11" t="s">
        <v>1495</v>
      </c>
      <c r="G502" s="11"/>
      <c r="H502" s="11"/>
    </row>
    <row r="503" spans="1:8" ht="37.5" customHeight="1" x14ac:dyDescent="0.25">
      <c r="A503" s="51" t="str">
        <f t="shared" si="0"/>
        <v>SÃO FRANCISCO/SAO FRANCISCO - 13215.01 - E.M.E.F. FRANCISCO SALES GADELHA DE OLIVEIRA</v>
      </c>
      <c r="B503" s="1">
        <v>13215</v>
      </c>
      <c r="C503" s="52" t="s">
        <v>1496</v>
      </c>
      <c r="D503" s="27" t="s">
        <v>1497</v>
      </c>
      <c r="E503" s="27" t="s">
        <v>1498</v>
      </c>
      <c r="F503" s="27" t="s">
        <v>1499</v>
      </c>
      <c r="G503" s="11"/>
      <c r="H503" s="11"/>
    </row>
    <row r="504" spans="1:8" ht="37.5" customHeight="1" x14ac:dyDescent="0.25">
      <c r="A504" s="51" t="str">
        <f t="shared" si="0"/>
        <v>SAO JOAO DO CARIRI/EEEFM JORNALISTA JOSÉ LEAL RAMOS</v>
      </c>
      <c r="B504" s="2">
        <v>13141</v>
      </c>
      <c r="C504" s="26" t="s">
        <v>1500</v>
      </c>
      <c r="D504" s="11" t="s">
        <v>1501</v>
      </c>
      <c r="E504" s="11" t="s">
        <v>1502</v>
      </c>
      <c r="F504" s="11" t="s">
        <v>1503</v>
      </c>
      <c r="G504" s="11"/>
      <c r="H504" s="11"/>
    </row>
    <row r="505" spans="1:8" ht="37.5" customHeight="1" x14ac:dyDescent="0.25">
      <c r="A505" s="51" t="str">
        <f t="shared" si="0"/>
        <v>SAO JOAO DO CARIRI/SAO JOAO DO CARIRI - 13141.01 - RUA 15 DE NOVEMBRO. CENTRO</v>
      </c>
      <c r="B505" s="2">
        <v>13141</v>
      </c>
      <c r="C505" s="26" t="s">
        <v>1500</v>
      </c>
      <c r="D505" s="27" t="s">
        <v>1501</v>
      </c>
      <c r="E505" s="11" t="s">
        <v>1504</v>
      </c>
      <c r="F505" s="11" t="s">
        <v>1505</v>
      </c>
      <c r="G505" s="11"/>
      <c r="H505" s="11"/>
    </row>
    <row r="506" spans="1:8" ht="37.5" customHeight="1" x14ac:dyDescent="0.25">
      <c r="A506" s="51" t="str">
        <f t="shared" si="0"/>
        <v>SAO JOAO DO CARIRI/ESCOLA MUNICIPAL DE ENSINO FUNDAMENTAL NOSSA SENHORA DOS MILAGRES</v>
      </c>
      <c r="B506" s="2">
        <v>13141</v>
      </c>
      <c r="C506" s="26" t="s">
        <v>1500</v>
      </c>
      <c r="D506" s="11" t="s">
        <v>1501</v>
      </c>
      <c r="E506" s="11" t="s">
        <v>1506</v>
      </c>
      <c r="F506" s="11" t="s">
        <v>1507</v>
      </c>
      <c r="G506" s="11"/>
      <c r="H506" s="11"/>
    </row>
    <row r="507" spans="1:8" ht="37.5" customHeight="1" x14ac:dyDescent="0.25">
      <c r="A507" s="51" t="str">
        <f t="shared" si="0"/>
        <v>SAO JOAO DO CARIRI/ECIT JORNALISTA JOSE LEAL RAMOS</v>
      </c>
      <c r="B507" s="2">
        <v>13141</v>
      </c>
      <c r="C507" s="26" t="s">
        <v>1500</v>
      </c>
      <c r="D507" s="11" t="s">
        <v>1501</v>
      </c>
      <c r="E507" s="11" t="s">
        <v>1508</v>
      </c>
      <c r="F507" s="11" t="s">
        <v>1509</v>
      </c>
      <c r="G507" s="11"/>
      <c r="H507" s="11"/>
    </row>
    <row r="508" spans="1:8" ht="37.5" customHeight="1" x14ac:dyDescent="0.25">
      <c r="A508" s="51" t="str">
        <f t="shared" si="0"/>
        <v>SAO JOAO DO CARIRI/ESCOLA NOSSA SENHORA DOS MILAGRES</v>
      </c>
      <c r="B508" s="2">
        <v>13141</v>
      </c>
      <c r="C508" s="26" t="s">
        <v>1500</v>
      </c>
      <c r="D508" s="27" t="s">
        <v>1501</v>
      </c>
      <c r="E508" s="11" t="s">
        <v>1510</v>
      </c>
      <c r="F508" s="11" t="s">
        <v>1511</v>
      </c>
      <c r="G508" s="11"/>
      <c r="H508" s="11"/>
    </row>
    <row r="509" spans="1:8" ht="37.5" customHeight="1" x14ac:dyDescent="0.25">
      <c r="A509" s="51" t="str">
        <f t="shared" si="0"/>
        <v>SÃO JOÃO DO RIO DO PEIXE/EMF BREJO DAS FREIRAS</v>
      </c>
      <c r="B509" s="2">
        <v>13007</v>
      </c>
      <c r="C509" s="52" t="s">
        <v>1512</v>
      </c>
      <c r="D509" s="27" t="s">
        <v>1513</v>
      </c>
      <c r="E509" s="11" t="s">
        <v>1514</v>
      </c>
      <c r="F509" s="11" t="s">
        <v>1515</v>
      </c>
      <c r="G509" s="11"/>
      <c r="H509" s="11"/>
    </row>
    <row r="510" spans="1:8" ht="37.5" customHeight="1" x14ac:dyDescent="0.25">
      <c r="A510" s="51" t="str">
        <f t="shared" si="0"/>
        <v>SÃO JOÃO DO RIO DO PEIXE/EEEIF FREI ANTONIO JOSÉ</v>
      </c>
      <c r="B510" s="2">
        <v>13007</v>
      </c>
      <c r="C510" s="52" t="s">
        <v>1512</v>
      </c>
      <c r="D510" s="11" t="s">
        <v>1513</v>
      </c>
      <c r="E510" s="11" t="s">
        <v>1516</v>
      </c>
      <c r="F510" s="11" t="s">
        <v>1517</v>
      </c>
      <c r="G510" s="11"/>
      <c r="H510" s="11"/>
    </row>
    <row r="511" spans="1:8" ht="37.5" customHeight="1" x14ac:dyDescent="0.25">
      <c r="A511" s="51" t="str">
        <f t="shared" si="0"/>
        <v>SÃO JOÃO DO RIO DO PEIXE/EEEIF AMÉLIA SOARES DE MORAIS</v>
      </c>
      <c r="B511" s="2">
        <v>13007</v>
      </c>
      <c r="C511" s="52" t="s">
        <v>1512</v>
      </c>
      <c r="D511" s="27" t="s">
        <v>1513</v>
      </c>
      <c r="E511" s="11" t="s">
        <v>1518</v>
      </c>
      <c r="F511" s="11" t="s">
        <v>1519</v>
      </c>
      <c r="G511" s="11"/>
      <c r="H511" s="11"/>
    </row>
    <row r="512" spans="1:8" ht="37.5" customHeight="1" x14ac:dyDescent="0.25">
      <c r="A512" s="51" t="str">
        <f t="shared" si="0"/>
        <v>SÃO JOÃO DO RIO DO PEIXE/ECIT CORONEL JACOB GUILHERME FRANTZ</v>
      </c>
      <c r="B512" s="2">
        <v>13007</v>
      </c>
      <c r="C512" s="52" t="s">
        <v>1512</v>
      </c>
      <c r="D512" s="11" t="s">
        <v>1513</v>
      </c>
      <c r="E512" s="11" t="s">
        <v>1520</v>
      </c>
      <c r="F512" s="11" t="s">
        <v>1521</v>
      </c>
      <c r="G512" s="11"/>
      <c r="H512" s="11"/>
    </row>
    <row r="513" spans="1:8" ht="37.5" customHeight="1" x14ac:dyDescent="0.25">
      <c r="A513" s="51" t="str">
        <f t="shared" si="0"/>
        <v>SÃO JOSÉ DA LAGOA TAPADA/SAO JOSE DA LAGOA TAPADA - 13143.01 - Escola Maria Marques Formiga</v>
      </c>
      <c r="B513" s="2">
        <v>13143</v>
      </c>
      <c r="C513" s="52" t="s">
        <v>1522</v>
      </c>
      <c r="D513" s="27" t="s">
        <v>1523</v>
      </c>
      <c r="E513" s="11" t="s">
        <v>1524</v>
      </c>
      <c r="F513" s="11" t="s">
        <v>1525</v>
      </c>
      <c r="G513" s="11"/>
      <c r="H513" s="11"/>
    </row>
    <row r="514" spans="1:8" ht="37.5" customHeight="1" x14ac:dyDescent="0.25">
      <c r="A514" s="51" t="str">
        <f t="shared" si="0"/>
        <v>SAO JOSE DE CAIANA/CRECHE MUNICIPAL</v>
      </c>
      <c r="B514" s="2">
        <v>13144</v>
      </c>
      <c r="C514" s="1" t="s">
        <v>1526</v>
      </c>
      <c r="D514" s="27" t="s">
        <v>1527</v>
      </c>
      <c r="E514" s="11" t="s">
        <v>1528</v>
      </c>
      <c r="F514" s="11" t="s">
        <v>1529</v>
      </c>
      <c r="G514" s="11"/>
      <c r="H514" s="11"/>
    </row>
    <row r="515" spans="1:8" ht="37.5" customHeight="1" x14ac:dyDescent="0.25">
      <c r="A515" s="51" t="str">
        <f t="shared" si="0"/>
        <v>SAO JOSE DE CAIANA/CRECHE MUNICIPAL</v>
      </c>
      <c r="B515" s="2">
        <v>13144</v>
      </c>
      <c r="C515" s="1" t="s">
        <v>1526</v>
      </c>
      <c r="D515" s="27" t="s">
        <v>1527</v>
      </c>
      <c r="E515" s="11" t="s">
        <v>1528</v>
      </c>
      <c r="F515" s="11" t="s">
        <v>1530</v>
      </c>
      <c r="G515" s="11"/>
      <c r="H515" s="11"/>
    </row>
    <row r="516" spans="1:8" ht="37.5" customHeight="1" x14ac:dyDescent="0.25">
      <c r="A516" s="51" t="str">
        <f t="shared" si="0"/>
        <v>SAO JOSE DE PIRANHAS/ECIT PREFEITO JOAQUIM LACERDA LEITE</v>
      </c>
      <c r="B516" s="2">
        <v>13146</v>
      </c>
      <c r="C516" s="1" t="s">
        <v>1531</v>
      </c>
      <c r="D516" s="27" t="s">
        <v>1532</v>
      </c>
      <c r="E516" s="11" t="s">
        <v>1533</v>
      </c>
      <c r="F516" s="11" t="s">
        <v>1534</v>
      </c>
      <c r="G516" s="11"/>
      <c r="H516" s="11"/>
    </row>
    <row r="517" spans="1:8" ht="37.5" customHeight="1" x14ac:dyDescent="0.25">
      <c r="A517" s="51" t="str">
        <f t="shared" si="0"/>
        <v>SAO JOSE DE PIRANHAS/ESCOLA CIDADA INTEGRAL TECNICA PREFEITO JOAQUIM LACERDA LEITE</v>
      </c>
      <c r="B517" s="2">
        <v>13146</v>
      </c>
      <c r="C517" s="1" t="s">
        <v>1531</v>
      </c>
      <c r="D517" s="11" t="s">
        <v>1532</v>
      </c>
      <c r="E517" s="11" t="s">
        <v>1535</v>
      </c>
      <c r="F517" s="11" t="s">
        <v>1536</v>
      </c>
      <c r="G517" s="11"/>
      <c r="H517" s="11"/>
    </row>
    <row r="518" spans="1:8" ht="37.5" customHeight="1" x14ac:dyDescent="0.25">
      <c r="A518" s="51" t="str">
        <f t="shared" si="0"/>
        <v>SÃO JOSÉ DO BREJO DO CRUZ/SAO JOSE DO BREJO DO CRUZ - 13218.01 - av Fundador Saraiva Leão, 174 Centro São Jose do Brejo do Cruz</v>
      </c>
      <c r="B518" s="2">
        <v>13218</v>
      </c>
      <c r="C518" s="52" t="s">
        <v>1537</v>
      </c>
      <c r="D518" s="11" t="s">
        <v>1538</v>
      </c>
      <c r="E518" s="11" t="s">
        <v>1539</v>
      </c>
      <c r="F518" s="11" t="s">
        <v>1540</v>
      </c>
      <c r="G518" s="11"/>
      <c r="H518" s="11"/>
    </row>
    <row r="519" spans="1:8" ht="37.5" customHeight="1" x14ac:dyDescent="0.25">
      <c r="A519" s="51" t="str">
        <f t="shared" si="0"/>
        <v>SÃO JOSÉ DOS CORDEIROS/EEEFM BARTOLOMEU MARACAJÁ</v>
      </c>
      <c r="B519" s="2">
        <v>13149</v>
      </c>
      <c r="C519" s="52" t="s">
        <v>1541</v>
      </c>
      <c r="D519" s="11" t="s">
        <v>1542</v>
      </c>
      <c r="E519" s="11" t="s">
        <v>1543</v>
      </c>
      <c r="F519" s="11" t="s">
        <v>1544</v>
      </c>
      <c r="G519" s="11"/>
      <c r="H519" s="11"/>
    </row>
    <row r="520" spans="1:8" ht="37.5" customHeight="1" x14ac:dyDescent="0.25">
      <c r="A520" s="51" t="str">
        <f t="shared" si="0"/>
        <v>SÃO JOSÉ DOS CORDEIROS/SAO JOSE DOS CORDEIROS - 13149.01 - r Antero Torreão, s\n Centro São José dos Cordeiros</v>
      </c>
      <c r="B520" s="2">
        <v>13149</v>
      </c>
      <c r="C520" s="52" t="s">
        <v>1541</v>
      </c>
      <c r="D520" s="11" t="s">
        <v>1542</v>
      </c>
      <c r="E520" s="11" t="s">
        <v>1545</v>
      </c>
      <c r="F520" s="11" t="s">
        <v>1546</v>
      </c>
      <c r="G520" s="11"/>
      <c r="H520" s="11"/>
    </row>
    <row r="521" spans="1:8" ht="37.5" customHeight="1" x14ac:dyDescent="0.25">
      <c r="A521" s="51" t="str">
        <f t="shared" si="0"/>
        <v>SÃO JOSÉ DOS RAMOS/ESCOLA E.F MARIA CAXIAS DE LIMA</v>
      </c>
      <c r="B521" s="2">
        <v>13216</v>
      </c>
      <c r="C521" s="52" t="s">
        <v>1547</v>
      </c>
      <c r="D521" s="11" t="s">
        <v>1548</v>
      </c>
      <c r="E521" s="11" t="s">
        <v>1549</v>
      </c>
      <c r="F521" s="11" t="s">
        <v>1550</v>
      </c>
      <c r="G521" s="11"/>
      <c r="H521" s="11"/>
    </row>
    <row r="522" spans="1:8" ht="37.5" customHeight="1" x14ac:dyDescent="0.25">
      <c r="A522" s="51" t="str">
        <f t="shared" si="0"/>
        <v>SÃO JOSÉ DOS RAMOS/SAO JOSE DOS RAMOS - 13216.01 - Escola Jocelyn Veloso Borges Av pio gonçalves chaves, sn, centro, são josé dos ramos - PB.</v>
      </c>
      <c r="B522" s="2">
        <v>13216</v>
      </c>
      <c r="C522" s="52" t="s">
        <v>1547</v>
      </c>
      <c r="D522" s="11" t="s">
        <v>1548</v>
      </c>
      <c r="E522" s="11" t="s">
        <v>1551</v>
      </c>
      <c r="F522" s="11" t="s">
        <v>1552</v>
      </c>
      <c r="G522" s="11"/>
      <c r="H522" s="11"/>
    </row>
    <row r="523" spans="1:8" ht="37.5" customHeight="1" x14ac:dyDescent="0.25">
      <c r="A523" s="51" t="str">
        <f t="shared" si="0"/>
        <v>SAO MAMEDE/ESCOLA ESTADUAL SERÁFICO NÓBREGA</v>
      </c>
      <c r="B523" s="2">
        <v>13150</v>
      </c>
      <c r="C523" s="1" t="s">
        <v>1553</v>
      </c>
      <c r="D523" s="11" t="s">
        <v>1554</v>
      </c>
      <c r="E523" s="11" t="s">
        <v>1555</v>
      </c>
      <c r="F523" s="11" t="s">
        <v>1556</v>
      </c>
      <c r="G523" s="11"/>
      <c r="H523" s="11"/>
    </row>
    <row r="524" spans="1:8" ht="37.5" customHeight="1" x14ac:dyDescent="0.25">
      <c r="A524" s="51" t="str">
        <f t="shared" si="0"/>
        <v>SAO MAMEDE/SAO MAMEDE - 13150.01 - Rua João Elizeu de Medeiros S/N.</v>
      </c>
      <c r="B524" s="2">
        <v>13150</v>
      </c>
      <c r="C524" s="1" t="s">
        <v>1553</v>
      </c>
      <c r="D524" s="11" t="s">
        <v>1554</v>
      </c>
      <c r="E524" s="27" t="s">
        <v>1557</v>
      </c>
      <c r="F524" s="11" t="s">
        <v>1558</v>
      </c>
      <c r="G524" s="11"/>
      <c r="H524" s="11"/>
    </row>
    <row r="525" spans="1:8" ht="37.5" customHeight="1" x14ac:dyDescent="0.25">
      <c r="A525" s="51" t="str">
        <f t="shared" si="0"/>
        <v>SAO MAMEDE/SECRETARIA DA EDUCACAO</v>
      </c>
      <c r="B525" s="2">
        <v>13150</v>
      </c>
      <c r="C525" s="1" t="s">
        <v>1553</v>
      </c>
      <c r="D525" s="11" t="s">
        <v>1554</v>
      </c>
      <c r="E525" s="11" t="s">
        <v>1559</v>
      </c>
      <c r="F525" s="11" t="s">
        <v>1560</v>
      </c>
      <c r="G525" s="11"/>
      <c r="H525" s="11"/>
    </row>
    <row r="526" spans="1:8" ht="37.5" customHeight="1" x14ac:dyDescent="0.25">
      <c r="A526" s="51" t="str">
        <f t="shared" si="0"/>
        <v>SÃO MIGUEL DE TAIPU/EEE MARIA LINS</v>
      </c>
      <c r="B526" s="2">
        <v>13151</v>
      </c>
      <c r="C526" s="52" t="s">
        <v>1561</v>
      </c>
      <c r="D526" s="11" t="s">
        <v>1562</v>
      </c>
      <c r="E526" s="11" t="s">
        <v>1563</v>
      </c>
      <c r="F526" s="11" t="s">
        <v>1564</v>
      </c>
      <c r="G526" s="11"/>
      <c r="H526" s="11"/>
    </row>
    <row r="527" spans="1:8" ht="37.5" customHeight="1" x14ac:dyDescent="0.25">
      <c r="A527" s="51" t="str">
        <f t="shared" si="0"/>
        <v>SÃO SEBASTIÃO DA LOGOA DE ROÇA/EMEIEF MONSENHOR JOSÉ BORGES DE CARVALHO</v>
      </c>
      <c r="B527" s="2">
        <v>13152</v>
      </c>
      <c r="C527" s="52" t="s">
        <v>1565</v>
      </c>
      <c r="D527" s="11" t="s">
        <v>1566</v>
      </c>
      <c r="E527" s="11" t="s">
        <v>1567</v>
      </c>
      <c r="F527" s="11" t="s">
        <v>1568</v>
      </c>
      <c r="G527" s="11"/>
      <c r="H527" s="11"/>
    </row>
    <row r="528" spans="1:8" ht="37.5" customHeight="1" x14ac:dyDescent="0.25">
      <c r="A528" s="51" t="str">
        <f t="shared" si="0"/>
        <v>SÃO SEBASTIÃO DA LOGOA DE ROÇA/SAO SEBASTIAO DE LAGOA DE ROCA - 13152.01 - r José Rodrigues coura, s\n São Sebastião de Lagoa de Roça</v>
      </c>
      <c r="B528" s="2">
        <v>13152</v>
      </c>
      <c r="C528" s="52" t="s">
        <v>1565</v>
      </c>
      <c r="D528" s="27" t="s">
        <v>1566</v>
      </c>
      <c r="E528" s="11" t="s">
        <v>1569</v>
      </c>
      <c r="F528" s="11" t="s">
        <v>1570</v>
      </c>
      <c r="G528" s="11"/>
      <c r="H528" s="11"/>
    </row>
    <row r="529" spans="1:8" ht="37.5" customHeight="1" x14ac:dyDescent="0.25">
      <c r="A529" s="51" t="str">
        <f t="shared" si="0"/>
        <v>SAO SEBASTIAO DO UMBUZEIRO/ESCOLA PEDRO PEDROSA AMADOR</v>
      </c>
      <c r="B529" s="2">
        <v>13153</v>
      </c>
      <c r="C529" s="1" t="s">
        <v>1571</v>
      </c>
      <c r="D529" s="27" t="s">
        <v>1572</v>
      </c>
      <c r="E529" s="11" t="s">
        <v>1573</v>
      </c>
      <c r="F529" s="11" t="s">
        <v>1574</v>
      </c>
      <c r="G529" s="11"/>
      <c r="H529" s="11"/>
    </row>
    <row r="530" spans="1:8" ht="37.5" customHeight="1" x14ac:dyDescent="0.25">
      <c r="A530" s="51" t="str">
        <f t="shared" si="0"/>
        <v>SAO VICENTE DO SERIDO/SINDICATO DOS TRABALHADORES RURAIS</v>
      </c>
      <c r="B530" s="1">
        <v>13155</v>
      </c>
      <c r="C530" s="27" t="s">
        <v>1575</v>
      </c>
      <c r="D530" s="27" t="s">
        <v>1576</v>
      </c>
      <c r="E530" s="27" t="s">
        <v>301</v>
      </c>
      <c r="F530" s="27" t="s">
        <v>1577</v>
      </c>
      <c r="G530" s="11"/>
      <c r="H530" s="11"/>
    </row>
    <row r="531" spans="1:8" ht="37.5" customHeight="1" x14ac:dyDescent="0.25">
      <c r="A531" s="51" t="str">
        <f t="shared" si="0"/>
        <v>SAPÉ/ECIT EMOAP</v>
      </c>
      <c r="B531" s="2">
        <v>13154</v>
      </c>
      <c r="C531" s="52" t="s">
        <v>1578</v>
      </c>
      <c r="D531" s="11" t="s">
        <v>1579</v>
      </c>
      <c r="E531" s="11" t="s">
        <v>1580</v>
      </c>
      <c r="F531" s="11" t="s">
        <v>1581</v>
      </c>
      <c r="G531" s="11"/>
      <c r="H531" s="11"/>
    </row>
    <row r="532" spans="1:8" ht="37.5" customHeight="1" x14ac:dyDescent="0.25">
      <c r="A532" s="51" t="str">
        <f t="shared" si="0"/>
        <v>SAPÉ/MEMORIAL LIGA CAMPONESA</v>
      </c>
      <c r="B532" s="2">
        <v>13154</v>
      </c>
      <c r="C532" s="52" t="s">
        <v>1578</v>
      </c>
      <c r="D532" s="11" t="s">
        <v>1579</v>
      </c>
      <c r="E532" s="11" t="s">
        <v>1582</v>
      </c>
      <c r="F532" s="11" t="s">
        <v>1583</v>
      </c>
      <c r="G532" s="11"/>
      <c r="H532" s="11"/>
    </row>
    <row r="533" spans="1:8" ht="37.5" customHeight="1" x14ac:dyDescent="0.25">
      <c r="A533" s="51" t="str">
        <f t="shared" si="0"/>
        <v>SAPÉ/SEDE ASSENTAMENTO SANTA HELENA</v>
      </c>
      <c r="B533" s="2">
        <v>13154</v>
      </c>
      <c r="C533" s="52" t="s">
        <v>1578</v>
      </c>
      <c r="D533" s="11" t="s">
        <v>1579</v>
      </c>
      <c r="E533" s="11" t="s">
        <v>1584</v>
      </c>
      <c r="F533" s="11" t="s">
        <v>1585</v>
      </c>
      <c r="G533" s="11"/>
      <c r="H533" s="11"/>
    </row>
    <row r="534" spans="1:8" ht="37.5" customHeight="1" x14ac:dyDescent="0.25">
      <c r="A534" s="51" t="str">
        <f t="shared" si="0"/>
        <v>SAPÉ/ECIT MONSENHOR ODILON ALVES PEDROSA</v>
      </c>
      <c r="B534" s="2">
        <v>13154</v>
      </c>
      <c r="C534" s="52" t="s">
        <v>1578</v>
      </c>
      <c r="D534" s="11" t="s">
        <v>1579</v>
      </c>
      <c r="E534" s="11" t="s">
        <v>1586</v>
      </c>
      <c r="F534" s="11" t="s">
        <v>1587</v>
      </c>
      <c r="G534" s="11"/>
      <c r="H534" s="11"/>
    </row>
    <row r="535" spans="1:8" ht="37.5" customHeight="1" x14ac:dyDescent="0.25">
      <c r="A535" s="51" t="str">
        <f t="shared" si="0"/>
        <v>SERRA BRANCA/ECIT SERRA BRANCA</v>
      </c>
      <c r="B535" s="2">
        <v>13156</v>
      </c>
      <c r="C535" s="52" t="s">
        <v>1588</v>
      </c>
      <c r="D535" s="11" t="s">
        <v>1589</v>
      </c>
      <c r="E535" s="11" t="s">
        <v>1590</v>
      </c>
      <c r="F535" s="11" t="s">
        <v>1591</v>
      </c>
      <c r="G535" s="11"/>
      <c r="H535" s="11"/>
    </row>
    <row r="536" spans="1:8" ht="37.5" customHeight="1" x14ac:dyDescent="0.25">
      <c r="A536" s="51" t="str">
        <f t="shared" si="0"/>
        <v>SERRA BRANCA/SERRA BRANCA - 13156.01 - r Raul da Costa Leão, s\n Centro</v>
      </c>
      <c r="B536" s="2">
        <v>13156</v>
      </c>
      <c r="C536" s="52" t="s">
        <v>1588</v>
      </c>
      <c r="D536" s="11" t="s">
        <v>1589</v>
      </c>
      <c r="E536" s="11" t="s">
        <v>1592</v>
      </c>
      <c r="F536" s="11" t="s">
        <v>1593</v>
      </c>
      <c r="G536" s="11"/>
      <c r="H536" s="11"/>
    </row>
    <row r="537" spans="1:8" ht="37.5" customHeight="1" x14ac:dyDescent="0.25">
      <c r="A537" s="51" t="str">
        <f t="shared" si="0"/>
        <v>SERRA BRANCA/ESCOLA MUNICIPAL DE ENSINO FUNDAMENTAL CONEGO JOÃO MARQUES PEREIRA</v>
      </c>
      <c r="B537" s="2">
        <v>13156</v>
      </c>
      <c r="C537" s="52" t="s">
        <v>1588</v>
      </c>
      <c r="D537" s="11" t="s">
        <v>1589</v>
      </c>
      <c r="E537" s="11" t="s">
        <v>1594</v>
      </c>
      <c r="F537" s="11" t="s">
        <v>1595</v>
      </c>
      <c r="G537" s="11"/>
      <c r="H537" s="11"/>
    </row>
    <row r="538" spans="1:8" ht="37.5" customHeight="1" x14ac:dyDescent="0.25">
      <c r="A538" s="51" t="str">
        <f t="shared" si="0"/>
        <v>SERRA BRANCA/EMEIEF CONEGO JOAO MARQUES PEREIRA</v>
      </c>
      <c r="B538" s="2">
        <v>13156</v>
      </c>
      <c r="C538" s="52" t="s">
        <v>1588</v>
      </c>
      <c r="D538" s="11" t="s">
        <v>1589</v>
      </c>
      <c r="E538" s="11" t="s">
        <v>1596</v>
      </c>
      <c r="F538" s="11" t="s">
        <v>1597</v>
      </c>
      <c r="G538" s="11"/>
      <c r="H538" s="11"/>
    </row>
    <row r="539" spans="1:8" ht="37.5" customHeight="1" x14ac:dyDescent="0.25">
      <c r="A539" s="51" t="str">
        <f t="shared" si="0"/>
        <v>SERRA BRANCA/E.M.E.I.E.F. CONEGO JOAO MARQUES PEREIRA</v>
      </c>
      <c r="B539" s="2">
        <v>13156</v>
      </c>
      <c r="C539" s="52" t="s">
        <v>1588</v>
      </c>
      <c r="D539" s="11" t="s">
        <v>1589</v>
      </c>
      <c r="E539" s="11" t="s">
        <v>1598</v>
      </c>
      <c r="F539" s="11" t="s">
        <v>1599</v>
      </c>
      <c r="G539" s="11"/>
      <c r="H539" s="11"/>
    </row>
    <row r="540" spans="1:8" ht="37.5" customHeight="1" x14ac:dyDescent="0.25">
      <c r="A540" s="51" t="str">
        <f t="shared" si="0"/>
        <v>SERRA REDONDA/GE SENADOR RUY CARNEIRO</v>
      </c>
      <c r="B540" s="2">
        <v>13159</v>
      </c>
      <c r="C540" s="52" t="s">
        <v>1600</v>
      </c>
      <c r="D540" s="11" t="s">
        <v>1601</v>
      </c>
      <c r="E540" s="11" t="s">
        <v>1602</v>
      </c>
      <c r="F540" s="11" t="s">
        <v>1603</v>
      </c>
      <c r="G540" s="11"/>
      <c r="H540" s="11"/>
    </row>
    <row r="541" spans="1:8" ht="37.5" customHeight="1" x14ac:dyDescent="0.25">
      <c r="A541" s="51" t="str">
        <f t="shared" si="0"/>
        <v>SERRARIA/SERRARIA - 13160.01 - av Duarte lima, 188 centro Serraria</v>
      </c>
      <c r="B541" s="2">
        <v>13160</v>
      </c>
      <c r="C541" s="52" t="s">
        <v>1604</v>
      </c>
      <c r="D541" s="27" t="s">
        <v>1605</v>
      </c>
      <c r="E541" s="11" t="s">
        <v>1606</v>
      </c>
      <c r="F541" s="11" t="s">
        <v>1607</v>
      </c>
      <c r="G541" s="11"/>
      <c r="H541" s="11"/>
    </row>
    <row r="542" spans="1:8" ht="37.5" customHeight="1" x14ac:dyDescent="0.25">
      <c r="A542" s="51" t="str">
        <f t="shared" si="0"/>
        <v>SERRARIA/SERRARIA - 13160.02 - Sitio cuite do araçá</v>
      </c>
      <c r="B542" s="2">
        <v>13160</v>
      </c>
      <c r="C542" s="52" t="s">
        <v>1604</v>
      </c>
      <c r="D542" s="27" t="s">
        <v>1605</v>
      </c>
      <c r="E542" s="11" t="s">
        <v>1608</v>
      </c>
      <c r="F542" s="11" t="s">
        <v>1609</v>
      </c>
      <c r="G542" s="11"/>
      <c r="H542" s="11"/>
    </row>
    <row r="543" spans="1:8" ht="37.5" customHeight="1" x14ac:dyDescent="0.25">
      <c r="A543" s="51" t="str">
        <f t="shared" si="0"/>
        <v>SERTÃOZINHO/EEEFM JOAO DE FREITAS MOUZINHO</v>
      </c>
      <c r="B543" s="2">
        <v>13219</v>
      </c>
      <c r="C543" s="52" t="s">
        <v>1610</v>
      </c>
      <c r="D543" s="27" t="s">
        <v>1611</v>
      </c>
      <c r="E543" s="11" t="s">
        <v>1612</v>
      </c>
      <c r="F543" s="11" t="s">
        <v>1613</v>
      </c>
      <c r="G543" s="11"/>
      <c r="H543" s="11"/>
    </row>
    <row r="544" spans="1:8" ht="37.5" customHeight="1" x14ac:dyDescent="0.25">
      <c r="A544" s="51" t="str">
        <f t="shared" si="0"/>
        <v>SOBRADO/SOBRADO - 13220.01 - Escola Municipal Joaquim Braz Pereira, centro</v>
      </c>
      <c r="B544" s="2">
        <v>13220</v>
      </c>
      <c r="C544" s="52" t="s">
        <v>1614</v>
      </c>
      <c r="D544" s="27" t="s">
        <v>1615</v>
      </c>
      <c r="E544" s="11" t="s">
        <v>1616</v>
      </c>
      <c r="F544" s="11" t="s">
        <v>1617</v>
      </c>
      <c r="G544" s="11"/>
      <c r="H544" s="11"/>
    </row>
    <row r="545" spans="1:8" ht="37.5" customHeight="1" x14ac:dyDescent="0.25">
      <c r="A545" s="51" t="str">
        <f t="shared" si="0"/>
        <v>SOBRADO/SOBRADO - 13220.02 - Sitio Caruçu na BR 230</v>
      </c>
      <c r="B545" s="2">
        <v>13220</v>
      </c>
      <c r="C545" s="52" t="s">
        <v>1614</v>
      </c>
      <c r="D545" s="27" t="s">
        <v>1615</v>
      </c>
      <c r="E545" s="11" t="s">
        <v>1618</v>
      </c>
      <c r="F545" s="11" t="s">
        <v>1619</v>
      </c>
      <c r="G545" s="11"/>
      <c r="H545" s="11"/>
    </row>
    <row r="546" spans="1:8" ht="37.5" customHeight="1" x14ac:dyDescent="0.25">
      <c r="A546" s="51" t="str">
        <f t="shared" si="0"/>
        <v>SOLANEA/ECIT ALFREDO PESSOA DE LIMA</v>
      </c>
      <c r="B546" s="2">
        <v>13161</v>
      </c>
      <c r="C546" s="26" t="s">
        <v>1620</v>
      </c>
      <c r="D546" s="27" t="s">
        <v>1621</v>
      </c>
      <c r="E546" s="11" t="s">
        <v>1622</v>
      </c>
      <c r="F546" s="11" t="s">
        <v>1623</v>
      </c>
      <c r="G546" s="11"/>
      <c r="H546" s="11"/>
    </row>
    <row r="547" spans="1:8" ht="37.5" customHeight="1" x14ac:dyDescent="0.25">
      <c r="A547" s="51" t="str">
        <f t="shared" si="0"/>
        <v>SOLANEA/E.M.E.F ERNESTINA PINTO</v>
      </c>
      <c r="B547" s="2">
        <v>13161</v>
      </c>
      <c r="C547" s="26" t="s">
        <v>1620</v>
      </c>
      <c r="D547" s="27" t="s">
        <v>1621</v>
      </c>
      <c r="E547" s="11" t="s">
        <v>1624</v>
      </c>
      <c r="F547" s="11" t="s">
        <v>1625</v>
      </c>
      <c r="G547" s="11"/>
      <c r="H547" s="11"/>
    </row>
    <row r="548" spans="1:8" ht="37.5" customHeight="1" x14ac:dyDescent="0.25">
      <c r="A548" s="51" t="str">
        <f t="shared" si="0"/>
        <v>SOLANEA/ESCOLA MUNICIPAL DE ENSINO FUNDAMENTAL ERNESTINA PINTO</v>
      </c>
      <c r="B548" s="2">
        <v>13161</v>
      </c>
      <c r="C548" s="26" t="s">
        <v>1620</v>
      </c>
      <c r="D548" s="27" t="s">
        <v>1621</v>
      </c>
      <c r="E548" s="11" t="s">
        <v>1626</v>
      </c>
      <c r="F548" s="11" t="s">
        <v>1627</v>
      </c>
      <c r="G548" s="11"/>
      <c r="H548" s="11"/>
    </row>
    <row r="549" spans="1:8" ht="37.5" customHeight="1" x14ac:dyDescent="0.25">
      <c r="A549" s="51" t="str">
        <f t="shared" si="0"/>
        <v>SOLEDADE/ECIT DR. TRAJANO NÓBREGA</v>
      </c>
      <c r="B549" s="2">
        <v>13162</v>
      </c>
      <c r="C549" s="52" t="s">
        <v>1628</v>
      </c>
      <c r="D549" s="27" t="s">
        <v>1629</v>
      </c>
      <c r="E549" s="11" t="s">
        <v>1630</v>
      </c>
      <c r="F549" s="11" t="s">
        <v>1631</v>
      </c>
      <c r="G549" s="11"/>
      <c r="H549" s="11"/>
    </row>
    <row r="550" spans="1:8" ht="37.5" customHeight="1" x14ac:dyDescent="0.25">
      <c r="A550" s="51" t="str">
        <f t="shared" si="0"/>
        <v>SOSSÊGO/EEEFM JOSÉ VITORINO DE MEDEIROS</v>
      </c>
      <c r="B550" s="2">
        <v>13221</v>
      </c>
      <c r="C550" s="52" t="s">
        <v>1632</v>
      </c>
      <c r="D550" s="27" t="s">
        <v>1633</v>
      </c>
      <c r="E550" s="11" t="s">
        <v>1634</v>
      </c>
      <c r="F550" s="11" t="s">
        <v>1635</v>
      </c>
      <c r="G550" s="11"/>
      <c r="H550" s="11"/>
    </row>
    <row r="551" spans="1:8" ht="37.5" customHeight="1" x14ac:dyDescent="0.25">
      <c r="A551" s="51" t="str">
        <f t="shared" si="0"/>
        <v>SOUSA/ECIT SOUSA</v>
      </c>
      <c r="B551" s="2">
        <v>13163</v>
      </c>
      <c r="C551" s="52" t="s">
        <v>1636</v>
      </c>
      <c r="D551" s="27" t="s">
        <v>1637</v>
      </c>
      <c r="E551" s="11" t="s">
        <v>1638</v>
      </c>
      <c r="F551" s="11" t="s">
        <v>1639</v>
      </c>
      <c r="G551" s="11"/>
      <c r="H551" s="11"/>
    </row>
    <row r="552" spans="1:8" ht="37.5" customHeight="1" x14ac:dyDescent="0.25">
      <c r="A552" s="51" t="str">
        <f t="shared" si="0"/>
        <v>SOUSA/ECIT SOUSA</v>
      </c>
      <c r="B552" s="2">
        <v>13163</v>
      </c>
      <c r="C552" s="52" t="s">
        <v>1636</v>
      </c>
      <c r="D552" s="27" t="s">
        <v>1637</v>
      </c>
      <c r="E552" s="11" t="s">
        <v>1638</v>
      </c>
      <c r="F552" s="11" t="s">
        <v>1640</v>
      </c>
      <c r="G552" s="11"/>
      <c r="H552" s="11"/>
    </row>
    <row r="553" spans="1:8" ht="37.5" customHeight="1" x14ac:dyDescent="0.25">
      <c r="A553" s="51" t="str">
        <f t="shared" si="0"/>
        <v>SOUSA/COLÔNIA DE PESCADORES - SÃO GONÇALO</v>
      </c>
      <c r="B553" s="2">
        <v>13163</v>
      </c>
      <c r="C553" s="52" t="s">
        <v>1636</v>
      </c>
      <c r="D553" s="27" t="s">
        <v>1637</v>
      </c>
      <c r="E553" s="11" t="s">
        <v>1641</v>
      </c>
      <c r="F553" s="11" t="s">
        <v>1642</v>
      </c>
      <c r="G553" s="11"/>
      <c r="H553" s="11"/>
    </row>
    <row r="554" spans="1:8" ht="37.5" customHeight="1" x14ac:dyDescent="0.25">
      <c r="A554" s="51" t="str">
        <f t="shared" si="0"/>
        <v>SOUSA/ENE JOSE DE PAIVA GADELHA</v>
      </c>
      <c r="B554" s="2">
        <v>13163</v>
      </c>
      <c r="C554" s="52" t="s">
        <v>1636</v>
      </c>
      <c r="D554" s="27" t="s">
        <v>1637</v>
      </c>
      <c r="E554" s="11" t="s">
        <v>1643</v>
      </c>
      <c r="F554" s="11" t="s">
        <v>1644</v>
      </c>
      <c r="G554" s="11"/>
      <c r="H554" s="11"/>
    </row>
    <row r="555" spans="1:8" ht="37.5" customHeight="1" x14ac:dyDescent="0.25">
      <c r="A555" s="51" t="str">
        <f t="shared" si="0"/>
        <v>SOUSA/ECIT CHIQUINHO CARTAXO</v>
      </c>
      <c r="B555" s="2">
        <v>13163</v>
      </c>
      <c r="C555" s="52" t="s">
        <v>1636</v>
      </c>
      <c r="D555" s="27" t="s">
        <v>1637</v>
      </c>
      <c r="E555" s="11" t="s">
        <v>1645</v>
      </c>
      <c r="F555" s="11" t="s">
        <v>1646</v>
      </c>
      <c r="G555" s="11"/>
      <c r="H555" s="11"/>
    </row>
    <row r="556" spans="1:8" ht="37.5" customHeight="1" x14ac:dyDescent="0.25">
      <c r="A556" s="51" t="str">
        <f t="shared" si="0"/>
        <v>SOUSA/EMEF CICERO INACIO DE OLIVEIRA</v>
      </c>
      <c r="B556" s="1">
        <v>13163</v>
      </c>
      <c r="C556" s="52" t="s">
        <v>1636</v>
      </c>
      <c r="D556" s="27" t="s">
        <v>1637</v>
      </c>
      <c r="E556" s="27" t="s">
        <v>1647</v>
      </c>
      <c r="F556" s="27" t="s">
        <v>1648</v>
      </c>
      <c r="G556" s="11"/>
      <c r="H556" s="11"/>
    </row>
    <row r="557" spans="1:8" ht="37.5" customHeight="1" x14ac:dyDescent="0.25">
      <c r="A557" s="51" t="str">
        <f t="shared" si="0"/>
        <v>SUME/EMEIF GONÇALA RODRIGUES DE FREITAS</v>
      </c>
      <c r="B557" s="1">
        <v>13164</v>
      </c>
      <c r="C557" s="1" t="s">
        <v>1649</v>
      </c>
      <c r="D557" s="27" t="s">
        <v>1650</v>
      </c>
      <c r="E557" s="27" t="s">
        <v>1651</v>
      </c>
      <c r="F557" s="27" t="s">
        <v>1652</v>
      </c>
      <c r="G557" s="11"/>
      <c r="H557" s="11"/>
    </row>
    <row r="558" spans="1:8" ht="37.5" customHeight="1" x14ac:dyDescent="0.25">
      <c r="A558" s="51" t="str">
        <f t="shared" si="0"/>
        <v>SUME/ECIT JOSÉ GONÇALVES DE QUEIROZ</v>
      </c>
      <c r="B558" s="2">
        <v>13164</v>
      </c>
      <c r="C558" s="1" t="s">
        <v>1649</v>
      </c>
      <c r="D558" s="27" t="s">
        <v>1650</v>
      </c>
      <c r="E558" s="11" t="s">
        <v>1653</v>
      </c>
      <c r="F558" s="11" t="s">
        <v>1654</v>
      </c>
      <c r="G558" s="11"/>
      <c r="H558" s="11"/>
    </row>
    <row r="559" spans="1:8" ht="37.5" customHeight="1" x14ac:dyDescent="0.25">
      <c r="A559" s="51" t="str">
        <f t="shared" si="0"/>
        <v>SUME/SUME - 13164.01 - r vicente preto, 289 alto alegre, sume</v>
      </c>
      <c r="B559" s="2">
        <v>13164</v>
      </c>
      <c r="C559" s="1" t="s">
        <v>1649</v>
      </c>
      <c r="D559" s="27" t="s">
        <v>1650</v>
      </c>
      <c r="E559" s="11" t="s">
        <v>1655</v>
      </c>
      <c r="F559" s="11" t="s">
        <v>1656</v>
      </c>
      <c r="G559" s="11"/>
      <c r="H559" s="11"/>
    </row>
    <row r="560" spans="1:8" ht="37.5" customHeight="1" x14ac:dyDescent="0.25">
      <c r="A560" s="51" t="str">
        <f t="shared" si="0"/>
        <v>SUME/UNIDADE ESCOLAR MARIA LEITE RAFAEL</v>
      </c>
      <c r="B560" s="2">
        <v>13164</v>
      </c>
      <c r="C560" s="1" t="s">
        <v>1649</v>
      </c>
      <c r="D560" s="27" t="s">
        <v>1650</v>
      </c>
      <c r="E560" s="11" t="s">
        <v>1657</v>
      </c>
      <c r="F560" s="11" t="s">
        <v>1658</v>
      </c>
      <c r="G560" s="11"/>
      <c r="H560" s="11"/>
    </row>
    <row r="561" spans="1:8" ht="37.5" customHeight="1" x14ac:dyDescent="0.25">
      <c r="A561" s="51" t="str">
        <f t="shared" si="0"/>
        <v>TACIMA/EEEFM DR TERCILIO TEIXEIRA DA CRUZ</v>
      </c>
      <c r="B561" s="2">
        <v>2516409</v>
      </c>
      <c r="C561" s="52" t="s">
        <v>1659</v>
      </c>
      <c r="D561" s="27" t="s">
        <v>1660</v>
      </c>
      <c r="E561" s="11" t="s">
        <v>1661</v>
      </c>
      <c r="F561" s="11" t="s">
        <v>1662</v>
      </c>
      <c r="G561" s="11"/>
      <c r="H561" s="11"/>
    </row>
    <row r="562" spans="1:8" ht="37.5" customHeight="1" x14ac:dyDescent="0.25">
      <c r="A562" s="51" t="str">
        <f t="shared" si="0"/>
        <v>TACIMA/EMEF TERLOPEDES CRUZ</v>
      </c>
      <c r="B562" s="2">
        <v>2516409</v>
      </c>
      <c r="C562" s="52" t="s">
        <v>1659</v>
      </c>
      <c r="D562" s="11" t="s">
        <v>1660</v>
      </c>
      <c r="E562" s="11" t="s">
        <v>1663</v>
      </c>
      <c r="F562" s="11" t="s">
        <v>1664</v>
      </c>
      <c r="G562" s="11"/>
      <c r="H562" s="11"/>
    </row>
    <row r="563" spans="1:8" ht="37.5" customHeight="1" x14ac:dyDescent="0.25">
      <c r="A563" s="51" t="str">
        <f t="shared" si="0"/>
        <v>TAPEROÁ/ECIT MELQUIADES VILAR</v>
      </c>
      <c r="B563" s="2">
        <v>13166</v>
      </c>
      <c r="C563" s="52" t="s">
        <v>1665</v>
      </c>
      <c r="D563" s="27" t="s">
        <v>1666</v>
      </c>
      <c r="E563" s="11" t="s">
        <v>1667</v>
      </c>
      <c r="F563" s="11" t="s">
        <v>1668</v>
      </c>
      <c r="G563" s="11"/>
      <c r="H563" s="11"/>
    </row>
    <row r="564" spans="1:8" ht="37.5" customHeight="1" x14ac:dyDescent="0.25">
      <c r="A564" s="51" t="str">
        <f t="shared" si="0"/>
        <v>TAPEROÁ/TAPEROA - 13166.01 - r Cel Pedro de Farias s/n Centro</v>
      </c>
      <c r="B564" s="2">
        <v>13166</v>
      </c>
      <c r="C564" s="52" t="s">
        <v>1665</v>
      </c>
      <c r="D564" s="27" t="s">
        <v>1666</v>
      </c>
      <c r="E564" s="11" t="s">
        <v>1669</v>
      </c>
      <c r="F564" s="11" t="s">
        <v>1670</v>
      </c>
      <c r="G564" s="11"/>
      <c r="H564" s="11"/>
    </row>
    <row r="565" spans="1:8" ht="37.5" customHeight="1" x14ac:dyDescent="0.25">
      <c r="A565" s="51" t="str">
        <f t="shared" si="0"/>
        <v>TAPEROÁ/TAPEROA - 13166.02 - Rua Efigênio Firmo de Queiroz, SN, São José, Taperoá-PB</v>
      </c>
      <c r="B565" s="2">
        <v>13166</v>
      </c>
      <c r="C565" s="52" t="s">
        <v>1665</v>
      </c>
      <c r="D565" s="27" t="s">
        <v>1666</v>
      </c>
      <c r="E565" s="11" t="s">
        <v>1671</v>
      </c>
      <c r="F565" s="11" t="s">
        <v>1672</v>
      </c>
      <c r="G565" s="11"/>
      <c r="H565" s="11"/>
    </row>
    <row r="566" spans="1:8" ht="37.5" customHeight="1" x14ac:dyDescent="0.25">
      <c r="A566" s="51" t="str">
        <f t="shared" si="0"/>
        <v>TAVARES/EEEFM ADRIANO FEITOSA</v>
      </c>
      <c r="B566" s="2">
        <v>13167</v>
      </c>
      <c r="C566" s="52" t="s">
        <v>1673</v>
      </c>
      <c r="D566" s="11" t="s">
        <v>1674</v>
      </c>
      <c r="E566" s="11" t="s">
        <v>1675</v>
      </c>
      <c r="F566" s="11" t="s">
        <v>1676</v>
      </c>
      <c r="G566" s="11"/>
      <c r="H566" s="11"/>
    </row>
    <row r="567" spans="1:8" ht="37.5" customHeight="1" x14ac:dyDescent="0.25">
      <c r="A567" s="51" t="str">
        <f t="shared" si="0"/>
        <v>TEIXEIRA/EEEFM SEBASTIÃO GUEDES DA SILVA</v>
      </c>
      <c r="B567" s="2">
        <v>13168</v>
      </c>
      <c r="C567" s="52" t="s">
        <v>1677</v>
      </c>
      <c r="D567" s="11" t="s">
        <v>1678</v>
      </c>
      <c r="E567" s="11" t="s">
        <v>1679</v>
      </c>
      <c r="F567" s="11" t="s">
        <v>1680</v>
      </c>
      <c r="G567" s="11"/>
      <c r="H567" s="11"/>
    </row>
    <row r="568" spans="1:8" ht="37.5" customHeight="1" x14ac:dyDescent="0.25">
      <c r="A568" s="51" t="str">
        <f t="shared" si="0"/>
        <v>TEIXEIRA/ECIT SEBASTIÃO GUEDES DA SILVA</v>
      </c>
      <c r="B568" s="2">
        <v>13168</v>
      </c>
      <c r="C568" s="52" t="s">
        <v>1677</v>
      </c>
      <c r="D568" s="11" t="s">
        <v>1678</v>
      </c>
      <c r="E568" s="11" t="s">
        <v>1681</v>
      </c>
      <c r="F568" s="11" t="s">
        <v>1682</v>
      </c>
      <c r="G568" s="11"/>
      <c r="H568" s="11"/>
    </row>
    <row r="569" spans="1:8" ht="37.5" customHeight="1" x14ac:dyDescent="0.25">
      <c r="A569" s="51" t="str">
        <f t="shared" si="0"/>
        <v>TENÓRIO/TENORIO - 13222.01 - Rua. Maria Constantina de Morais, 144. Centro. Tenório PB</v>
      </c>
      <c r="B569" s="2">
        <v>13222</v>
      </c>
      <c r="C569" s="52" t="s">
        <v>1683</v>
      </c>
      <c r="D569" s="27" t="s">
        <v>1684</v>
      </c>
      <c r="E569" s="11" t="s">
        <v>1685</v>
      </c>
      <c r="F569" s="11" t="s">
        <v>1686</v>
      </c>
      <c r="G569" s="11"/>
      <c r="H569" s="11"/>
    </row>
    <row r="570" spans="1:8" ht="37.5" customHeight="1" x14ac:dyDescent="0.25">
      <c r="A570" s="51" t="str">
        <f t="shared" si="0"/>
        <v>UIRAUNA/ECIT DR. JOSÉ DUARTE FILHO</v>
      </c>
      <c r="B570" s="2">
        <v>13170</v>
      </c>
      <c r="C570" s="1" t="s">
        <v>64</v>
      </c>
      <c r="D570" s="27" t="s">
        <v>1687</v>
      </c>
      <c r="E570" s="11" t="s">
        <v>1688</v>
      </c>
      <c r="F570" s="11" t="s">
        <v>1689</v>
      </c>
      <c r="G570" s="11"/>
      <c r="H570" s="11"/>
    </row>
    <row r="571" spans="1:8" ht="37.5" customHeight="1" x14ac:dyDescent="0.25">
      <c r="A571" s="51" t="str">
        <f t="shared" si="0"/>
        <v>UIRAUNA/ECIT DOUTOR JOSE DUARTE FILHO</v>
      </c>
      <c r="B571" s="2">
        <v>13170</v>
      </c>
      <c r="C571" s="1" t="s">
        <v>64</v>
      </c>
      <c r="D571" s="27" t="s">
        <v>1687</v>
      </c>
      <c r="E571" s="11" t="s">
        <v>1690</v>
      </c>
      <c r="F571" s="11" t="s">
        <v>1691</v>
      </c>
      <c r="G571" s="11"/>
      <c r="H571" s="11"/>
    </row>
    <row r="572" spans="1:8" ht="37.5" customHeight="1" x14ac:dyDescent="0.25">
      <c r="A572" s="51" t="str">
        <f t="shared" si="0"/>
        <v>UIRAUNA/ECIT DR. JOSE DUARTE FILHO</v>
      </c>
      <c r="B572" s="2">
        <v>13170</v>
      </c>
      <c r="C572" s="1" t="s">
        <v>64</v>
      </c>
      <c r="D572" s="11" t="s">
        <v>1687</v>
      </c>
      <c r="E572" s="11" t="s">
        <v>65</v>
      </c>
      <c r="F572" s="11" t="s">
        <v>1692</v>
      </c>
      <c r="G572" s="11"/>
      <c r="H572" s="11"/>
    </row>
    <row r="573" spans="1:8" ht="37.5" customHeight="1" x14ac:dyDescent="0.25">
      <c r="A573" s="51" t="str">
        <f t="shared" si="0"/>
        <v>UMBUZEIRO/UMBUZEIRO - 13171.01 - Escola Coronel Antonio Pessoa, Praça Cel Antonio Pessoa</v>
      </c>
      <c r="B573" s="2">
        <v>13171</v>
      </c>
      <c r="C573" s="52" t="s">
        <v>1693</v>
      </c>
      <c r="D573" s="11" t="s">
        <v>1694</v>
      </c>
      <c r="E573" s="11" t="s">
        <v>1695</v>
      </c>
      <c r="F573" s="11" t="s">
        <v>1696</v>
      </c>
      <c r="G573" s="11"/>
      <c r="H573" s="11"/>
    </row>
    <row r="574" spans="1:8" ht="37.5" customHeight="1" x14ac:dyDescent="0.25">
      <c r="A574" s="51" t="str">
        <f t="shared" si="0"/>
        <v>UMBUZEIRO/ECIT PRESIDENTE JOÃO PESSOA</v>
      </c>
      <c r="B574" s="2">
        <v>13171</v>
      </c>
      <c r="C574" s="52" t="s">
        <v>1693</v>
      </c>
      <c r="D574" s="27" t="s">
        <v>1694</v>
      </c>
      <c r="E574" s="11" t="s">
        <v>1697</v>
      </c>
      <c r="F574" s="11" t="s">
        <v>1698</v>
      </c>
      <c r="G574" s="11"/>
      <c r="H574" s="11"/>
    </row>
    <row r="575" spans="1:8" ht="37.5" customHeight="1" x14ac:dyDescent="0.25">
      <c r="A575" s="51" t="str">
        <f t="shared" si="0"/>
        <v>UMBUZEIRO/CENTRO DE INCLUSAO</v>
      </c>
      <c r="B575" s="2">
        <v>13171</v>
      </c>
      <c r="C575" s="52" t="s">
        <v>1693</v>
      </c>
      <c r="D575" s="11" t="s">
        <v>1694</v>
      </c>
      <c r="E575" s="11" t="s">
        <v>1699</v>
      </c>
      <c r="F575" s="11" t="s">
        <v>1700</v>
      </c>
      <c r="G575" s="11"/>
      <c r="H575" s="11"/>
    </row>
    <row r="576" spans="1:8" ht="37.5" customHeight="1" x14ac:dyDescent="0.25">
      <c r="A576" s="51" t="str">
        <f t="shared" si="0"/>
        <v>UMBUZEIRO/ESCOLA CORONEL ANTONIO PESSOA</v>
      </c>
      <c r="B576" s="2">
        <v>13171</v>
      </c>
      <c r="C576" s="52" t="s">
        <v>1693</v>
      </c>
      <c r="D576" s="27" t="s">
        <v>1694</v>
      </c>
      <c r="E576" s="11" t="s">
        <v>1701</v>
      </c>
      <c r="F576" s="11" t="s">
        <v>1702</v>
      </c>
      <c r="G576" s="11"/>
      <c r="H576" s="11"/>
    </row>
    <row r="577" spans="1:8" ht="37.5" customHeight="1" x14ac:dyDescent="0.25">
      <c r="A577" s="51" t="str">
        <f t="shared" si="0"/>
        <v>VÁRZEA/VARZEA - 13172.01 - r Manoel Dantas de Medeiros, 190 Centro Várzea</v>
      </c>
      <c r="B577" s="2">
        <v>13172</v>
      </c>
      <c r="C577" s="52" t="s">
        <v>1703</v>
      </c>
      <c r="D577" s="27" t="s">
        <v>1704</v>
      </c>
      <c r="E577" s="27" t="s">
        <v>1705</v>
      </c>
      <c r="F577" s="27" t="s">
        <v>1706</v>
      </c>
      <c r="G577" s="11"/>
      <c r="H577" s="11"/>
    </row>
    <row r="578" spans="1:8" ht="37.5" customHeight="1" x14ac:dyDescent="0.25">
      <c r="A578" s="51" t="str">
        <f t="shared" si="0"/>
        <v>VISTA SERRANA/VISTA SERRANA - 13056.01 - Sitio Mendes, Zona Rural</v>
      </c>
      <c r="B578" s="2">
        <v>13056</v>
      </c>
      <c r="C578" s="52" t="s">
        <v>1707</v>
      </c>
      <c r="D578" s="27" t="s">
        <v>1708</v>
      </c>
      <c r="E578" s="27" t="s">
        <v>1709</v>
      </c>
      <c r="F578" s="27" t="s">
        <v>1710</v>
      </c>
      <c r="G578" s="11"/>
      <c r="H578" s="11"/>
    </row>
    <row r="579" spans="1:8" ht="37.5" customHeight="1" x14ac:dyDescent="0.25">
      <c r="A579" s="51" t="str">
        <f t="shared" si="0"/>
        <v>VISTA SERRANA/ESCOLA MUNICIPAL DO ENSINO FUNDAMENTAL JOSE GIL XAVIER DE FARIAS</v>
      </c>
      <c r="B579" s="2">
        <v>13056</v>
      </c>
      <c r="C579" s="52" t="s">
        <v>1707</v>
      </c>
      <c r="D579" s="27" t="s">
        <v>1708</v>
      </c>
      <c r="E579" s="27" t="s">
        <v>1711</v>
      </c>
      <c r="F579" s="27" t="s">
        <v>1712</v>
      </c>
      <c r="G579" s="11"/>
      <c r="H579" s="11"/>
    </row>
    <row r="580" spans="1:8" ht="37.5" customHeight="1" x14ac:dyDescent="0.25">
      <c r="A580" s="51" t="str">
        <f t="shared" si="0"/>
        <v>ZABELE/EMEIF MARIA BEZERRA DA SILVA</v>
      </c>
      <c r="B580" s="2">
        <v>13224</v>
      </c>
      <c r="C580" s="1" t="s">
        <v>1713</v>
      </c>
      <c r="D580" s="27" t="s">
        <v>1714</v>
      </c>
      <c r="E580" s="27" t="s">
        <v>1715</v>
      </c>
      <c r="F580" s="27" t="s">
        <v>1716</v>
      </c>
      <c r="G580" s="11"/>
      <c r="H580" s="11"/>
    </row>
    <row r="581" spans="1:8" ht="37.5" customHeight="1" x14ac:dyDescent="0.25">
      <c r="A581" s="51" t="str">
        <f t="shared" si="0"/>
        <v>ZABELE/CENTRO DE CONVIVENCIA</v>
      </c>
      <c r="B581" s="2">
        <v>13224</v>
      </c>
      <c r="C581" s="1" t="s">
        <v>1713</v>
      </c>
      <c r="D581" s="27" t="s">
        <v>1714</v>
      </c>
      <c r="E581" s="27" t="s">
        <v>1717</v>
      </c>
      <c r="F581" s="27" t="s">
        <v>1718</v>
      </c>
      <c r="G581" s="11"/>
      <c r="H581" s="11"/>
    </row>
    <row r="582" spans="1:8" ht="37.5" customHeight="1" x14ac:dyDescent="0.25">
      <c r="A582" s="51" t="str">
        <f t="shared" si="0"/>
        <v>SOUSA/EMEIF CICERO INACIO DE OLIVEIRA</v>
      </c>
      <c r="B582" s="1">
        <v>13163</v>
      </c>
      <c r="C582" s="27" t="s">
        <v>1636</v>
      </c>
      <c r="D582" s="27" t="s">
        <v>1637</v>
      </c>
      <c r="E582" s="27" t="s">
        <v>1719</v>
      </c>
      <c r="F582" s="27" t="s">
        <v>1720</v>
      </c>
      <c r="G582" s="11"/>
      <c r="H582" s="11"/>
    </row>
    <row r="583" spans="1:8" ht="37.5" customHeight="1" x14ac:dyDescent="0.25">
      <c r="A583" s="51" t="str">
        <f t="shared" si="0"/>
        <v>/</v>
      </c>
      <c r="B583" s="2"/>
      <c r="C583" s="11"/>
      <c r="D583" s="27"/>
      <c r="E583" s="27"/>
      <c r="F583" s="27"/>
      <c r="G583" s="11"/>
      <c r="H583" s="11"/>
    </row>
    <row r="584" spans="1:8" ht="37.5" customHeight="1" x14ac:dyDescent="0.25">
      <c r="A584" s="51" t="str">
        <f t="shared" si="0"/>
        <v>/</v>
      </c>
      <c r="B584" s="2"/>
      <c r="C584" s="11"/>
      <c r="D584" s="27"/>
      <c r="E584" s="27"/>
      <c r="F584" s="27"/>
      <c r="G584" s="11"/>
      <c r="H584" s="11"/>
    </row>
    <row r="585" spans="1:8" ht="37.5" customHeight="1" x14ac:dyDescent="0.25">
      <c r="A585" s="51" t="str">
        <f t="shared" si="0"/>
        <v>/</v>
      </c>
      <c r="B585" s="2"/>
      <c r="C585" s="11"/>
      <c r="D585" s="27"/>
      <c r="E585" s="27"/>
      <c r="F585" s="27"/>
      <c r="G585" s="11"/>
      <c r="H585" s="11"/>
    </row>
    <row r="586" spans="1:8" ht="37.5" customHeight="1" x14ac:dyDescent="0.25">
      <c r="A586" s="51" t="str">
        <f t="shared" si="0"/>
        <v>/</v>
      </c>
      <c r="B586" s="2"/>
      <c r="C586" s="11"/>
      <c r="D586" s="27"/>
      <c r="E586" s="27"/>
      <c r="F586" s="27"/>
      <c r="G586" s="11"/>
      <c r="H586" s="11"/>
    </row>
    <row r="587" spans="1:8" ht="37.5" customHeight="1" x14ac:dyDescent="0.25">
      <c r="A587" s="51" t="str">
        <f t="shared" si="0"/>
        <v>/</v>
      </c>
      <c r="B587" s="2"/>
      <c r="C587" s="11"/>
      <c r="D587" s="27"/>
      <c r="E587" s="27"/>
      <c r="F587" s="27"/>
      <c r="G587" s="11"/>
      <c r="H587" s="11"/>
    </row>
    <row r="588" spans="1:8" ht="37.5" customHeight="1" x14ac:dyDescent="0.25">
      <c r="A588" s="51" t="str">
        <f t="shared" si="0"/>
        <v>/</v>
      </c>
      <c r="B588" s="2"/>
      <c r="C588" s="11"/>
      <c r="D588" s="27"/>
      <c r="E588" s="27"/>
      <c r="F588" s="27"/>
      <c r="G588" s="11"/>
      <c r="H588" s="11"/>
    </row>
    <row r="589" spans="1:8" ht="37.5" customHeight="1" x14ac:dyDescent="0.25">
      <c r="A589" s="51" t="str">
        <f t="shared" si="0"/>
        <v>/</v>
      </c>
      <c r="B589" s="2"/>
      <c r="C589" s="11"/>
      <c r="D589" s="27"/>
      <c r="E589" s="27"/>
      <c r="F589" s="27"/>
      <c r="G589" s="11"/>
      <c r="H589" s="11"/>
    </row>
    <row r="590" spans="1:8" ht="37.5" customHeight="1" x14ac:dyDescent="0.25">
      <c r="A590" s="51" t="str">
        <f t="shared" si="0"/>
        <v>/</v>
      </c>
      <c r="B590" s="2"/>
      <c r="C590" s="11"/>
      <c r="D590" s="11"/>
      <c r="E590" s="11"/>
      <c r="F590" s="11"/>
      <c r="G590" s="11"/>
      <c r="H590" s="11"/>
    </row>
    <row r="591" spans="1:8" ht="37.5" customHeight="1" x14ac:dyDescent="0.25">
      <c r="A591" s="51" t="str">
        <f t="shared" si="0"/>
        <v>/</v>
      </c>
      <c r="B591" s="2"/>
      <c r="C591" s="11"/>
      <c r="D591" s="11"/>
      <c r="E591" s="11"/>
      <c r="F591" s="11"/>
      <c r="G591" s="11"/>
      <c r="H591" s="11"/>
    </row>
    <row r="592" spans="1:8" ht="37.5" customHeight="1" x14ac:dyDescent="0.25">
      <c r="A592" s="51" t="str">
        <f t="shared" si="0"/>
        <v>/</v>
      </c>
      <c r="B592" s="2"/>
      <c r="C592" s="11"/>
      <c r="D592" s="11"/>
      <c r="E592" s="11"/>
      <c r="F592" s="11"/>
      <c r="G592" s="11"/>
      <c r="H592" s="11"/>
    </row>
    <row r="593" spans="1:8" ht="37.5" customHeight="1" x14ac:dyDescent="0.25">
      <c r="A593" s="51" t="str">
        <f t="shared" si="0"/>
        <v>/</v>
      </c>
      <c r="B593" s="2"/>
      <c r="C593" s="11"/>
      <c r="D593" s="11"/>
      <c r="E593" s="11"/>
      <c r="F593" s="11"/>
      <c r="G593" s="11"/>
      <c r="H593" s="11"/>
    </row>
    <row r="594" spans="1:8" ht="37.5" customHeight="1" x14ac:dyDescent="0.25">
      <c r="A594" s="51" t="str">
        <f t="shared" si="0"/>
        <v>/</v>
      </c>
      <c r="B594" s="2"/>
      <c r="C594" s="11"/>
      <c r="D594" s="11"/>
      <c r="E594" s="11"/>
      <c r="F594" s="11"/>
      <c r="G594" s="11"/>
      <c r="H594" s="11"/>
    </row>
    <row r="595" spans="1:8" ht="37.5" customHeight="1" x14ac:dyDescent="0.25">
      <c r="A595" s="51" t="str">
        <f t="shared" si="0"/>
        <v>/</v>
      </c>
      <c r="B595" s="2"/>
      <c r="C595" s="11"/>
      <c r="D595" s="11"/>
      <c r="E595" s="11"/>
      <c r="F595" s="11"/>
      <c r="G595" s="11"/>
      <c r="H595" s="11"/>
    </row>
    <row r="596" spans="1:8" ht="37.5" customHeight="1" x14ac:dyDescent="0.25">
      <c r="A596" s="51" t="str">
        <f t="shared" si="0"/>
        <v>/</v>
      </c>
      <c r="B596" s="2"/>
      <c r="C596" s="11"/>
      <c r="D596" s="11"/>
      <c r="E596" s="11"/>
      <c r="F596" s="11"/>
      <c r="G596" s="11"/>
      <c r="H596" s="11"/>
    </row>
    <row r="597" spans="1:8" ht="37.5" customHeight="1" x14ac:dyDescent="0.25">
      <c r="A597" s="51" t="str">
        <f t="shared" si="0"/>
        <v>/</v>
      </c>
      <c r="B597" s="2"/>
      <c r="C597" s="11"/>
      <c r="D597" s="11"/>
      <c r="E597" s="11"/>
      <c r="F597" s="11"/>
      <c r="G597" s="11"/>
      <c r="H597" s="11"/>
    </row>
    <row r="598" spans="1:8" ht="37.5" customHeight="1" x14ac:dyDescent="0.25">
      <c r="A598" s="51" t="str">
        <f t="shared" si="0"/>
        <v>/</v>
      </c>
      <c r="B598" s="2"/>
      <c r="C598" s="11"/>
      <c r="D598" s="11"/>
      <c r="E598" s="11"/>
      <c r="F598" s="11"/>
      <c r="G598" s="11"/>
      <c r="H598" s="11"/>
    </row>
    <row r="599" spans="1:8" ht="37.5" customHeight="1" x14ac:dyDescent="0.25">
      <c r="A599" s="51" t="str">
        <f t="shared" si="0"/>
        <v>/</v>
      </c>
      <c r="B599" s="2"/>
      <c r="C599" s="11"/>
      <c r="D599" s="11"/>
      <c r="E599" s="11"/>
      <c r="F599" s="11"/>
      <c r="G599" s="11"/>
      <c r="H599" s="11"/>
    </row>
    <row r="600" spans="1:8" ht="37.5" customHeight="1" x14ac:dyDescent="0.25">
      <c r="A600" s="51" t="str">
        <f t="shared" si="0"/>
        <v>/</v>
      </c>
      <c r="B600" s="2"/>
      <c r="C600" s="11"/>
      <c r="D600" s="11"/>
      <c r="E600" s="11"/>
      <c r="F600" s="11"/>
      <c r="G600" s="11"/>
      <c r="H600" s="11"/>
    </row>
    <row r="601" spans="1:8" ht="37.5" customHeight="1" x14ac:dyDescent="0.25">
      <c r="A601" s="51" t="str">
        <f t="shared" si="0"/>
        <v>/</v>
      </c>
      <c r="B601" s="2"/>
      <c r="C601" s="11"/>
      <c r="D601" s="11"/>
      <c r="E601" s="11"/>
      <c r="F601" s="11"/>
      <c r="G601" s="11"/>
      <c r="H601" s="11"/>
    </row>
    <row r="602" spans="1:8" ht="37.5" customHeight="1" x14ac:dyDescent="0.25">
      <c r="A602" s="51" t="str">
        <f t="shared" si="0"/>
        <v>/</v>
      </c>
      <c r="B602" s="2"/>
      <c r="C602" s="11"/>
      <c r="D602" s="11"/>
      <c r="E602" s="11"/>
      <c r="F602" s="11"/>
      <c r="G602" s="11"/>
      <c r="H602" s="11"/>
    </row>
    <row r="603" spans="1:8" ht="37.5" customHeight="1" x14ac:dyDescent="0.25">
      <c r="A603" s="51" t="str">
        <f t="shared" si="0"/>
        <v>/</v>
      </c>
      <c r="B603" s="2"/>
      <c r="C603" s="11"/>
      <c r="D603" s="11"/>
      <c r="E603" s="11"/>
      <c r="F603" s="11"/>
      <c r="G603" s="11"/>
      <c r="H603" s="11"/>
    </row>
    <row r="604" spans="1:8" ht="37.5" customHeight="1" x14ac:dyDescent="0.25">
      <c r="A604" s="51" t="str">
        <f t="shared" si="0"/>
        <v>/</v>
      </c>
      <c r="B604" s="2"/>
      <c r="C604" s="11"/>
      <c r="D604" s="11"/>
      <c r="E604" s="11"/>
      <c r="F604" s="11"/>
      <c r="G604" s="11"/>
      <c r="H604" s="11"/>
    </row>
    <row r="605" spans="1:8" ht="37.5" customHeight="1" x14ac:dyDescent="0.25">
      <c r="A605" s="51" t="str">
        <f t="shared" si="0"/>
        <v>/</v>
      </c>
      <c r="B605" s="2"/>
      <c r="C605" s="11"/>
      <c r="D605" s="11"/>
      <c r="E605" s="11"/>
      <c r="F605" s="11"/>
      <c r="G605" s="11"/>
      <c r="H605" s="11"/>
    </row>
    <row r="606" spans="1:8" ht="37.5" customHeight="1" x14ac:dyDescent="0.25">
      <c r="A606" s="51" t="str">
        <f t="shared" si="0"/>
        <v>/</v>
      </c>
      <c r="B606" s="2"/>
      <c r="C606" s="11"/>
      <c r="D606" s="11"/>
      <c r="E606" s="11"/>
      <c r="F606" s="11"/>
      <c r="G606" s="11"/>
      <c r="H606" s="11"/>
    </row>
    <row r="607" spans="1:8" ht="37.5" customHeight="1" x14ac:dyDescent="0.25">
      <c r="A607" s="51" t="str">
        <f t="shared" si="0"/>
        <v>/</v>
      </c>
      <c r="B607" s="2"/>
      <c r="C607" s="11"/>
      <c r="D607" s="11"/>
      <c r="E607" s="11"/>
      <c r="F607" s="11"/>
      <c r="G607" s="11"/>
      <c r="H607" s="11"/>
    </row>
    <row r="608" spans="1:8" ht="37.5" customHeight="1" x14ac:dyDescent="0.25">
      <c r="A608" s="51" t="str">
        <f t="shared" si="0"/>
        <v>/</v>
      </c>
      <c r="B608" s="2"/>
      <c r="C608" s="11"/>
      <c r="D608" s="11"/>
      <c r="E608" s="11"/>
      <c r="F608" s="11"/>
      <c r="G608" s="11"/>
      <c r="H608" s="11"/>
    </row>
    <row r="609" spans="1:8" ht="37.5" customHeight="1" x14ac:dyDescent="0.25">
      <c r="A609" s="51" t="str">
        <f t="shared" si="0"/>
        <v>/</v>
      </c>
      <c r="B609" s="2"/>
      <c r="C609" s="11"/>
      <c r="D609" s="11"/>
      <c r="E609" s="11"/>
      <c r="F609" s="11"/>
      <c r="G609" s="11"/>
      <c r="H609" s="11"/>
    </row>
    <row r="610" spans="1:8" ht="37.5" customHeight="1" x14ac:dyDescent="0.25">
      <c r="A610" s="51" t="str">
        <f t="shared" si="0"/>
        <v>/</v>
      </c>
      <c r="B610" s="2"/>
      <c r="C610" s="11"/>
      <c r="D610" s="11"/>
      <c r="E610" s="11"/>
      <c r="F610" s="11"/>
      <c r="G610" s="11"/>
      <c r="H610" s="11"/>
    </row>
    <row r="611" spans="1:8" ht="37.5" customHeight="1" x14ac:dyDescent="0.25">
      <c r="A611" s="51" t="str">
        <f t="shared" si="0"/>
        <v>/</v>
      </c>
      <c r="B611" s="2"/>
      <c r="C611" s="11"/>
      <c r="D611" s="11"/>
      <c r="E611" s="11"/>
      <c r="F611" s="11"/>
      <c r="G611" s="11"/>
      <c r="H611" s="11"/>
    </row>
    <row r="612" spans="1:8" ht="37.5" customHeight="1" x14ac:dyDescent="0.25">
      <c r="A612" s="51" t="str">
        <f t="shared" si="0"/>
        <v>/</v>
      </c>
      <c r="B612" s="2"/>
      <c r="C612" s="11"/>
      <c r="D612" s="11"/>
      <c r="E612" s="11"/>
      <c r="F612" s="11"/>
      <c r="G612" s="11"/>
      <c r="H612" s="11"/>
    </row>
    <row r="613" spans="1:8" ht="37.5" customHeight="1" x14ac:dyDescent="0.25">
      <c r="A613" s="51" t="str">
        <f t="shared" si="0"/>
        <v>/</v>
      </c>
      <c r="B613" s="2"/>
      <c r="C613" s="11"/>
      <c r="D613" s="11"/>
      <c r="E613" s="11"/>
      <c r="F613" s="11"/>
      <c r="G613" s="11"/>
      <c r="H613" s="11"/>
    </row>
    <row r="614" spans="1:8" ht="37.5" customHeight="1" x14ac:dyDescent="0.25">
      <c r="A614" s="51" t="str">
        <f t="shared" si="0"/>
        <v>/</v>
      </c>
      <c r="B614" s="2"/>
      <c r="C614" s="11"/>
      <c r="D614" s="11"/>
      <c r="E614" s="11"/>
      <c r="F614" s="11"/>
      <c r="G614" s="11"/>
      <c r="H614" s="11"/>
    </row>
    <row r="615" spans="1:8" ht="37.5" customHeight="1" x14ac:dyDescent="0.25">
      <c r="A615" s="51" t="str">
        <f t="shared" si="0"/>
        <v>/</v>
      </c>
      <c r="B615" s="2"/>
      <c r="C615" s="11"/>
      <c r="D615" s="11"/>
      <c r="E615" s="11"/>
      <c r="F615" s="11"/>
      <c r="G615" s="11"/>
      <c r="H615" s="11"/>
    </row>
    <row r="616" spans="1:8" ht="37.5" customHeight="1" x14ac:dyDescent="0.25">
      <c r="A616" s="51" t="str">
        <f t="shared" si="0"/>
        <v>/</v>
      </c>
      <c r="B616" s="2"/>
      <c r="C616" s="11"/>
      <c r="D616" s="11"/>
      <c r="E616" s="11"/>
      <c r="F616" s="11"/>
      <c r="G616" s="11"/>
      <c r="H616" s="11"/>
    </row>
    <row r="617" spans="1:8" ht="37.5" customHeight="1" x14ac:dyDescent="0.25">
      <c r="A617" s="51" t="str">
        <f t="shared" si="0"/>
        <v>/</v>
      </c>
      <c r="B617" s="2"/>
      <c r="C617" s="11"/>
      <c r="D617" s="11"/>
      <c r="E617" s="11"/>
      <c r="F617" s="11"/>
      <c r="G617" s="11"/>
      <c r="H617" s="11"/>
    </row>
    <row r="618" spans="1:8" ht="37.5" customHeight="1" x14ac:dyDescent="0.25">
      <c r="A618" s="51" t="str">
        <f t="shared" si="0"/>
        <v>/</v>
      </c>
      <c r="B618" s="2"/>
      <c r="C618" s="11"/>
      <c r="D618" s="11"/>
      <c r="E618" s="11"/>
      <c r="F618" s="11"/>
      <c r="G618" s="11"/>
      <c r="H618" s="11"/>
    </row>
    <row r="619" spans="1:8" ht="37.5" customHeight="1" x14ac:dyDescent="0.25">
      <c r="A619" s="51" t="str">
        <f t="shared" si="0"/>
        <v>/</v>
      </c>
      <c r="B619" s="2"/>
      <c r="C619" s="11"/>
      <c r="D619" s="11"/>
      <c r="E619" s="11"/>
      <c r="F619" s="11"/>
      <c r="G619" s="11"/>
      <c r="H619" s="11"/>
    </row>
    <row r="620" spans="1:8" ht="37.5" customHeight="1" x14ac:dyDescent="0.25">
      <c r="A620" s="51" t="str">
        <f t="shared" si="0"/>
        <v>/</v>
      </c>
      <c r="B620" s="2"/>
      <c r="C620" s="11"/>
      <c r="D620" s="11"/>
      <c r="E620" s="11"/>
      <c r="F620" s="11"/>
      <c r="G620" s="11"/>
      <c r="H620" s="11"/>
    </row>
    <row r="621" spans="1:8" ht="37.5" customHeight="1" x14ac:dyDescent="0.25">
      <c r="A621" s="51" t="str">
        <f t="shared" si="0"/>
        <v>/</v>
      </c>
      <c r="B621" s="2"/>
      <c r="C621" s="11"/>
      <c r="D621" s="11"/>
      <c r="E621" s="11"/>
      <c r="F621" s="11"/>
      <c r="G621" s="11"/>
      <c r="H621" s="11"/>
    </row>
    <row r="622" spans="1:8" ht="37.5" customHeight="1" x14ac:dyDescent="0.25">
      <c r="A622" s="51" t="str">
        <f t="shared" si="0"/>
        <v>/</v>
      </c>
      <c r="B622" s="2"/>
      <c r="C622" s="11"/>
      <c r="D622" s="11"/>
      <c r="E622" s="11"/>
      <c r="F622" s="11"/>
      <c r="G622" s="11"/>
      <c r="H622" s="11"/>
    </row>
    <row r="623" spans="1:8" ht="37.5" customHeight="1" x14ac:dyDescent="0.25">
      <c r="A623" s="51" t="str">
        <f t="shared" si="0"/>
        <v>/</v>
      </c>
      <c r="B623" s="2"/>
      <c r="C623" s="11"/>
      <c r="D623" s="11"/>
      <c r="E623" s="11"/>
      <c r="F623" s="11"/>
      <c r="G623" s="11"/>
      <c r="H623" s="11"/>
    </row>
    <row r="624" spans="1:8" ht="37.5" customHeight="1" x14ac:dyDescent="0.25">
      <c r="A624" s="51" t="str">
        <f t="shared" si="0"/>
        <v>/</v>
      </c>
      <c r="B624" s="2"/>
      <c r="C624" s="11"/>
      <c r="D624" s="11"/>
      <c r="E624" s="11"/>
      <c r="F624" s="11"/>
      <c r="G624" s="11"/>
      <c r="H624" s="11"/>
    </row>
    <row r="625" spans="1:8" ht="37.5" customHeight="1" x14ac:dyDescent="0.25">
      <c r="A625" s="51" t="str">
        <f t="shared" si="0"/>
        <v>/</v>
      </c>
      <c r="B625" s="2"/>
      <c r="C625" s="11"/>
      <c r="D625" s="11"/>
      <c r="E625" s="11"/>
      <c r="F625" s="11"/>
      <c r="G625" s="11"/>
      <c r="H625" s="11"/>
    </row>
    <row r="626" spans="1:8" ht="37.5" customHeight="1" x14ac:dyDescent="0.25">
      <c r="A626" s="51" t="str">
        <f t="shared" si="0"/>
        <v>/</v>
      </c>
      <c r="B626" s="2"/>
      <c r="C626" s="11"/>
      <c r="D626" s="11"/>
      <c r="E626" s="11"/>
      <c r="F626" s="11"/>
      <c r="G626" s="11"/>
      <c r="H626" s="11"/>
    </row>
    <row r="627" spans="1:8" ht="37.5" customHeight="1" x14ac:dyDescent="0.25">
      <c r="A627" s="51" t="str">
        <f t="shared" si="0"/>
        <v>/</v>
      </c>
      <c r="B627" s="2"/>
      <c r="C627" s="11"/>
      <c r="D627" s="11"/>
      <c r="E627" s="11"/>
      <c r="F627" s="11"/>
      <c r="G627" s="11"/>
      <c r="H627" s="11"/>
    </row>
    <row r="628" spans="1:8" ht="37.5" customHeight="1" x14ac:dyDescent="0.25">
      <c r="A628" s="51" t="str">
        <f t="shared" si="0"/>
        <v>/</v>
      </c>
      <c r="B628" s="2"/>
      <c r="C628" s="11"/>
      <c r="D628" s="11"/>
      <c r="E628" s="11"/>
      <c r="F628" s="11"/>
      <c r="G628" s="11"/>
      <c r="H628" s="11"/>
    </row>
    <row r="629" spans="1:8" ht="37.5" customHeight="1" x14ac:dyDescent="0.25">
      <c r="A629" s="51" t="str">
        <f t="shared" si="0"/>
        <v>/</v>
      </c>
      <c r="B629" s="2"/>
      <c r="C629" s="11"/>
      <c r="D629" s="11"/>
      <c r="E629" s="11"/>
      <c r="F629" s="11"/>
      <c r="G629" s="11"/>
      <c r="H629" s="11"/>
    </row>
    <row r="630" spans="1:8" ht="37.5" customHeight="1" x14ac:dyDescent="0.25">
      <c r="A630" s="51" t="str">
        <f t="shared" si="0"/>
        <v>/</v>
      </c>
      <c r="B630" s="2"/>
      <c r="C630" s="11"/>
      <c r="D630" s="11"/>
      <c r="E630" s="11"/>
      <c r="F630" s="11"/>
      <c r="G630" s="11"/>
      <c r="H630" s="11"/>
    </row>
    <row r="631" spans="1:8" ht="37.5" customHeight="1" x14ac:dyDescent="0.25">
      <c r="A631" s="51" t="str">
        <f t="shared" si="0"/>
        <v>/</v>
      </c>
      <c r="B631" s="2"/>
      <c r="C631" s="11"/>
      <c r="D631" s="11"/>
      <c r="E631" s="11"/>
      <c r="F631" s="11"/>
      <c r="G631" s="11"/>
      <c r="H631" s="11"/>
    </row>
    <row r="632" spans="1:8" ht="37.5" customHeight="1" x14ac:dyDescent="0.25">
      <c r="A632" s="51" t="str">
        <f t="shared" si="0"/>
        <v>/</v>
      </c>
      <c r="B632" s="2"/>
      <c r="C632" s="11"/>
      <c r="D632" s="11"/>
      <c r="E632" s="11"/>
      <c r="F632" s="11"/>
      <c r="G632" s="11"/>
      <c r="H632" s="11"/>
    </row>
    <row r="633" spans="1:8" ht="37.5" customHeight="1" x14ac:dyDescent="0.25">
      <c r="A633" s="51" t="str">
        <f t="shared" si="0"/>
        <v>/</v>
      </c>
      <c r="B633" s="2"/>
      <c r="C633" s="11"/>
      <c r="D633" s="11"/>
      <c r="E633" s="11"/>
      <c r="F633" s="11"/>
      <c r="G633" s="11"/>
      <c r="H633" s="11"/>
    </row>
    <row r="634" spans="1:8" ht="37.5" customHeight="1" x14ac:dyDescent="0.25">
      <c r="A634" s="51" t="str">
        <f t="shared" si="0"/>
        <v>/</v>
      </c>
      <c r="B634" s="2"/>
      <c r="C634" s="11"/>
      <c r="D634" s="11"/>
      <c r="E634" s="11"/>
      <c r="F634" s="11"/>
      <c r="G634" s="11"/>
      <c r="H634" s="11"/>
    </row>
    <row r="635" spans="1:8" ht="37.5" customHeight="1" x14ac:dyDescent="0.25">
      <c r="A635" s="51" t="str">
        <f t="shared" si="0"/>
        <v>/</v>
      </c>
      <c r="B635" s="2"/>
      <c r="C635" s="11"/>
      <c r="D635" s="11"/>
      <c r="E635" s="11"/>
      <c r="F635" s="11"/>
      <c r="G635" s="11"/>
      <c r="H635" s="11"/>
    </row>
    <row r="636" spans="1:8" ht="37.5" customHeight="1" x14ac:dyDescent="0.25">
      <c r="A636" s="51" t="str">
        <f t="shared" si="0"/>
        <v>/</v>
      </c>
      <c r="B636" s="2"/>
      <c r="C636" s="11"/>
      <c r="D636" s="11"/>
      <c r="E636" s="11"/>
      <c r="F636" s="11"/>
      <c r="G636" s="11"/>
      <c r="H636" s="11"/>
    </row>
    <row r="637" spans="1:8" ht="37.5" customHeight="1" x14ac:dyDescent="0.25">
      <c r="A637" s="51" t="str">
        <f t="shared" si="0"/>
        <v>/</v>
      </c>
      <c r="B637" s="2"/>
      <c r="C637" s="11"/>
      <c r="D637" s="11"/>
      <c r="E637" s="11"/>
      <c r="F637" s="11"/>
      <c r="G637" s="11"/>
      <c r="H637" s="11"/>
    </row>
    <row r="638" spans="1:8" ht="37.5" customHeight="1" x14ac:dyDescent="0.25">
      <c r="A638" s="51" t="str">
        <f t="shared" si="0"/>
        <v>/</v>
      </c>
      <c r="B638" s="2"/>
      <c r="C638" s="11"/>
      <c r="D638" s="11"/>
      <c r="E638" s="11"/>
      <c r="F638" s="11"/>
      <c r="G638" s="11"/>
      <c r="H638" s="11"/>
    </row>
    <row r="639" spans="1:8" ht="37.5" customHeight="1" x14ac:dyDescent="0.25">
      <c r="A639" s="51" t="str">
        <f t="shared" si="0"/>
        <v>/</v>
      </c>
      <c r="B639" s="2"/>
      <c r="C639" s="11"/>
      <c r="D639" s="11"/>
      <c r="E639" s="11"/>
      <c r="F639" s="11"/>
      <c r="G639" s="11"/>
      <c r="H639" s="11"/>
    </row>
    <row r="640" spans="1:8" ht="37.5" customHeight="1" x14ac:dyDescent="0.25">
      <c r="A640" s="51" t="str">
        <f t="shared" si="0"/>
        <v>/</v>
      </c>
      <c r="B640" s="2"/>
      <c r="C640" s="11"/>
      <c r="D640" s="11"/>
      <c r="E640" s="11"/>
      <c r="F640" s="11"/>
      <c r="G640" s="11"/>
      <c r="H640" s="11"/>
    </row>
    <row r="641" spans="1:8" ht="37.5" customHeight="1" x14ac:dyDescent="0.25">
      <c r="A641" s="51" t="str">
        <f t="shared" si="0"/>
        <v>/</v>
      </c>
      <c r="B641" s="2"/>
      <c r="C641" s="11"/>
      <c r="D641" s="11"/>
      <c r="E641" s="11"/>
      <c r="F641" s="11"/>
      <c r="G641" s="11"/>
      <c r="H641" s="11"/>
    </row>
    <row r="642" spans="1:8" ht="37.5" customHeight="1" x14ac:dyDescent="0.25">
      <c r="A642" s="51" t="str">
        <f t="shared" si="0"/>
        <v>/</v>
      </c>
      <c r="B642" s="2"/>
      <c r="C642" s="11"/>
      <c r="D642" s="11"/>
      <c r="E642" s="11"/>
      <c r="F642" s="11"/>
      <c r="G642" s="11"/>
      <c r="H642" s="11"/>
    </row>
    <row r="643" spans="1:8" ht="37.5" customHeight="1" x14ac:dyDescent="0.25">
      <c r="A643" s="51" t="str">
        <f t="shared" si="0"/>
        <v>/</v>
      </c>
      <c r="B643" s="2"/>
      <c r="C643" s="11"/>
      <c r="D643" s="11"/>
      <c r="E643" s="11"/>
      <c r="F643" s="11"/>
      <c r="G643" s="11"/>
      <c r="H643" s="11"/>
    </row>
    <row r="644" spans="1:8" ht="37.5" customHeight="1" x14ac:dyDescent="0.25">
      <c r="A644" s="51" t="str">
        <f t="shared" si="0"/>
        <v>/</v>
      </c>
      <c r="B644" s="2"/>
      <c r="C644" s="11"/>
      <c r="D644" s="11"/>
      <c r="E644" s="11"/>
      <c r="F644" s="11"/>
      <c r="G644" s="11"/>
      <c r="H644" s="11"/>
    </row>
    <row r="645" spans="1:8" ht="37.5" customHeight="1" x14ac:dyDescent="0.25">
      <c r="A645" s="51" t="str">
        <f t="shared" si="0"/>
        <v>/</v>
      </c>
      <c r="B645" s="2"/>
      <c r="C645" s="11"/>
      <c r="D645" s="11"/>
      <c r="E645" s="11"/>
      <c r="F645" s="11"/>
      <c r="G645" s="11"/>
      <c r="H645" s="11"/>
    </row>
    <row r="646" spans="1:8" ht="37.5" customHeight="1" x14ac:dyDescent="0.25">
      <c r="A646" s="51" t="str">
        <f t="shared" si="0"/>
        <v>/</v>
      </c>
      <c r="B646" s="2"/>
      <c r="C646" s="11"/>
      <c r="D646" s="11"/>
      <c r="E646" s="11"/>
      <c r="F646" s="11"/>
      <c r="G646" s="11"/>
      <c r="H646" s="11"/>
    </row>
    <row r="647" spans="1:8" ht="37.5" customHeight="1" x14ac:dyDescent="0.25">
      <c r="A647" s="51" t="str">
        <f t="shared" si="0"/>
        <v>/</v>
      </c>
      <c r="B647" s="2"/>
      <c r="C647" s="11"/>
      <c r="D647" s="11"/>
      <c r="E647" s="11"/>
      <c r="F647" s="11"/>
      <c r="G647" s="11"/>
      <c r="H647" s="11"/>
    </row>
    <row r="648" spans="1:8" ht="37.5" customHeight="1" x14ac:dyDescent="0.25">
      <c r="A648" s="51" t="str">
        <f t="shared" si="0"/>
        <v>/</v>
      </c>
      <c r="B648" s="2"/>
      <c r="C648" s="11"/>
      <c r="D648" s="11"/>
      <c r="E648" s="11"/>
      <c r="F648" s="11"/>
      <c r="G648" s="11"/>
      <c r="H648" s="11"/>
    </row>
    <row r="649" spans="1:8" ht="37.5" customHeight="1" x14ac:dyDescent="0.25">
      <c r="A649" s="51" t="str">
        <f t="shared" si="0"/>
        <v>/</v>
      </c>
      <c r="B649" s="2"/>
      <c r="C649" s="11"/>
      <c r="D649" s="11"/>
      <c r="E649" s="11"/>
      <c r="F649" s="11"/>
      <c r="G649" s="11"/>
      <c r="H649" s="11"/>
    </row>
    <row r="650" spans="1:8" ht="37.5" customHeight="1" x14ac:dyDescent="0.25">
      <c r="A650" s="51" t="str">
        <f t="shared" si="0"/>
        <v>/</v>
      </c>
      <c r="B650" s="2"/>
      <c r="C650" s="11"/>
      <c r="D650" s="11"/>
      <c r="E650" s="11"/>
      <c r="F650" s="11"/>
      <c r="G650" s="11"/>
      <c r="H650" s="11"/>
    </row>
    <row r="651" spans="1:8" ht="37.5" customHeight="1" x14ac:dyDescent="0.25">
      <c r="A651" s="51" t="str">
        <f t="shared" si="0"/>
        <v>/</v>
      </c>
      <c r="B651" s="2"/>
      <c r="C651" s="11"/>
      <c r="D651" s="11"/>
      <c r="E651" s="11"/>
      <c r="F651" s="11"/>
      <c r="G651" s="11"/>
      <c r="H651" s="11"/>
    </row>
    <row r="652" spans="1:8" ht="37.5" customHeight="1" x14ac:dyDescent="0.25">
      <c r="A652" s="51" t="str">
        <f t="shared" si="0"/>
        <v>/</v>
      </c>
      <c r="B652" s="2"/>
      <c r="C652" s="11"/>
      <c r="D652" s="11"/>
      <c r="E652" s="11"/>
      <c r="F652" s="11"/>
      <c r="G652" s="11"/>
      <c r="H652" s="11"/>
    </row>
    <row r="653" spans="1:8" ht="37.5" customHeight="1" x14ac:dyDescent="0.25">
      <c r="A653" s="51" t="str">
        <f t="shared" si="0"/>
        <v>/</v>
      </c>
      <c r="B653" s="2"/>
      <c r="C653" s="11"/>
      <c r="D653" s="11"/>
      <c r="E653" s="11"/>
      <c r="F653" s="11"/>
      <c r="G653" s="11"/>
      <c r="H653" s="11"/>
    </row>
    <row r="654" spans="1:8" ht="37.5" customHeight="1" x14ac:dyDescent="0.25">
      <c r="A654" s="51" t="str">
        <f t="shared" si="0"/>
        <v>/</v>
      </c>
      <c r="B654" s="2"/>
      <c r="C654" s="11"/>
      <c r="D654" s="11"/>
      <c r="E654" s="11"/>
      <c r="F654" s="11"/>
      <c r="G654" s="11"/>
      <c r="H654" s="11"/>
    </row>
    <row r="655" spans="1:8" ht="37.5" customHeight="1" x14ac:dyDescent="0.25">
      <c r="A655" s="51" t="str">
        <f t="shared" si="0"/>
        <v>/</v>
      </c>
      <c r="B655" s="2"/>
      <c r="C655" s="11"/>
      <c r="D655" s="11"/>
      <c r="E655" s="11"/>
      <c r="F655" s="11"/>
      <c r="G655" s="11"/>
      <c r="H655" s="11"/>
    </row>
    <row r="656" spans="1:8" ht="37.5" customHeight="1" x14ac:dyDescent="0.25">
      <c r="A656" s="51" t="str">
        <f t="shared" si="0"/>
        <v>/</v>
      </c>
      <c r="B656" s="2"/>
      <c r="C656" s="11"/>
      <c r="D656" s="11"/>
      <c r="E656" s="11"/>
      <c r="F656" s="11"/>
      <c r="G656" s="11"/>
      <c r="H656" s="11"/>
    </row>
    <row r="657" spans="1:8" ht="37.5" customHeight="1" x14ac:dyDescent="0.25">
      <c r="A657" s="51" t="str">
        <f t="shared" si="0"/>
        <v>/</v>
      </c>
      <c r="B657" s="2"/>
      <c r="C657" s="11"/>
      <c r="D657" s="11"/>
      <c r="E657" s="11"/>
      <c r="F657" s="11"/>
      <c r="G657" s="11"/>
      <c r="H657" s="11"/>
    </row>
    <row r="658" spans="1:8" ht="37.5" customHeight="1" x14ac:dyDescent="0.25">
      <c r="A658" s="51" t="str">
        <f t="shared" si="0"/>
        <v>/</v>
      </c>
      <c r="B658" s="2"/>
      <c r="C658" s="11"/>
      <c r="D658" s="11"/>
      <c r="E658" s="11"/>
      <c r="F658" s="11"/>
      <c r="G658" s="11"/>
      <c r="H658" s="11"/>
    </row>
    <row r="659" spans="1:8" ht="37.5" customHeight="1" x14ac:dyDescent="0.25">
      <c r="A659" s="51" t="str">
        <f t="shared" si="0"/>
        <v>/</v>
      </c>
      <c r="B659" s="2"/>
      <c r="C659" s="11"/>
      <c r="D659" s="11"/>
      <c r="E659" s="11"/>
      <c r="F659" s="11"/>
      <c r="G659" s="11"/>
      <c r="H659" s="11"/>
    </row>
    <row r="660" spans="1:8" ht="37.5" customHeight="1" x14ac:dyDescent="0.25">
      <c r="A660" s="51" t="str">
        <f t="shared" si="0"/>
        <v>/</v>
      </c>
      <c r="B660" s="2"/>
      <c r="C660" s="11"/>
      <c r="D660" s="11"/>
      <c r="E660" s="11"/>
      <c r="F660" s="11"/>
      <c r="G660" s="11"/>
      <c r="H660" s="11"/>
    </row>
    <row r="661" spans="1:8" ht="37.5" customHeight="1" x14ac:dyDescent="0.25">
      <c r="A661" s="51" t="str">
        <f t="shared" si="0"/>
        <v>/</v>
      </c>
      <c r="B661" s="2"/>
      <c r="C661" s="11"/>
      <c r="D661" s="11"/>
      <c r="E661" s="11"/>
      <c r="F661" s="11"/>
      <c r="G661" s="11"/>
      <c r="H661" s="11"/>
    </row>
    <row r="662" spans="1:8" ht="37.5" customHeight="1" x14ac:dyDescent="0.25">
      <c r="A662" s="51" t="str">
        <f t="shared" si="0"/>
        <v>/</v>
      </c>
      <c r="B662" s="2"/>
      <c r="C662" s="11"/>
      <c r="D662" s="11"/>
      <c r="E662" s="11"/>
      <c r="F662" s="11"/>
      <c r="G662" s="11"/>
      <c r="H662" s="11"/>
    </row>
    <row r="663" spans="1:8" ht="37.5" customHeight="1" x14ac:dyDescent="0.25">
      <c r="A663" s="51" t="str">
        <f t="shared" si="0"/>
        <v>/</v>
      </c>
      <c r="B663" s="2"/>
      <c r="C663" s="11"/>
      <c r="D663" s="11"/>
      <c r="E663" s="11"/>
      <c r="F663" s="11"/>
      <c r="G663" s="11"/>
      <c r="H663" s="11"/>
    </row>
    <row r="664" spans="1:8" ht="37.5" customHeight="1" x14ac:dyDescent="0.25">
      <c r="A664" s="51" t="str">
        <f t="shared" si="0"/>
        <v>/</v>
      </c>
      <c r="B664" s="2"/>
      <c r="C664" s="11"/>
      <c r="D664" s="11"/>
      <c r="E664" s="11"/>
      <c r="F664" s="11"/>
      <c r="G664" s="11"/>
      <c r="H664" s="11"/>
    </row>
    <row r="665" spans="1:8" ht="37.5" customHeight="1" x14ac:dyDescent="0.25">
      <c r="A665" s="51" t="str">
        <f t="shared" si="0"/>
        <v>/</v>
      </c>
      <c r="B665" s="2"/>
      <c r="C665" s="11"/>
      <c r="D665" s="11"/>
      <c r="E665" s="11"/>
      <c r="F665" s="11"/>
      <c r="G665" s="11"/>
      <c r="H665" s="11"/>
    </row>
    <row r="666" spans="1:8" ht="37.5" customHeight="1" x14ac:dyDescent="0.25">
      <c r="A666" s="51" t="str">
        <f t="shared" si="0"/>
        <v>/</v>
      </c>
      <c r="B666" s="2"/>
      <c r="C666" s="11"/>
      <c r="D666" s="11"/>
      <c r="E666" s="11"/>
      <c r="F666" s="11"/>
      <c r="G666" s="11"/>
      <c r="H666" s="11"/>
    </row>
    <row r="667" spans="1:8" ht="37.5" customHeight="1" x14ac:dyDescent="0.25">
      <c r="A667" s="51" t="str">
        <f t="shared" si="0"/>
        <v>/</v>
      </c>
      <c r="B667" s="2"/>
      <c r="C667" s="11"/>
      <c r="D667" s="11"/>
      <c r="E667" s="11"/>
      <c r="F667" s="11"/>
      <c r="G667" s="11"/>
      <c r="H667" s="11"/>
    </row>
    <row r="668" spans="1:8" ht="37.5" customHeight="1" x14ac:dyDescent="0.25">
      <c r="A668" s="51" t="str">
        <f t="shared" si="0"/>
        <v>/</v>
      </c>
      <c r="B668" s="2"/>
      <c r="C668" s="11"/>
      <c r="D668" s="11"/>
      <c r="E668" s="11"/>
      <c r="F668" s="11"/>
      <c r="G668" s="11"/>
      <c r="H668" s="11"/>
    </row>
    <row r="669" spans="1:8" ht="37.5" customHeight="1" x14ac:dyDescent="0.25">
      <c r="A669" s="51" t="str">
        <f t="shared" si="0"/>
        <v>/</v>
      </c>
      <c r="B669" s="2"/>
      <c r="C669" s="11"/>
      <c r="D669" s="11"/>
      <c r="E669" s="11"/>
      <c r="F669" s="11"/>
      <c r="G669" s="11"/>
      <c r="H669" s="11"/>
    </row>
    <row r="670" spans="1:8" ht="37.5" customHeight="1" x14ac:dyDescent="0.25">
      <c r="A670" s="51" t="str">
        <f t="shared" si="0"/>
        <v>/</v>
      </c>
      <c r="B670" s="2"/>
      <c r="C670" s="11"/>
      <c r="D670" s="11"/>
      <c r="E670" s="11"/>
      <c r="F670" s="11"/>
      <c r="G670" s="11"/>
      <c r="H670" s="11"/>
    </row>
    <row r="671" spans="1:8" ht="37.5" customHeight="1" x14ac:dyDescent="0.25">
      <c r="A671" s="51" t="str">
        <f t="shared" si="0"/>
        <v>/</v>
      </c>
      <c r="B671" s="2"/>
      <c r="C671" s="11"/>
      <c r="D671" s="11"/>
      <c r="E671" s="11"/>
      <c r="F671" s="11"/>
      <c r="G671" s="11"/>
      <c r="H671" s="11"/>
    </row>
    <row r="672" spans="1:8" ht="37.5" customHeight="1" x14ac:dyDescent="0.25">
      <c r="A672" s="51" t="str">
        <f t="shared" si="0"/>
        <v>/</v>
      </c>
      <c r="B672" s="2"/>
      <c r="C672" s="11"/>
      <c r="D672" s="11"/>
      <c r="E672" s="11"/>
      <c r="F672" s="11"/>
      <c r="G672" s="11"/>
      <c r="H672" s="11"/>
    </row>
    <row r="673" spans="1:8" ht="37.5" customHeight="1" x14ac:dyDescent="0.25">
      <c r="A673" s="51" t="str">
        <f t="shared" si="0"/>
        <v>/</v>
      </c>
      <c r="B673" s="2"/>
      <c r="C673" s="11"/>
      <c r="D673" s="11"/>
      <c r="E673" s="11"/>
      <c r="F673" s="11"/>
      <c r="G673" s="11"/>
      <c r="H673" s="11"/>
    </row>
    <row r="674" spans="1:8" ht="37.5" customHeight="1" x14ac:dyDescent="0.25">
      <c r="A674" s="51" t="str">
        <f t="shared" si="0"/>
        <v>/</v>
      </c>
      <c r="B674" s="2"/>
      <c r="C674" s="11"/>
      <c r="D674" s="11"/>
      <c r="E674" s="11"/>
      <c r="F674" s="11"/>
      <c r="G674" s="11"/>
      <c r="H674" s="11"/>
    </row>
    <row r="675" spans="1:8" ht="37.5" customHeight="1" x14ac:dyDescent="0.25">
      <c r="A675" s="51" t="str">
        <f t="shared" si="0"/>
        <v>/</v>
      </c>
      <c r="B675" s="2"/>
      <c r="C675" s="11"/>
      <c r="D675" s="11"/>
      <c r="E675" s="11"/>
      <c r="F675" s="11"/>
      <c r="G675" s="11"/>
      <c r="H675" s="11"/>
    </row>
    <row r="676" spans="1:8" ht="37.5" customHeight="1" x14ac:dyDescent="0.25">
      <c r="A676" s="51" t="str">
        <f t="shared" si="0"/>
        <v>/</v>
      </c>
      <c r="B676" s="2"/>
      <c r="C676" s="11"/>
      <c r="D676" s="11"/>
      <c r="E676" s="11"/>
      <c r="F676" s="11"/>
      <c r="G676" s="11"/>
      <c r="H676" s="11"/>
    </row>
    <row r="677" spans="1:8" ht="37.5" customHeight="1" x14ac:dyDescent="0.25">
      <c r="A677" s="51" t="str">
        <f t="shared" si="0"/>
        <v>/</v>
      </c>
      <c r="B677" s="2"/>
      <c r="C677" s="11"/>
      <c r="D677" s="11"/>
      <c r="E677" s="11"/>
      <c r="F677" s="11"/>
      <c r="G677" s="11"/>
      <c r="H677" s="11"/>
    </row>
    <row r="678" spans="1:8" ht="37.5" customHeight="1" x14ac:dyDescent="0.25">
      <c r="A678" s="51" t="str">
        <f t="shared" si="0"/>
        <v>/</v>
      </c>
      <c r="B678" s="2"/>
      <c r="C678" s="11"/>
      <c r="D678" s="11"/>
      <c r="E678" s="11"/>
      <c r="F678" s="11"/>
      <c r="G678" s="11"/>
      <c r="H678" s="11"/>
    </row>
    <row r="679" spans="1:8" ht="37.5" customHeight="1" x14ac:dyDescent="0.25">
      <c r="A679" s="51" t="str">
        <f t="shared" si="0"/>
        <v>/</v>
      </c>
      <c r="B679" s="2"/>
      <c r="C679" s="11"/>
      <c r="D679" s="11"/>
      <c r="E679" s="11"/>
      <c r="F679" s="11"/>
      <c r="G679" s="11"/>
      <c r="H679" s="11"/>
    </row>
    <row r="680" spans="1:8" ht="37.5" customHeight="1" x14ac:dyDescent="0.25">
      <c r="A680" s="51" t="str">
        <f t="shared" si="0"/>
        <v>/</v>
      </c>
      <c r="B680" s="2"/>
      <c r="C680" s="11"/>
      <c r="D680" s="11"/>
      <c r="E680" s="11"/>
      <c r="F680" s="11"/>
      <c r="G680" s="11"/>
      <c r="H680" s="11"/>
    </row>
    <row r="681" spans="1:8" ht="37.5" customHeight="1" x14ac:dyDescent="0.25">
      <c r="A681" s="51" t="str">
        <f t="shared" si="0"/>
        <v>/</v>
      </c>
      <c r="B681" s="2"/>
      <c r="C681" s="11"/>
      <c r="D681" s="11"/>
      <c r="E681" s="11"/>
      <c r="F681" s="11"/>
      <c r="G681" s="11"/>
      <c r="H681" s="11"/>
    </row>
    <row r="682" spans="1:8" ht="37.5" customHeight="1" x14ac:dyDescent="0.25">
      <c r="A682" s="51" t="str">
        <f t="shared" si="0"/>
        <v>/</v>
      </c>
      <c r="B682" s="2"/>
      <c r="C682" s="11"/>
      <c r="D682" s="11"/>
      <c r="E682" s="11"/>
      <c r="F682" s="11"/>
      <c r="G682" s="11"/>
      <c r="H682" s="11"/>
    </row>
    <row r="683" spans="1:8" ht="37.5" customHeight="1" x14ac:dyDescent="0.25">
      <c r="A683" s="51" t="str">
        <f t="shared" si="0"/>
        <v>/</v>
      </c>
      <c r="B683" s="2"/>
      <c r="C683" s="11"/>
      <c r="D683" s="11"/>
      <c r="E683" s="11"/>
      <c r="F683" s="11"/>
      <c r="G683" s="11"/>
      <c r="H683" s="11"/>
    </row>
    <row r="684" spans="1:8" ht="37.5" customHeight="1" x14ac:dyDescent="0.25">
      <c r="A684" s="51" t="str">
        <f t="shared" si="0"/>
        <v>/</v>
      </c>
      <c r="B684" s="2"/>
      <c r="C684" s="11"/>
      <c r="D684" s="11"/>
      <c r="E684" s="11"/>
      <c r="F684" s="11"/>
      <c r="G684" s="11"/>
      <c r="H684" s="11"/>
    </row>
    <row r="685" spans="1:8" ht="37.5" customHeight="1" x14ac:dyDescent="0.25">
      <c r="A685" s="51" t="str">
        <f t="shared" si="0"/>
        <v>/</v>
      </c>
      <c r="B685" s="2"/>
      <c r="C685" s="11"/>
      <c r="D685" s="11"/>
      <c r="E685" s="11"/>
      <c r="F685" s="11"/>
      <c r="G685" s="11"/>
      <c r="H685" s="11"/>
    </row>
    <row r="686" spans="1:8" ht="37.5" customHeight="1" x14ac:dyDescent="0.25">
      <c r="A686" s="51" t="str">
        <f t="shared" si="0"/>
        <v>/</v>
      </c>
      <c r="B686" s="2"/>
      <c r="C686" s="11"/>
      <c r="D686" s="11"/>
      <c r="E686" s="11"/>
      <c r="F686" s="11"/>
      <c r="G686" s="11"/>
      <c r="H686" s="11"/>
    </row>
    <row r="687" spans="1:8" ht="37.5" customHeight="1" x14ac:dyDescent="0.25">
      <c r="A687" s="51" t="str">
        <f t="shared" si="0"/>
        <v>/</v>
      </c>
      <c r="B687" s="2"/>
      <c r="C687" s="11"/>
      <c r="D687" s="11"/>
      <c r="E687" s="11"/>
      <c r="F687" s="11"/>
      <c r="G687" s="11"/>
      <c r="H687" s="11"/>
    </row>
    <row r="688" spans="1:8" ht="37.5" customHeight="1" x14ac:dyDescent="0.25">
      <c r="A688" s="51" t="str">
        <f t="shared" si="0"/>
        <v>/</v>
      </c>
      <c r="B688" s="2"/>
      <c r="C688" s="11"/>
      <c r="D688" s="11"/>
      <c r="E688" s="11"/>
      <c r="F688" s="11"/>
      <c r="G688" s="11"/>
      <c r="H688" s="11"/>
    </row>
    <row r="689" spans="1:8" ht="37.5" customHeight="1" x14ac:dyDescent="0.25">
      <c r="A689" s="51" t="str">
        <f t="shared" si="0"/>
        <v>/</v>
      </c>
      <c r="B689" s="2"/>
      <c r="C689" s="11"/>
      <c r="D689" s="11"/>
      <c r="E689" s="11"/>
      <c r="F689" s="11"/>
      <c r="G689" s="11"/>
      <c r="H689" s="11"/>
    </row>
    <row r="690" spans="1:8" ht="37.5" customHeight="1" x14ac:dyDescent="0.25">
      <c r="A690" s="51" t="str">
        <f t="shared" si="0"/>
        <v>/</v>
      </c>
      <c r="B690" s="2"/>
      <c r="C690" s="11"/>
      <c r="D690" s="11"/>
      <c r="E690" s="11"/>
      <c r="F690" s="11"/>
      <c r="G690" s="11"/>
      <c r="H690" s="11"/>
    </row>
    <row r="691" spans="1:8" ht="37.5" customHeight="1" x14ac:dyDescent="0.25">
      <c r="A691" s="51" t="str">
        <f t="shared" si="0"/>
        <v>/</v>
      </c>
      <c r="B691" s="2"/>
      <c r="C691" s="11"/>
      <c r="D691" s="11"/>
      <c r="E691" s="11"/>
      <c r="F691" s="11"/>
      <c r="G691" s="11"/>
      <c r="H691" s="11"/>
    </row>
    <row r="692" spans="1:8" ht="37.5" customHeight="1" x14ac:dyDescent="0.25">
      <c r="A692" s="51" t="str">
        <f t="shared" si="0"/>
        <v>/</v>
      </c>
      <c r="B692" s="2"/>
      <c r="C692" s="11"/>
      <c r="D692" s="11"/>
      <c r="E692" s="11"/>
      <c r="F692" s="11"/>
      <c r="G692" s="11"/>
      <c r="H692" s="11"/>
    </row>
    <row r="693" spans="1:8" ht="37.5" customHeight="1" x14ac:dyDescent="0.25">
      <c r="A693" s="51" t="str">
        <f t="shared" si="0"/>
        <v>/</v>
      </c>
      <c r="B693" s="2"/>
      <c r="C693" s="11"/>
      <c r="D693" s="11"/>
      <c r="E693" s="11"/>
      <c r="F693" s="11"/>
      <c r="G693" s="11"/>
      <c r="H693" s="11"/>
    </row>
    <row r="694" spans="1:8" ht="37.5" customHeight="1" x14ac:dyDescent="0.25">
      <c r="A694" s="51" t="str">
        <f t="shared" si="0"/>
        <v>/</v>
      </c>
      <c r="B694" s="2"/>
      <c r="C694" s="11"/>
      <c r="D694" s="11"/>
      <c r="E694" s="11"/>
      <c r="F694" s="11"/>
      <c r="G694" s="11"/>
      <c r="H694" s="11"/>
    </row>
    <row r="695" spans="1:8" ht="37.5" customHeight="1" x14ac:dyDescent="0.25">
      <c r="A695" s="51" t="str">
        <f t="shared" si="0"/>
        <v>/</v>
      </c>
      <c r="B695" s="2"/>
      <c r="C695" s="11"/>
      <c r="D695" s="11"/>
      <c r="E695" s="11"/>
      <c r="F695" s="11"/>
      <c r="G695" s="11"/>
      <c r="H695" s="11"/>
    </row>
    <row r="696" spans="1:8" ht="37.5" customHeight="1" x14ac:dyDescent="0.25">
      <c r="A696" s="51" t="str">
        <f t="shared" si="0"/>
        <v>/</v>
      </c>
      <c r="B696" s="2"/>
      <c r="C696" s="11"/>
      <c r="D696" s="11"/>
      <c r="E696" s="11"/>
      <c r="F696" s="11"/>
      <c r="G696" s="11"/>
      <c r="H696" s="11"/>
    </row>
    <row r="697" spans="1:8" ht="37.5" customHeight="1" x14ac:dyDescent="0.25">
      <c r="A697" s="51" t="str">
        <f t="shared" si="0"/>
        <v>/</v>
      </c>
      <c r="B697" s="2"/>
      <c r="C697" s="11"/>
      <c r="D697" s="11"/>
      <c r="E697" s="11"/>
      <c r="F697" s="11"/>
      <c r="G697" s="11"/>
      <c r="H697" s="11"/>
    </row>
    <row r="698" spans="1:8" ht="37.5" customHeight="1" x14ac:dyDescent="0.25">
      <c r="A698" s="51" t="str">
        <f t="shared" si="0"/>
        <v>/</v>
      </c>
      <c r="B698" s="2"/>
      <c r="C698" s="11"/>
      <c r="D698" s="11"/>
      <c r="E698" s="11"/>
      <c r="F698" s="11"/>
      <c r="G698" s="11"/>
      <c r="H698" s="11"/>
    </row>
    <row r="699" spans="1:8" ht="37.5" customHeight="1" x14ac:dyDescent="0.25">
      <c r="A699" s="51" t="str">
        <f t="shared" si="0"/>
        <v>/</v>
      </c>
      <c r="B699" s="2"/>
      <c r="C699" s="11"/>
      <c r="D699" s="11"/>
      <c r="E699" s="11"/>
      <c r="F699" s="11"/>
      <c r="G699" s="11"/>
      <c r="H699" s="11"/>
    </row>
    <row r="700" spans="1:8" ht="37.5" customHeight="1" x14ac:dyDescent="0.25">
      <c r="A700" s="51" t="str">
        <f t="shared" si="0"/>
        <v>/</v>
      </c>
      <c r="B700" s="2"/>
      <c r="C700" s="11"/>
      <c r="D700" s="11"/>
      <c r="E700" s="11"/>
      <c r="F700" s="11"/>
      <c r="G700" s="11"/>
      <c r="H700" s="11"/>
    </row>
    <row r="701" spans="1:8" ht="37.5" customHeight="1" x14ac:dyDescent="0.25">
      <c r="A701" s="51" t="str">
        <f t="shared" si="0"/>
        <v>/</v>
      </c>
      <c r="B701" s="2"/>
      <c r="C701" s="11"/>
      <c r="D701" s="11"/>
      <c r="E701" s="11"/>
      <c r="F701" s="11"/>
      <c r="G701" s="11"/>
      <c r="H701" s="11"/>
    </row>
    <row r="702" spans="1:8" ht="37.5" customHeight="1" x14ac:dyDescent="0.25">
      <c r="A702" s="51" t="str">
        <f t="shared" si="0"/>
        <v>/</v>
      </c>
      <c r="B702" s="2"/>
      <c r="C702" s="11"/>
      <c r="D702" s="11"/>
      <c r="E702" s="11"/>
      <c r="F702" s="11"/>
      <c r="G702" s="11"/>
      <c r="H702" s="11"/>
    </row>
    <row r="703" spans="1:8" ht="37.5" customHeight="1" x14ac:dyDescent="0.25">
      <c r="A703" s="51" t="str">
        <f t="shared" si="0"/>
        <v>/</v>
      </c>
      <c r="B703" s="2"/>
      <c r="C703" s="11"/>
      <c r="D703" s="11"/>
      <c r="E703" s="11"/>
      <c r="F703" s="11"/>
      <c r="G703" s="11"/>
      <c r="H703" s="11"/>
    </row>
    <row r="704" spans="1:8" ht="37.5" customHeight="1" x14ac:dyDescent="0.25">
      <c r="A704" s="51" t="str">
        <f t="shared" si="0"/>
        <v>/</v>
      </c>
      <c r="B704" s="2"/>
      <c r="C704" s="11"/>
      <c r="D704" s="11"/>
      <c r="E704" s="11"/>
      <c r="F704" s="11"/>
      <c r="G704" s="11"/>
      <c r="H704" s="11"/>
    </row>
    <row r="705" spans="1:8" ht="37.5" customHeight="1" x14ac:dyDescent="0.25">
      <c r="A705" s="51" t="str">
        <f t="shared" si="0"/>
        <v>/</v>
      </c>
      <c r="B705" s="2"/>
      <c r="C705" s="11"/>
      <c r="D705" s="11"/>
      <c r="E705" s="11"/>
      <c r="F705" s="11"/>
      <c r="G705" s="11"/>
      <c r="H705" s="11"/>
    </row>
    <row r="706" spans="1:8" ht="37.5" customHeight="1" x14ac:dyDescent="0.25">
      <c r="A706" s="51" t="str">
        <f t="shared" si="0"/>
        <v>/</v>
      </c>
      <c r="B706" s="2"/>
      <c r="C706" s="11"/>
      <c r="D706" s="11"/>
      <c r="E706" s="11"/>
      <c r="F706" s="11"/>
      <c r="G706" s="11"/>
      <c r="H706" s="11"/>
    </row>
    <row r="707" spans="1:8" ht="37.5" customHeight="1" x14ac:dyDescent="0.25">
      <c r="A707" s="51" t="str">
        <f t="shared" si="0"/>
        <v>/</v>
      </c>
      <c r="B707" s="2"/>
      <c r="C707" s="11"/>
      <c r="D707" s="11"/>
      <c r="E707" s="11"/>
      <c r="F707" s="11"/>
      <c r="G707" s="11"/>
      <c r="H707" s="11"/>
    </row>
    <row r="708" spans="1:8" ht="37.5" customHeight="1" x14ac:dyDescent="0.25">
      <c r="A708" s="51" t="str">
        <f t="shared" si="0"/>
        <v>/</v>
      </c>
      <c r="B708" s="2"/>
      <c r="C708" s="11"/>
      <c r="D708" s="11"/>
      <c r="E708" s="11"/>
      <c r="F708" s="11"/>
      <c r="G708" s="11"/>
      <c r="H708" s="11"/>
    </row>
    <row r="709" spans="1:8" ht="37.5" customHeight="1" x14ac:dyDescent="0.25">
      <c r="A709" s="51" t="str">
        <f t="shared" si="0"/>
        <v>/</v>
      </c>
      <c r="B709" s="2"/>
      <c r="C709" s="11"/>
      <c r="D709" s="11"/>
      <c r="E709" s="11"/>
      <c r="F709" s="11"/>
      <c r="G709" s="11"/>
      <c r="H709" s="11"/>
    </row>
    <row r="710" spans="1:8" ht="37.5" customHeight="1" x14ac:dyDescent="0.25">
      <c r="A710" s="51" t="str">
        <f t="shared" si="0"/>
        <v>/</v>
      </c>
      <c r="B710" s="2"/>
      <c r="C710" s="11"/>
      <c r="D710" s="11"/>
      <c r="E710" s="11"/>
      <c r="F710" s="11"/>
      <c r="G710" s="11"/>
      <c r="H710" s="11"/>
    </row>
    <row r="711" spans="1:8" ht="37.5" customHeight="1" x14ac:dyDescent="0.25">
      <c r="A711" s="51" t="str">
        <f t="shared" si="0"/>
        <v>/</v>
      </c>
      <c r="B711" s="2"/>
      <c r="C711" s="11"/>
      <c r="D711" s="11"/>
      <c r="E711" s="11"/>
      <c r="F711" s="11"/>
      <c r="G711" s="11"/>
      <c r="H711" s="11"/>
    </row>
    <row r="712" spans="1:8" ht="37.5" customHeight="1" x14ac:dyDescent="0.25">
      <c r="A712" s="51" t="str">
        <f t="shared" si="0"/>
        <v>/</v>
      </c>
      <c r="B712" s="2"/>
      <c r="C712" s="11"/>
      <c r="D712" s="11"/>
      <c r="E712" s="11"/>
      <c r="F712" s="11"/>
      <c r="G712" s="11"/>
      <c r="H712" s="11"/>
    </row>
    <row r="713" spans="1:8" ht="37.5" customHeight="1" x14ac:dyDescent="0.25">
      <c r="A713" s="51" t="str">
        <f t="shared" si="0"/>
        <v>/</v>
      </c>
      <c r="B713" s="2"/>
      <c r="C713" s="11"/>
      <c r="D713" s="11"/>
      <c r="E713" s="11"/>
      <c r="F713" s="11"/>
      <c r="G713" s="11"/>
      <c r="H713" s="11"/>
    </row>
    <row r="714" spans="1:8" ht="37.5" customHeight="1" x14ac:dyDescent="0.25">
      <c r="A714" s="51" t="str">
        <f t="shared" si="0"/>
        <v>/</v>
      </c>
      <c r="B714" s="2"/>
      <c r="C714" s="11"/>
      <c r="D714" s="11"/>
      <c r="E714" s="11"/>
      <c r="F714" s="11"/>
      <c r="G714" s="11"/>
      <c r="H714" s="11"/>
    </row>
    <row r="715" spans="1:8" ht="37.5" customHeight="1" x14ac:dyDescent="0.25">
      <c r="A715" s="51" t="str">
        <f t="shared" si="0"/>
        <v>/</v>
      </c>
      <c r="B715" s="2"/>
      <c r="C715" s="11"/>
      <c r="D715" s="11"/>
      <c r="E715" s="11"/>
      <c r="F715" s="11"/>
      <c r="G715" s="11"/>
      <c r="H715" s="11"/>
    </row>
    <row r="716" spans="1:8" ht="37.5" customHeight="1" x14ac:dyDescent="0.25">
      <c r="A716" s="51" t="str">
        <f t="shared" si="0"/>
        <v>/</v>
      </c>
      <c r="B716" s="2"/>
      <c r="C716" s="11"/>
      <c r="D716" s="11"/>
      <c r="E716" s="11"/>
      <c r="F716" s="11"/>
      <c r="G716" s="11"/>
      <c r="H716" s="11"/>
    </row>
    <row r="717" spans="1:8" ht="37.5" customHeight="1" x14ac:dyDescent="0.25">
      <c r="A717" s="51" t="str">
        <f t="shared" si="0"/>
        <v>/</v>
      </c>
      <c r="B717" s="2"/>
      <c r="C717" s="11"/>
      <c r="D717" s="11"/>
      <c r="E717" s="11"/>
      <c r="F717" s="11"/>
      <c r="G717" s="11"/>
      <c r="H717" s="11"/>
    </row>
    <row r="718" spans="1:8" ht="37.5" customHeight="1" x14ac:dyDescent="0.25">
      <c r="A718" s="51" t="str">
        <f t="shared" si="0"/>
        <v>/</v>
      </c>
      <c r="B718" s="2"/>
      <c r="C718" s="11"/>
      <c r="D718" s="11"/>
      <c r="E718" s="11"/>
      <c r="F718" s="11"/>
      <c r="G718" s="11"/>
      <c r="H718" s="11"/>
    </row>
    <row r="719" spans="1:8" ht="37.5" customHeight="1" x14ac:dyDescent="0.25">
      <c r="A719" s="51" t="str">
        <f t="shared" si="0"/>
        <v>/</v>
      </c>
      <c r="B719" s="2"/>
      <c r="C719" s="11"/>
      <c r="D719" s="11"/>
      <c r="E719" s="11"/>
      <c r="F719" s="11"/>
      <c r="G719" s="11"/>
      <c r="H719" s="11"/>
    </row>
    <row r="720" spans="1:8" ht="37.5" customHeight="1" x14ac:dyDescent="0.25">
      <c r="A720" s="51" t="str">
        <f t="shared" si="0"/>
        <v>/</v>
      </c>
      <c r="B720" s="2"/>
      <c r="C720" s="11"/>
      <c r="D720" s="11"/>
      <c r="E720" s="11"/>
      <c r="F720" s="11"/>
      <c r="G720" s="11"/>
      <c r="H720" s="11"/>
    </row>
    <row r="721" spans="1:8" ht="37.5" customHeight="1" x14ac:dyDescent="0.25">
      <c r="A721" s="51" t="str">
        <f t="shared" si="0"/>
        <v>/</v>
      </c>
      <c r="B721" s="2"/>
      <c r="C721" s="11"/>
      <c r="D721" s="11"/>
      <c r="E721" s="11"/>
      <c r="F721" s="11"/>
      <c r="G721" s="11"/>
      <c r="H721" s="11"/>
    </row>
    <row r="722" spans="1:8" ht="37.5" customHeight="1" x14ac:dyDescent="0.25">
      <c r="A722" s="51" t="str">
        <f t="shared" si="0"/>
        <v>/</v>
      </c>
      <c r="B722" s="2"/>
      <c r="C722" s="11"/>
      <c r="D722" s="11"/>
      <c r="E722" s="11"/>
      <c r="F722" s="11"/>
      <c r="G722" s="11"/>
      <c r="H722" s="11"/>
    </row>
    <row r="723" spans="1:8" ht="37.5" customHeight="1" x14ac:dyDescent="0.25">
      <c r="A723" s="51" t="str">
        <f t="shared" si="0"/>
        <v>/</v>
      </c>
      <c r="B723" s="2"/>
      <c r="C723" s="11"/>
      <c r="D723" s="11"/>
      <c r="E723" s="11"/>
      <c r="F723" s="11"/>
      <c r="G723" s="11"/>
      <c r="H723" s="11"/>
    </row>
    <row r="724" spans="1:8" ht="37.5" customHeight="1" x14ac:dyDescent="0.25">
      <c r="A724" s="51" t="str">
        <f t="shared" si="0"/>
        <v>/</v>
      </c>
      <c r="B724" s="2"/>
      <c r="C724" s="11"/>
      <c r="D724" s="11"/>
      <c r="E724" s="11"/>
      <c r="F724" s="11"/>
      <c r="G724" s="11"/>
      <c r="H724" s="11"/>
    </row>
    <row r="725" spans="1:8" ht="37.5" customHeight="1" x14ac:dyDescent="0.25">
      <c r="A725" s="51" t="str">
        <f t="shared" si="0"/>
        <v>/</v>
      </c>
      <c r="B725" s="2"/>
      <c r="C725" s="11"/>
      <c r="D725" s="11"/>
      <c r="E725" s="11"/>
      <c r="F725" s="11"/>
      <c r="G725" s="11"/>
      <c r="H725" s="11"/>
    </row>
    <row r="726" spans="1:8" ht="37.5" customHeight="1" x14ac:dyDescent="0.25">
      <c r="A726" s="51" t="str">
        <f t="shared" si="0"/>
        <v>/</v>
      </c>
      <c r="B726" s="2"/>
      <c r="C726" s="11"/>
      <c r="D726" s="11"/>
      <c r="E726" s="11"/>
      <c r="F726" s="11"/>
      <c r="G726" s="11"/>
      <c r="H726" s="11"/>
    </row>
    <row r="727" spans="1:8" ht="37.5" customHeight="1" x14ac:dyDescent="0.25">
      <c r="A727" s="51" t="str">
        <f t="shared" si="0"/>
        <v>/</v>
      </c>
      <c r="B727" s="2"/>
      <c r="C727" s="11"/>
      <c r="D727" s="11"/>
      <c r="E727" s="11"/>
      <c r="F727" s="11"/>
      <c r="G727" s="11"/>
      <c r="H727" s="11"/>
    </row>
    <row r="728" spans="1:8" ht="37.5" customHeight="1" x14ac:dyDescent="0.25">
      <c r="A728" s="51" t="str">
        <f t="shared" si="0"/>
        <v>/</v>
      </c>
      <c r="B728" s="2"/>
      <c r="C728" s="11"/>
      <c r="D728" s="11"/>
      <c r="E728" s="11"/>
      <c r="F728" s="11"/>
      <c r="G728" s="11"/>
      <c r="H728" s="11"/>
    </row>
    <row r="729" spans="1:8" ht="37.5" customHeight="1" x14ac:dyDescent="0.25">
      <c r="A729" s="51" t="str">
        <f t="shared" si="0"/>
        <v>/</v>
      </c>
      <c r="B729" s="2"/>
      <c r="C729" s="11"/>
      <c r="D729" s="11"/>
      <c r="E729" s="11"/>
      <c r="F729" s="11"/>
      <c r="G729" s="11"/>
      <c r="H729" s="11"/>
    </row>
    <row r="730" spans="1:8" ht="37.5" customHeight="1" x14ac:dyDescent="0.25">
      <c r="A730" s="51" t="str">
        <f t="shared" si="0"/>
        <v>/</v>
      </c>
      <c r="B730" s="2"/>
      <c r="C730" s="11"/>
      <c r="D730" s="11"/>
      <c r="E730" s="11"/>
      <c r="F730" s="11"/>
      <c r="G730" s="11"/>
      <c r="H730" s="11"/>
    </row>
    <row r="731" spans="1:8" ht="37.5" customHeight="1" x14ac:dyDescent="0.25">
      <c r="A731" s="51" t="str">
        <f t="shared" si="0"/>
        <v>/</v>
      </c>
      <c r="B731" s="2"/>
      <c r="C731" s="11"/>
      <c r="D731" s="11"/>
      <c r="E731" s="11"/>
      <c r="F731" s="11"/>
      <c r="G731" s="11"/>
      <c r="H731" s="11"/>
    </row>
    <row r="732" spans="1:8" ht="37.5" customHeight="1" x14ac:dyDescent="0.25">
      <c r="A732" s="51" t="str">
        <f t="shared" si="0"/>
        <v>/</v>
      </c>
      <c r="B732" s="2"/>
      <c r="C732" s="11"/>
      <c r="D732" s="11"/>
      <c r="E732" s="11"/>
      <c r="F732" s="11"/>
      <c r="G732" s="11"/>
      <c r="H732" s="11"/>
    </row>
    <row r="733" spans="1:8" ht="37.5" customHeight="1" x14ac:dyDescent="0.25">
      <c r="A733" s="51" t="str">
        <f t="shared" si="0"/>
        <v>/</v>
      </c>
      <c r="B733" s="2"/>
      <c r="C733" s="11"/>
      <c r="D733" s="11"/>
      <c r="E733" s="11"/>
      <c r="F733" s="11"/>
      <c r="G733" s="11"/>
      <c r="H733" s="11"/>
    </row>
    <row r="734" spans="1:8" ht="37.5" customHeight="1" x14ac:dyDescent="0.25">
      <c r="A734" s="51" t="str">
        <f t="shared" si="0"/>
        <v>/</v>
      </c>
      <c r="B734" s="2"/>
      <c r="C734" s="11"/>
      <c r="D734" s="11"/>
      <c r="E734" s="11"/>
      <c r="F734" s="11"/>
      <c r="G734" s="11"/>
      <c r="H734" s="11"/>
    </row>
    <row r="735" spans="1:8" ht="37.5" customHeight="1" x14ac:dyDescent="0.25">
      <c r="A735" s="51" t="str">
        <f t="shared" si="0"/>
        <v>/</v>
      </c>
      <c r="B735" s="2"/>
      <c r="C735" s="11"/>
      <c r="D735" s="11"/>
      <c r="E735" s="11"/>
      <c r="F735" s="11"/>
      <c r="G735" s="11"/>
      <c r="H735" s="11"/>
    </row>
    <row r="736" spans="1:8" ht="37.5" customHeight="1" x14ac:dyDescent="0.25">
      <c r="A736" s="51" t="str">
        <f t="shared" si="0"/>
        <v>/</v>
      </c>
      <c r="B736" s="2"/>
      <c r="C736" s="11"/>
      <c r="D736" s="11"/>
      <c r="E736" s="11"/>
      <c r="F736" s="11"/>
      <c r="G736" s="11"/>
      <c r="H736" s="11"/>
    </row>
    <row r="737" spans="1:8" ht="37.5" customHeight="1" x14ac:dyDescent="0.25">
      <c r="A737" s="51" t="str">
        <f t="shared" si="0"/>
        <v>/</v>
      </c>
      <c r="B737" s="2"/>
      <c r="C737" s="11"/>
      <c r="D737" s="11"/>
      <c r="E737" s="11"/>
      <c r="F737" s="11"/>
      <c r="G737" s="11"/>
      <c r="H737" s="11"/>
    </row>
    <row r="738" spans="1:8" ht="37.5" customHeight="1" x14ac:dyDescent="0.25">
      <c r="A738" s="51" t="str">
        <f t="shared" si="0"/>
        <v>/</v>
      </c>
      <c r="B738" s="2"/>
      <c r="C738" s="11"/>
      <c r="D738" s="11"/>
      <c r="E738" s="11"/>
      <c r="F738" s="11"/>
      <c r="G738" s="11"/>
      <c r="H738" s="11"/>
    </row>
    <row r="739" spans="1:8" ht="37.5" customHeight="1" x14ac:dyDescent="0.25">
      <c r="A739" s="51" t="str">
        <f t="shared" si="0"/>
        <v>/</v>
      </c>
      <c r="B739" s="2"/>
      <c r="C739" s="11"/>
      <c r="D739" s="11"/>
      <c r="E739" s="11"/>
      <c r="F739" s="11"/>
      <c r="G739" s="11"/>
      <c r="H739" s="11"/>
    </row>
    <row r="740" spans="1:8" ht="37.5" customHeight="1" x14ac:dyDescent="0.25">
      <c r="A740" s="51" t="str">
        <f t="shared" si="0"/>
        <v>/</v>
      </c>
      <c r="B740" s="2"/>
      <c r="C740" s="11"/>
      <c r="D740" s="11"/>
      <c r="E740" s="11"/>
      <c r="F740" s="11"/>
      <c r="G740" s="11"/>
      <c r="H740" s="11"/>
    </row>
    <row r="741" spans="1:8" ht="37.5" customHeight="1" x14ac:dyDescent="0.25">
      <c r="A741" s="51" t="str">
        <f t="shared" si="0"/>
        <v>/</v>
      </c>
      <c r="B741" s="2"/>
      <c r="C741" s="11"/>
      <c r="D741" s="11"/>
      <c r="E741" s="11"/>
      <c r="F741" s="11"/>
      <c r="G741" s="11"/>
      <c r="H741" s="11"/>
    </row>
    <row r="742" spans="1:8" ht="37.5" customHeight="1" x14ac:dyDescent="0.25">
      <c r="A742" s="51" t="str">
        <f t="shared" si="0"/>
        <v>/</v>
      </c>
      <c r="B742" s="2"/>
      <c r="C742" s="11"/>
      <c r="D742" s="11"/>
      <c r="E742" s="11"/>
      <c r="F742" s="11"/>
      <c r="G742" s="11"/>
      <c r="H742" s="11"/>
    </row>
    <row r="743" spans="1:8" ht="37.5" customHeight="1" x14ac:dyDescent="0.25">
      <c r="A743" s="51" t="str">
        <f t="shared" si="0"/>
        <v>/</v>
      </c>
      <c r="B743" s="2"/>
      <c r="C743" s="11"/>
      <c r="D743" s="11"/>
      <c r="E743" s="11"/>
      <c r="F743" s="11"/>
      <c r="G743" s="11"/>
      <c r="H743" s="11"/>
    </row>
    <row r="744" spans="1:8" ht="37.5" customHeight="1" x14ac:dyDescent="0.25">
      <c r="A744" s="51" t="str">
        <f t="shared" si="0"/>
        <v>/</v>
      </c>
      <c r="B744" s="2"/>
      <c r="C744" s="11"/>
      <c r="D744" s="11"/>
      <c r="E744" s="11"/>
      <c r="F744" s="11"/>
      <c r="G744" s="11"/>
      <c r="H744" s="11"/>
    </row>
    <row r="745" spans="1:8" ht="37.5" customHeight="1" x14ac:dyDescent="0.25">
      <c r="A745" s="51" t="str">
        <f t="shared" si="0"/>
        <v>/</v>
      </c>
      <c r="B745" s="2"/>
      <c r="C745" s="11"/>
      <c r="D745" s="11"/>
      <c r="E745" s="11"/>
      <c r="F745" s="11"/>
      <c r="G745" s="11"/>
      <c r="H745" s="11"/>
    </row>
    <row r="746" spans="1:8" ht="37.5" customHeight="1" x14ac:dyDescent="0.25">
      <c r="A746" s="51" t="str">
        <f t="shared" si="0"/>
        <v>/</v>
      </c>
      <c r="B746" s="2"/>
      <c r="C746" s="11"/>
      <c r="D746" s="11"/>
      <c r="E746" s="11"/>
      <c r="F746" s="11"/>
      <c r="G746" s="11"/>
      <c r="H746" s="11"/>
    </row>
    <row r="747" spans="1:8" ht="37.5" customHeight="1" x14ac:dyDescent="0.25">
      <c r="A747" s="51" t="str">
        <f t="shared" si="0"/>
        <v>/</v>
      </c>
      <c r="B747" s="2"/>
      <c r="C747" s="11"/>
      <c r="D747" s="11"/>
      <c r="E747" s="11"/>
      <c r="F747" s="11"/>
      <c r="G747" s="11"/>
      <c r="H747" s="11"/>
    </row>
    <row r="748" spans="1:8" ht="37.5" customHeight="1" x14ac:dyDescent="0.25">
      <c r="A748" s="51" t="str">
        <f t="shared" si="0"/>
        <v>/</v>
      </c>
      <c r="B748" s="2"/>
      <c r="C748" s="11"/>
      <c r="D748" s="11"/>
      <c r="E748" s="11"/>
      <c r="F748" s="11"/>
      <c r="G748" s="11"/>
      <c r="H748" s="11"/>
    </row>
    <row r="749" spans="1:8" ht="37.5" customHeight="1" x14ac:dyDescent="0.25">
      <c r="A749" s="51" t="str">
        <f t="shared" si="0"/>
        <v>/</v>
      </c>
      <c r="B749" s="2"/>
      <c r="C749" s="11"/>
      <c r="D749" s="11"/>
      <c r="E749" s="11"/>
      <c r="F749" s="11"/>
      <c r="G749" s="11"/>
      <c r="H749" s="11"/>
    </row>
    <row r="750" spans="1:8" ht="37.5" customHeight="1" x14ac:dyDescent="0.25">
      <c r="A750" s="51" t="str">
        <f t="shared" si="0"/>
        <v>/</v>
      </c>
      <c r="B750" s="2"/>
      <c r="C750" s="11"/>
      <c r="D750" s="11"/>
      <c r="E750" s="11"/>
      <c r="F750" s="11"/>
      <c r="G750" s="11"/>
      <c r="H750" s="11"/>
    </row>
    <row r="751" spans="1:8" ht="37.5" customHeight="1" x14ac:dyDescent="0.25">
      <c r="A751" s="51" t="str">
        <f t="shared" si="0"/>
        <v>/</v>
      </c>
      <c r="B751" s="2"/>
      <c r="C751" s="11"/>
      <c r="D751" s="11"/>
      <c r="E751" s="11"/>
      <c r="F751" s="11"/>
      <c r="G751" s="11"/>
      <c r="H751" s="11"/>
    </row>
    <row r="752" spans="1:8" ht="37.5" customHeight="1" x14ac:dyDescent="0.25">
      <c r="A752" s="51" t="str">
        <f t="shared" si="0"/>
        <v>/</v>
      </c>
      <c r="B752" s="2"/>
      <c r="C752" s="11"/>
      <c r="D752" s="11"/>
      <c r="E752" s="11"/>
      <c r="F752" s="11"/>
      <c r="G752" s="11"/>
      <c r="H752" s="11"/>
    </row>
    <row r="753" spans="1:8" ht="37.5" customHeight="1" x14ac:dyDescent="0.25">
      <c r="A753" s="51" t="str">
        <f t="shared" si="0"/>
        <v>/</v>
      </c>
      <c r="B753" s="2"/>
      <c r="C753" s="11"/>
      <c r="D753" s="11"/>
      <c r="E753" s="11"/>
      <c r="F753" s="11"/>
      <c r="G753" s="11"/>
      <c r="H753" s="11"/>
    </row>
    <row r="754" spans="1:8" ht="37.5" customHeight="1" x14ac:dyDescent="0.25">
      <c r="A754" s="51" t="str">
        <f t="shared" si="0"/>
        <v>/</v>
      </c>
      <c r="B754" s="2"/>
      <c r="C754" s="11"/>
      <c r="D754" s="11"/>
      <c r="E754" s="11"/>
      <c r="F754" s="11"/>
      <c r="G754" s="11"/>
      <c r="H754" s="11"/>
    </row>
    <row r="755" spans="1:8" ht="37.5" customHeight="1" x14ac:dyDescent="0.25">
      <c r="A755" s="51" t="str">
        <f t="shared" si="0"/>
        <v>/</v>
      </c>
      <c r="B755" s="2"/>
      <c r="C755" s="11"/>
      <c r="D755" s="11"/>
      <c r="E755" s="11"/>
      <c r="F755" s="11"/>
      <c r="G755" s="11"/>
      <c r="H755" s="11"/>
    </row>
    <row r="756" spans="1:8" ht="37.5" customHeight="1" x14ac:dyDescent="0.25">
      <c r="A756" s="51" t="str">
        <f t="shared" si="0"/>
        <v>/</v>
      </c>
      <c r="B756" s="2"/>
      <c r="C756" s="11"/>
      <c r="D756" s="11"/>
      <c r="E756" s="11"/>
      <c r="F756" s="11"/>
      <c r="G756" s="11"/>
      <c r="H756" s="11"/>
    </row>
    <row r="757" spans="1:8" ht="37.5" customHeight="1" x14ac:dyDescent="0.25">
      <c r="A757" s="51" t="str">
        <f t="shared" si="0"/>
        <v>/</v>
      </c>
      <c r="B757" s="2"/>
      <c r="C757" s="11"/>
      <c r="D757" s="11"/>
      <c r="E757" s="11"/>
      <c r="F757" s="11"/>
      <c r="G757" s="11"/>
      <c r="H757" s="11"/>
    </row>
    <row r="758" spans="1:8" ht="37.5" customHeight="1" x14ac:dyDescent="0.25">
      <c r="A758" s="51" t="str">
        <f t="shared" si="0"/>
        <v>/</v>
      </c>
      <c r="B758" s="2"/>
      <c r="C758" s="11"/>
      <c r="D758" s="11"/>
      <c r="E758" s="11"/>
      <c r="F758" s="11"/>
      <c r="G758" s="11"/>
      <c r="H758" s="11"/>
    </row>
    <row r="759" spans="1:8" ht="37.5" customHeight="1" x14ac:dyDescent="0.25">
      <c r="A759" s="51" t="str">
        <f t="shared" si="0"/>
        <v>/</v>
      </c>
      <c r="B759" s="2"/>
      <c r="C759" s="11"/>
      <c r="D759" s="11"/>
      <c r="E759" s="11"/>
      <c r="F759" s="11"/>
      <c r="G759" s="11"/>
      <c r="H759" s="11"/>
    </row>
    <row r="760" spans="1:8" ht="37.5" customHeight="1" x14ac:dyDescent="0.25">
      <c r="A760" s="51" t="str">
        <f t="shared" si="0"/>
        <v>/</v>
      </c>
      <c r="B760" s="2"/>
      <c r="C760" s="11"/>
      <c r="D760" s="11"/>
      <c r="E760" s="11"/>
      <c r="F760" s="11"/>
      <c r="G760" s="11"/>
      <c r="H760" s="11"/>
    </row>
    <row r="761" spans="1:8" ht="37.5" customHeight="1" x14ac:dyDescent="0.25">
      <c r="A761" s="51" t="str">
        <f t="shared" si="0"/>
        <v>/</v>
      </c>
      <c r="B761" s="2"/>
      <c r="C761" s="11"/>
      <c r="D761" s="11"/>
      <c r="E761" s="11"/>
      <c r="F761" s="11"/>
      <c r="G761" s="11"/>
      <c r="H761" s="11"/>
    </row>
    <row r="762" spans="1:8" ht="37.5" customHeight="1" x14ac:dyDescent="0.25">
      <c r="A762" s="51" t="str">
        <f t="shared" si="0"/>
        <v>/</v>
      </c>
      <c r="B762" s="2"/>
      <c r="C762" s="11"/>
      <c r="D762" s="11"/>
      <c r="E762" s="11"/>
      <c r="F762" s="11"/>
      <c r="G762" s="11"/>
      <c r="H762" s="11"/>
    </row>
    <row r="763" spans="1:8" ht="37.5" customHeight="1" x14ac:dyDescent="0.25">
      <c r="A763" s="51" t="str">
        <f t="shared" si="0"/>
        <v>/</v>
      </c>
      <c r="B763" s="2"/>
      <c r="C763" s="11"/>
      <c r="D763" s="11"/>
      <c r="E763" s="11"/>
      <c r="F763" s="11"/>
      <c r="G763" s="11"/>
      <c r="H763" s="11"/>
    </row>
    <row r="764" spans="1:8" ht="37.5" customHeight="1" x14ac:dyDescent="0.25">
      <c r="A764" s="51" t="str">
        <f t="shared" si="0"/>
        <v>/</v>
      </c>
      <c r="B764" s="2"/>
      <c r="C764" s="11"/>
      <c r="D764" s="11"/>
      <c r="E764" s="11"/>
      <c r="F764" s="11"/>
      <c r="G764" s="11"/>
      <c r="H764" s="11"/>
    </row>
    <row r="765" spans="1:8" ht="37.5" customHeight="1" x14ac:dyDescent="0.25">
      <c r="A765" s="51" t="str">
        <f t="shared" si="0"/>
        <v>/</v>
      </c>
      <c r="B765" s="2"/>
      <c r="C765" s="11"/>
      <c r="D765" s="11"/>
      <c r="E765" s="11"/>
      <c r="F765" s="11"/>
      <c r="G765" s="11"/>
      <c r="H765" s="11"/>
    </row>
    <row r="766" spans="1:8" ht="37.5" customHeight="1" x14ac:dyDescent="0.25">
      <c r="A766" s="51" t="str">
        <f t="shared" si="0"/>
        <v>/</v>
      </c>
      <c r="B766" s="2"/>
      <c r="C766" s="11"/>
      <c r="D766" s="11"/>
      <c r="E766" s="11"/>
      <c r="F766" s="11"/>
      <c r="G766" s="11"/>
      <c r="H766" s="11"/>
    </row>
    <row r="767" spans="1:8" ht="37.5" customHeight="1" x14ac:dyDescent="0.25">
      <c r="A767" s="51" t="str">
        <f t="shared" si="0"/>
        <v>/</v>
      </c>
      <c r="B767" s="2"/>
      <c r="C767" s="11"/>
      <c r="D767" s="11"/>
      <c r="E767" s="11"/>
      <c r="F767" s="11"/>
      <c r="G767" s="11"/>
      <c r="H767" s="11"/>
    </row>
    <row r="768" spans="1:8" ht="37.5" customHeight="1" x14ac:dyDescent="0.25">
      <c r="A768" s="51" t="str">
        <f t="shared" si="0"/>
        <v>/</v>
      </c>
      <c r="B768" s="2"/>
      <c r="C768" s="11"/>
      <c r="D768" s="11"/>
      <c r="E768" s="11"/>
      <c r="F768" s="11"/>
      <c r="G768" s="11"/>
      <c r="H768" s="11"/>
    </row>
    <row r="769" spans="1:8" ht="37.5" customHeight="1" x14ac:dyDescent="0.25">
      <c r="A769" s="51" t="str">
        <f t="shared" si="0"/>
        <v>/</v>
      </c>
      <c r="B769" s="2"/>
      <c r="C769" s="11"/>
      <c r="D769" s="11"/>
      <c r="E769" s="11"/>
      <c r="F769" s="11"/>
      <c r="G769" s="11"/>
      <c r="H769" s="11"/>
    </row>
    <row r="770" spans="1:8" ht="37.5" customHeight="1" x14ac:dyDescent="0.25">
      <c r="A770" s="51" t="str">
        <f t="shared" si="0"/>
        <v>/</v>
      </c>
      <c r="B770" s="2"/>
      <c r="C770" s="11"/>
      <c r="D770" s="11"/>
      <c r="E770" s="11"/>
      <c r="F770" s="11"/>
      <c r="G770" s="11"/>
      <c r="H770" s="11"/>
    </row>
    <row r="771" spans="1:8" ht="37.5" customHeight="1" x14ac:dyDescent="0.25">
      <c r="A771" s="51" t="str">
        <f t="shared" si="0"/>
        <v>/</v>
      </c>
      <c r="B771" s="2"/>
      <c r="C771" s="11"/>
      <c r="D771" s="11"/>
      <c r="E771" s="11"/>
      <c r="F771" s="11"/>
      <c r="G771" s="11"/>
      <c r="H771" s="11"/>
    </row>
    <row r="772" spans="1:8" ht="37.5" customHeight="1" x14ac:dyDescent="0.25">
      <c r="A772" s="51" t="str">
        <f t="shared" si="0"/>
        <v>/</v>
      </c>
      <c r="B772" s="2"/>
      <c r="C772" s="11"/>
      <c r="D772" s="11"/>
      <c r="E772" s="11"/>
      <c r="F772" s="11"/>
      <c r="G772" s="11"/>
      <c r="H772" s="11"/>
    </row>
    <row r="773" spans="1:8" ht="37.5" customHeight="1" x14ac:dyDescent="0.25">
      <c r="A773" s="51" t="str">
        <f t="shared" si="0"/>
        <v>/</v>
      </c>
      <c r="B773" s="2"/>
      <c r="C773" s="11"/>
      <c r="D773" s="11"/>
      <c r="E773" s="11"/>
      <c r="F773" s="11"/>
      <c r="G773" s="11"/>
      <c r="H773" s="11"/>
    </row>
    <row r="774" spans="1:8" ht="37.5" customHeight="1" x14ac:dyDescent="0.25">
      <c r="A774" s="51" t="str">
        <f t="shared" si="0"/>
        <v>/</v>
      </c>
      <c r="B774" s="2"/>
      <c r="C774" s="11"/>
      <c r="D774" s="11"/>
      <c r="E774" s="11"/>
      <c r="F774" s="11"/>
      <c r="G774" s="11"/>
      <c r="H774" s="11"/>
    </row>
    <row r="775" spans="1:8" ht="37.5" customHeight="1" x14ac:dyDescent="0.25">
      <c r="A775" s="51" t="str">
        <f t="shared" si="0"/>
        <v>/</v>
      </c>
      <c r="B775" s="2"/>
      <c r="C775" s="11"/>
      <c r="D775" s="11"/>
      <c r="E775" s="11"/>
      <c r="F775" s="11"/>
      <c r="G775" s="11"/>
      <c r="H775" s="11"/>
    </row>
    <row r="776" spans="1:8" ht="37.5" customHeight="1" x14ac:dyDescent="0.25">
      <c r="A776" s="51" t="str">
        <f t="shared" si="0"/>
        <v>/</v>
      </c>
      <c r="B776" s="2"/>
      <c r="C776" s="11"/>
      <c r="D776" s="11"/>
      <c r="E776" s="11"/>
      <c r="F776" s="11"/>
      <c r="G776" s="11"/>
      <c r="H776" s="11"/>
    </row>
    <row r="777" spans="1:8" ht="37.5" customHeight="1" x14ac:dyDescent="0.25">
      <c r="A777" s="51" t="str">
        <f t="shared" si="0"/>
        <v>/</v>
      </c>
      <c r="B777" s="2"/>
      <c r="C777" s="11"/>
      <c r="D777" s="11"/>
      <c r="E777" s="11"/>
      <c r="F777" s="11"/>
      <c r="G777" s="11"/>
      <c r="H777" s="11"/>
    </row>
    <row r="778" spans="1:8" ht="37.5" customHeight="1" x14ac:dyDescent="0.25">
      <c r="A778" s="51" t="str">
        <f t="shared" si="0"/>
        <v>/</v>
      </c>
      <c r="B778" s="2"/>
      <c r="C778" s="11"/>
      <c r="D778" s="11"/>
      <c r="E778" s="11"/>
      <c r="F778" s="11"/>
      <c r="G778" s="11"/>
      <c r="H778" s="11"/>
    </row>
    <row r="779" spans="1:8" ht="37.5" customHeight="1" x14ac:dyDescent="0.25">
      <c r="A779" s="51" t="str">
        <f t="shared" si="0"/>
        <v>/</v>
      </c>
      <c r="B779" s="2"/>
      <c r="C779" s="11"/>
      <c r="D779" s="11"/>
      <c r="E779" s="11"/>
      <c r="F779" s="11"/>
      <c r="G779" s="11"/>
      <c r="H779" s="11"/>
    </row>
    <row r="780" spans="1:8" ht="37.5" customHeight="1" x14ac:dyDescent="0.25">
      <c r="A780" s="51" t="str">
        <f t="shared" si="0"/>
        <v>/</v>
      </c>
      <c r="B780" s="2"/>
      <c r="C780" s="11"/>
      <c r="D780" s="11"/>
      <c r="E780" s="11"/>
      <c r="F780" s="11"/>
      <c r="G780" s="11"/>
      <c r="H780" s="11"/>
    </row>
    <row r="781" spans="1:8" ht="37.5" customHeight="1" x14ac:dyDescent="0.25">
      <c r="A781" s="51" t="str">
        <f t="shared" si="0"/>
        <v>/</v>
      </c>
      <c r="B781" s="2"/>
      <c r="C781" s="11"/>
      <c r="D781" s="11"/>
      <c r="E781" s="11"/>
      <c r="F781" s="11"/>
      <c r="G781" s="11"/>
      <c r="H781" s="11"/>
    </row>
    <row r="782" spans="1:8" ht="37.5" customHeight="1" x14ac:dyDescent="0.25">
      <c r="A782" s="51" t="str">
        <f t="shared" si="0"/>
        <v>/</v>
      </c>
      <c r="B782" s="2"/>
      <c r="C782" s="11"/>
      <c r="D782" s="11"/>
      <c r="E782" s="11"/>
      <c r="F782" s="11"/>
      <c r="G782" s="11"/>
      <c r="H782" s="11"/>
    </row>
    <row r="783" spans="1:8" ht="37.5" customHeight="1" x14ac:dyDescent="0.25">
      <c r="A783" s="51" t="str">
        <f t="shared" si="0"/>
        <v>/</v>
      </c>
      <c r="B783" s="2"/>
      <c r="C783" s="11"/>
      <c r="D783" s="11"/>
      <c r="E783" s="11"/>
      <c r="F783" s="11"/>
      <c r="G783" s="11"/>
      <c r="H783" s="11"/>
    </row>
    <row r="784" spans="1:8" ht="37.5" customHeight="1" x14ac:dyDescent="0.25">
      <c r="A784" s="51" t="str">
        <f t="shared" si="0"/>
        <v>/</v>
      </c>
      <c r="B784" s="2"/>
      <c r="C784" s="11"/>
      <c r="D784" s="11"/>
      <c r="E784" s="11"/>
      <c r="F784" s="11"/>
      <c r="G784" s="11"/>
      <c r="H784" s="11"/>
    </row>
    <row r="785" spans="1:8" ht="37.5" customHeight="1" x14ac:dyDescent="0.25">
      <c r="A785" s="51" t="str">
        <f t="shared" si="0"/>
        <v>/</v>
      </c>
      <c r="B785" s="2"/>
      <c r="C785" s="11"/>
      <c r="D785" s="11"/>
      <c r="E785" s="11"/>
      <c r="F785" s="11"/>
      <c r="G785" s="11"/>
      <c r="H785" s="11"/>
    </row>
    <row r="786" spans="1:8" ht="37.5" customHeight="1" x14ac:dyDescent="0.25">
      <c r="A786" s="51" t="str">
        <f t="shared" si="0"/>
        <v>/</v>
      </c>
      <c r="B786" s="2"/>
      <c r="C786" s="11"/>
      <c r="D786" s="11"/>
      <c r="E786" s="11"/>
      <c r="F786" s="11"/>
      <c r="G786" s="11"/>
      <c r="H786" s="11"/>
    </row>
    <row r="787" spans="1:8" ht="37.5" customHeight="1" x14ac:dyDescent="0.25">
      <c r="A787" s="51" t="str">
        <f t="shared" si="0"/>
        <v>/</v>
      </c>
      <c r="B787" s="2"/>
      <c r="C787" s="11"/>
      <c r="D787" s="11"/>
      <c r="E787" s="11"/>
      <c r="F787" s="11"/>
      <c r="G787" s="11"/>
      <c r="H787" s="11"/>
    </row>
    <row r="788" spans="1:8" ht="37.5" customHeight="1" x14ac:dyDescent="0.25">
      <c r="A788" s="51" t="str">
        <f t="shared" si="0"/>
        <v>/</v>
      </c>
      <c r="B788" s="2"/>
      <c r="C788" s="11"/>
      <c r="D788" s="11"/>
      <c r="E788" s="11"/>
      <c r="F788" s="11"/>
      <c r="G788" s="11"/>
      <c r="H788" s="11"/>
    </row>
    <row r="789" spans="1:8" ht="37.5" customHeight="1" x14ac:dyDescent="0.25">
      <c r="A789" s="51" t="str">
        <f t="shared" si="0"/>
        <v>/</v>
      </c>
      <c r="B789" s="2"/>
      <c r="C789" s="11"/>
      <c r="D789" s="11"/>
      <c r="E789" s="11"/>
      <c r="F789" s="11"/>
      <c r="G789" s="11"/>
      <c r="H789" s="11"/>
    </row>
    <row r="790" spans="1:8" ht="37.5" customHeight="1" x14ac:dyDescent="0.25">
      <c r="A790" s="51" t="str">
        <f t="shared" si="0"/>
        <v>/</v>
      </c>
      <c r="B790" s="2"/>
      <c r="C790" s="11"/>
      <c r="D790" s="11"/>
      <c r="E790" s="11"/>
      <c r="F790" s="11"/>
      <c r="G790" s="11"/>
      <c r="H790" s="11"/>
    </row>
    <row r="791" spans="1:8" ht="37.5" customHeight="1" x14ac:dyDescent="0.25">
      <c r="A791" s="51" t="str">
        <f t="shared" si="0"/>
        <v>/</v>
      </c>
      <c r="B791" s="2"/>
      <c r="C791" s="11"/>
      <c r="D791" s="11"/>
      <c r="E791" s="11"/>
      <c r="F791" s="11"/>
      <c r="G791" s="11"/>
      <c r="H791" s="11"/>
    </row>
    <row r="792" spans="1:8" ht="37.5" customHeight="1" x14ac:dyDescent="0.25">
      <c r="A792" s="51" t="str">
        <f t="shared" si="0"/>
        <v>/</v>
      </c>
      <c r="B792" s="2"/>
      <c r="C792" s="11"/>
      <c r="D792" s="11"/>
      <c r="E792" s="11"/>
      <c r="F792" s="11"/>
      <c r="G792" s="11"/>
      <c r="H792" s="11"/>
    </row>
    <row r="793" spans="1:8" ht="37.5" customHeight="1" x14ac:dyDescent="0.25">
      <c r="A793" s="51" t="str">
        <f t="shared" si="0"/>
        <v>/</v>
      </c>
      <c r="B793" s="2"/>
      <c r="C793" s="11"/>
      <c r="D793" s="11"/>
      <c r="E793" s="11"/>
      <c r="F793" s="11"/>
      <c r="G793" s="11"/>
      <c r="H793" s="11"/>
    </row>
    <row r="794" spans="1:8" ht="37.5" customHeight="1" x14ac:dyDescent="0.25">
      <c r="A794" s="51" t="str">
        <f t="shared" si="0"/>
        <v>/</v>
      </c>
      <c r="B794" s="2"/>
      <c r="C794" s="11"/>
      <c r="D794" s="11"/>
      <c r="E794" s="11"/>
      <c r="F794" s="11"/>
      <c r="G794" s="11"/>
      <c r="H794" s="11"/>
    </row>
    <row r="795" spans="1:8" ht="37.5" customHeight="1" x14ac:dyDescent="0.25">
      <c r="A795" s="51" t="str">
        <f t="shared" si="0"/>
        <v>/</v>
      </c>
      <c r="B795" s="2"/>
      <c r="C795" s="11"/>
      <c r="D795" s="11"/>
      <c r="E795" s="11"/>
      <c r="F795" s="11"/>
      <c r="G795" s="11"/>
      <c r="H795" s="11"/>
    </row>
    <row r="796" spans="1:8" ht="37.5" customHeight="1" x14ac:dyDescent="0.25">
      <c r="A796" s="51" t="str">
        <f t="shared" si="0"/>
        <v>/</v>
      </c>
      <c r="B796" s="2"/>
      <c r="C796" s="11"/>
      <c r="D796" s="11"/>
      <c r="E796" s="11"/>
      <c r="F796" s="11"/>
      <c r="G796" s="11"/>
      <c r="H796" s="11"/>
    </row>
    <row r="797" spans="1:8" ht="37.5" customHeight="1" x14ac:dyDescent="0.25">
      <c r="A797" s="51" t="str">
        <f t="shared" si="0"/>
        <v>/</v>
      </c>
      <c r="B797" s="2"/>
      <c r="C797" s="11"/>
      <c r="D797" s="11"/>
      <c r="E797" s="11"/>
      <c r="F797" s="11"/>
      <c r="G797" s="11"/>
      <c r="H797" s="11"/>
    </row>
    <row r="798" spans="1:8" ht="37.5" customHeight="1" x14ac:dyDescent="0.25">
      <c r="A798" s="51" t="str">
        <f t="shared" si="0"/>
        <v>/</v>
      </c>
      <c r="B798" s="2"/>
      <c r="C798" s="11"/>
      <c r="D798" s="11"/>
      <c r="E798" s="11"/>
      <c r="F798" s="11"/>
      <c r="G798" s="11"/>
      <c r="H798" s="11"/>
    </row>
    <row r="799" spans="1:8" ht="37.5" customHeight="1" x14ac:dyDescent="0.25">
      <c r="A799" s="51" t="str">
        <f t="shared" si="0"/>
        <v>/</v>
      </c>
      <c r="B799" s="2"/>
      <c r="C799" s="11"/>
      <c r="D799" s="11"/>
      <c r="E799" s="11"/>
      <c r="F799" s="11"/>
      <c r="G799" s="11"/>
      <c r="H799" s="11"/>
    </row>
    <row r="800" spans="1:8" ht="37.5" customHeight="1" x14ac:dyDescent="0.25">
      <c r="A800" s="51" t="str">
        <f t="shared" si="0"/>
        <v>/</v>
      </c>
      <c r="B800" s="2"/>
      <c r="C800" s="11"/>
      <c r="D800" s="11"/>
      <c r="E800" s="11"/>
      <c r="F800" s="11"/>
      <c r="G800" s="11"/>
      <c r="H800" s="11"/>
    </row>
    <row r="801" spans="1:8" ht="37.5" customHeight="1" x14ac:dyDescent="0.25">
      <c r="A801" s="51" t="str">
        <f t="shared" si="0"/>
        <v>/</v>
      </c>
      <c r="B801" s="2"/>
      <c r="C801" s="11"/>
      <c r="D801" s="11"/>
      <c r="E801" s="11"/>
      <c r="F801" s="11"/>
      <c r="G801" s="11"/>
      <c r="H801" s="11"/>
    </row>
    <row r="802" spans="1:8" ht="37.5" customHeight="1" x14ac:dyDescent="0.25">
      <c r="A802" s="51" t="str">
        <f t="shared" si="0"/>
        <v>/</v>
      </c>
      <c r="B802" s="2"/>
      <c r="C802" s="11"/>
      <c r="D802" s="11"/>
      <c r="E802" s="11"/>
      <c r="F802" s="11"/>
      <c r="G802" s="11"/>
      <c r="H802" s="11"/>
    </row>
    <row r="803" spans="1:8" ht="37.5" customHeight="1" x14ac:dyDescent="0.25">
      <c r="A803" s="51" t="str">
        <f t="shared" si="0"/>
        <v>/</v>
      </c>
      <c r="B803" s="2"/>
      <c r="C803" s="11"/>
      <c r="D803" s="11"/>
      <c r="E803" s="11"/>
      <c r="F803" s="11"/>
      <c r="G803" s="11"/>
      <c r="H803" s="11"/>
    </row>
    <row r="804" spans="1:8" ht="37.5" customHeight="1" x14ac:dyDescent="0.25">
      <c r="A804" s="51" t="str">
        <f t="shared" si="0"/>
        <v>/</v>
      </c>
      <c r="B804" s="2"/>
      <c r="C804" s="11"/>
      <c r="D804" s="11"/>
      <c r="E804" s="11"/>
      <c r="F804" s="11"/>
      <c r="G804" s="11"/>
      <c r="H804" s="11"/>
    </row>
    <row r="805" spans="1:8" ht="37.5" customHeight="1" x14ac:dyDescent="0.25">
      <c r="A805" s="51" t="str">
        <f t="shared" si="0"/>
        <v>/</v>
      </c>
      <c r="B805" s="2"/>
      <c r="C805" s="11"/>
      <c r="D805" s="11"/>
      <c r="E805" s="11"/>
      <c r="F805" s="11"/>
      <c r="G805" s="11"/>
      <c r="H805" s="11"/>
    </row>
    <row r="806" spans="1:8" ht="37.5" customHeight="1" x14ac:dyDescent="0.25">
      <c r="A806" s="51" t="str">
        <f t="shared" si="0"/>
        <v>/</v>
      </c>
      <c r="B806" s="2"/>
      <c r="C806" s="11"/>
      <c r="D806" s="11"/>
      <c r="E806" s="11"/>
      <c r="F806" s="11"/>
      <c r="G806" s="11"/>
      <c r="H806" s="11"/>
    </row>
    <row r="807" spans="1:8" ht="37.5" customHeight="1" x14ac:dyDescent="0.25">
      <c r="A807" s="51" t="str">
        <f t="shared" si="0"/>
        <v>/</v>
      </c>
      <c r="B807" s="2"/>
      <c r="C807" s="11"/>
      <c r="D807" s="11"/>
      <c r="E807" s="11"/>
      <c r="F807" s="11"/>
      <c r="G807" s="11"/>
      <c r="H807" s="11"/>
    </row>
    <row r="808" spans="1:8" ht="37.5" customHeight="1" x14ac:dyDescent="0.25">
      <c r="A808" s="51" t="str">
        <f t="shared" si="0"/>
        <v>/</v>
      </c>
      <c r="B808" s="2"/>
      <c r="C808" s="11"/>
      <c r="D808" s="11"/>
      <c r="E808" s="11"/>
      <c r="F808" s="11"/>
      <c r="G808" s="11"/>
      <c r="H808" s="11"/>
    </row>
    <row r="809" spans="1:8" ht="37.5" customHeight="1" x14ac:dyDescent="0.25">
      <c r="A809" s="51" t="str">
        <f t="shared" si="0"/>
        <v>/</v>
      </c>
      <c r="B809" s="2"/>
      <c r="C809" s="11"/>
      <c r="D809" s="11"/>
      <c r="E809" s="11"/>
      <c r="F809" s="11"/>
      <c r="G809" s="11"/>
      <c r="H809" s="11"/>
    </row>
    <row r="810" spans="1:8" ht="37.5" customHeight="1" x14ac:dyDescent="0.25">
      <c r="A810" s="51" t="str">
        <f t="shared" si="0"/>
        <v>/</v>
      </c>
      <c r="B810" s="2"/>
      <c r="C810" s="11"/>
      <c r="D810" s="11"/>
      <c r="E810" s="11"/>
      <c r="F810" s="11"/>
      <c r="G810" s="11"/>
      <c r="H810" s="11"/>
    </row>
    <row r="811" spans="1:8" ht="37.5" customHeight="1" x14ac:dyDescent="0.25">
      <c r="A811" s="51" t="str">
        <f t="shared" si="0"/>
        <v>/</v>
      </c>
      <c r="B811" s="2"/>
      <c r="C811" s="11"/>
      <c r="D811" s="11"/>
      <c r="E811" s="11"/>
      <c r="F811" s="11"/>
      <c r="G811" s="11"/>
      <c r="H811" s="11"/>
    </row>
    <row r="812" spans="1:8" ht="37.5" customHeight="1" x14ac:dyDescent="0.25">
      <c r="A812" s="51" t="str">
        <f t="shared" si="0"/>
        <v>/</v>
      </c>
      <c r="B812" s="2"/>
      <c r="C812" s="11"/>
      <c r="D812" s="11"/>
      <c r="E812" s="11"/>
      <c r="F812" s="11"/>
      <c r="G812" s="11"/>
      <c r="H812" s="11"/>
    </row>
    <row r="813" spans="1:8" ht="37.5" customHeight="1" x14ac:dyDescent="0.25">
      <c r="A813" s="51" t="str">
        <f t="shared" si="0"/>
        <v>/</v>
      </c>
      <c r="B813" s="2"/>
      <c r="C813" s="11"/>
      <c r="D813" s="11"/>
      <c r="E813" s="11"/>
      <c r="F813" s="11"/>
      <c r="G813" s="11"/>
      <c r="H813" s="11"/>
    </row>
    <row r="814" spans="1:8" ht="37.5" customHeight="1" x14ac:dyDescent="0.25">
      <c r="A814" s="51" t="str">
        <f t="shared" si="0"/>
        <v>/</v>
      </c>
      <c r="B814" s="2"/>
      <c r="C814" s="11"/>
      <c r="D814" s="11"/>
      <c r="E814" s="11"/>
      <c r="F814" s="11"/>
      <c r="G814" s="11"/>
      <c r="H814" s="11"/>
    </row>
    <row r="815" spans="1:8" ht="37.5" customHeight="1" x14ac:dyDescent="0.25">
      <c r="A815" s="51" t="str">
        <f t="shared" si="0"/>
        <v>/</v>
      </c>
      <c r="B815" s="2"/>
      <c r="C815" s="11"/>
      <c r="D815" s="11"/>
      <c r="E815" s="11"/>
      <c r="F815" s="11"/>
      <c r="G815" s="11"/>
      <c r="H815" s="11"/>
    </row>
    <row r="816" spans="1:8" ht="37.5" customHeight="1" x14ac:dyDescent="0.25">
      <c r="A816" s="51" t="str">
        <f t="shared" si="0"/>
        <v>/</v>
      </c>
      <c r="B816" s="2"/>
      <c r="C816" s="11"/>
      <c r="D816" s="11"/>
      <c r="E816" s="11"/>
      <c r="F816" s="11"/>
      <c r="G816" s="11"/>
      <c r="H816" s="11"/>
    </row>
    <row r="817" spans="1:8" ht="37.5" customHeight="1" x14ac:dyDescent="0.25">
      <c r="A817" s="51" t="str">
        <f t="shared" si="0"/>
        <v>/</v>
      </c>
      <c r="B817" s="2"/>
      <c r="C817" s="11"/>
      <c r="D817" s="11"/>
      <c r="E817" s="11"/>
      <c r="F817" s="11"/>
      <c r="G817" s="11"/>
      <c r="H817" s="11"/>
    </row>
    <row r="818" spans="1:8" ht="37.5" customHeight="1" x14ac:dyDescent="0.25">
      <c r="A818" s="51" t="str">
        <f t="shared" si="0"/>
        <v>/</v>
      </c>
      <c r="B818" s="2"/>
      <c r="C818" s="11"/>
      <c r="D818" s="11"/>
      <c r="E818" s="11"/>
      <c r="F818" s="11"/>
      <c r="G818" s="11"/>
      <c r="H818" s="11"/>
    </row>
    <row r="819" spans="1:8" ht="37.5" customHeight="1" x14ac:dyDescent="0.25">
      <c r="A819" s="51" t="str">
        <f t="shared" si="0"/>
        <v>/</v>
      </c>
      <c r="B819" s="2"/>
      <c r="C819" s="11"/>
      <c r="D819" s="11"/>
      <c r="E819" s="11"/>
      <c r="F819" s="11"/>
      <c r="G819" s="11"/>
      <c r="H819" s="11"/>
    </row>
    <row r="820" spans="1:8" ht="37.5" customHeight="1" x14ac:dyDescent="0.25">
      <c r="A820" s="51" t="str">
        <f t="shared" si="0"/>
        <v>/</v>
      </c>
      <c r="B820" s="2"/>
      <c r="C820" s="11"/>
      <c r="D820" s="11"/>
      <c r="E820" s="11"/>
      <c r="F820" s="11"/>
      <c r="G820" s="11"/>
      <c r="H820" s="11"/>
    </row>
    <row r="821" spans="1:8" ht="37.5" customHeight="1" x14ac:dyDescent="0.25">
      <c r="A821" s="51" t="str">
        <f t="shared" si="0"/>
        <v>/</v>
      </c>
      <c r="B821" s="2"/>
      <c r="C821" s="11"/>
      <c r="D821" s="11"/>
      <c r="E821" s="11"/>
      <c r="F821" s="11"/>
      <c r="G821" s="11"/>
      <c r="H821" s="11"/>
    </row>
    <row r="822" spans="1:8" ht="37.5" customHeight="1" x14ac:dyDescent="0.25">
      <c r="A822" s="51" t="str">
        <f t="shared" si="0"/>
        <v>/</v>
      </c>
      <c r="B822" s="2"/>
      <c r="C822" s="11"/>
      <c r="D822" s="11"/>
      <c r="E822" s="11"/>
      <c r="F822" s="11"/>
      <c r="G822" s="11"/>
      <c r="H822" s="11"/>
    </row>
    <row r="823" spans="1:8" ht="37.5" customHeight="1" x14ac:dyDescent="0.25">
      <c r="A823" s="51" t="str">
        <f t="shared" si="0"/>
        <v>/</v>
      </c>
      <c r="B823" s="2"/>
      <c r="C823" s="11"/>
      <c r="D823" s="11"/>
      <c r="E823" s="11"/>
      <c r="F823" s="11"/>
      <c r="G823" s="11"/>
      <c r="H823" s="11"/>
    </row>
    <row r="824" spans="1:8" ht="37.5" customHeight="1" x14ac:dyDescent="0.25">
      <c r="A824" s="51" t="str">
        <f t="shared" si="0"/>
        <v>/</v>
      </c>
      <c r="B824" s="2"/>
      <c r="C824" s="11"/>
      <c r="D824" s="11"/>
      <c r="E824" s="11"/>
      <c r="F824" s="11"/>
      <c r="G824" s="11"/>
      <c r="H824" s="11"/>
    </row>
    <row r="825" spans="1:8" ht="37.5" customHeight="1" x14ac:dyDescent="0.25">
      <c r="A825" s="51" t="str">
        <f t="shared" si="0"/>
        <v>/</v>
      </c>
      <c r="B825" s="2"/>
      <c r="C825" s="11"/>
      <c r="D825" s="11"/>
      <c r="E825" s="11"/>
      <c r="F825" s="11"/>
      <c r="G825" s="11"/>
      <c r="H825" s="11"/>
    </row>
    <row r="826" spans="1:8" ht="37.5" customHeight="1" x14ac:dyDescent="0.25">
      <c r="A826" s="51" t="str">
        <f t="shared" si="0"/>
        <v>/</v>
      </c>
      <c r="B826" s="2"/>
      <c r="C826" s="11"/>
      <c r="D826" s="11"/>
      <c r="E826" s="11"/>
      <c r="F826" s="11"/>
      <c r="G826" s="11"/>
      <c r="H826" s="11"/>
    </row>
    <row r="827" spans="1:8" ht="37.5" customHeight="1" x14ac:dyDescent="0.25">
      <c r="A827" s="51" t="str">
        <f t="shared" si="0"/>
        <v>/</v>
      </c>
      <c r="B827" s="2"/>
      <c r="C827" s="11"/>
      <c r="D827" s="11"/>
      <c r="E827" s="11"/>
      <c r="F827" s="11"/>
      <c r="G827" s="11"/>
      <c r="H827" s="11"/>
    </row>
    <row r="828" spans="1:8" ht="37.5" customHeight="1" x14ac:dyDescent="0.25">
      <c r="A828" s="51" t="str">
        <f t="shared" si="0"/>
        <v>/</v>
      </c>
      <c r="B828" s="2"/>
      <c r="C828" s="11"/>
      <c r="D828" s="11"/>
      <c r="E828" s="11"/>
      <c r="F828" s="11"/>
      <c r="G828" s="11"/>
      <c r="H828" s="11"/>
    </row>
    <row r="829" spans="1:8" ht="37.5" customHeight="1" x14ac:dyDescent="0.25">
      <c r="A829" s="51" t="str">
        <f t="shared" si="0"/>
        <v>/</v>
      </c>
      <c r="B829" s="2"/>
      <c r="C829" s="11"/>
      <c r="D829" s="11"/>
      <c r="E829" s="11"/>
      <c r="F829" s="11"/>
      <c r="G829" s="11"/>
      <c r="H829" s="11"/>
    </row>
    <row r="830" spans="1:8" ht="37.5" customHeight="1" x14ac:dyDescent="0.25">
      <c r="A830" s="51" t="str">
        <f t="shared" si="0"/>
        <v>/</v>
      </c>
      <c r="B830" s="2"/>
      <c r="C830" s="11"/>
      <c r="D830" s="11"/>
      <c r="E830" s="11"/>
      <c r="F830" s="11"/>
      <c r="G830" s="11"/>
      <c r="H830" s="11"/>
    </row>
    <row r="831" spans="1:8" ht="37.5" customHeight="1" x14ac:dyDescent="0.25">
      <c r="A831" s="51" t="str">
        <f t="shared" si="0"/>
        <v>/</v>
      </c>
      <c r="B831" s="2"/>
      <c r="C831" s="11"/>
      <c r="D831" s="11"/>
      <c r="E831" s="11"/>
      <c r="F831" s="11"/>
      <c r="G831" s="11"/>
      <c r="H831" s="11"/>
    </row>
    <row r="832" spans="1:8" ht="37.5" customHeight="1" x14ac:dyDescent="0.25">
      <c r="A832" s="51" t="str">
        <f t="shared" si="0"/>
        <v>/</v>
      </c>
      <c r="B832" s="2"/>
      <c r="C832" s="11"/>
      <c r="D832" s="11"/>
      <c r="E832" s="11"/>
      <c r="F832" s="11"/>
      <c r="G832" s="11"/>
      <c r="H832" s="11"/>
    </row>
    <row r="833" spans="1:8" ht="37.5" customHeight="1" x14ac:dyDescent="0.25">
      <c r="A833" s="51" t="str">
        <f t="shared" si="0"/>
        <v>/</v>
      </c>
      <c r="B833" s="2"/>
      <c r="C833" s="11"/>
      <c r="D833" s="11"/>
      <c r="E833" s="11"/>
      <c r="F833" s="11"/>
      <c r="G833" s="11"/>
      <c r="H833" s="11"/>
    </row>
    <row r="834" spans="1:8" ht="37.5" customHeight="1" x14ac:dyDescent="0.25">
      <c r="A834" s="51" t="str">
        <f t="shared" si="0"/>
        <v>/</v>
      </c>
      <c r="B834" s="2"/>
      <c r="C834" s="11"/>
      <c r="D834" s="11"/>
      <c r="E834" s="11"/>
      <c r="F834" s="11"/>
      <c r="G834" s="11"/>
      <c r="H834" s="11"/>
    </row>
    <row r="835" spans="1:8" ht="37.5" customHeight="1" x14ac:dyDescent="0.25">
      <c r="A835" s="51" t="str">
        <f t="shared" si="0"/>
        <v>/</v>
      </c>
      <c r="B835" s="2"/>
      <c r="C835" s="11"/>
      <c r="D835" s="11"/>
      <c r="E835" s="11"/>
      <c r="F835" s="11"/>
      <c r="G835" s="11"/>
      <c r="H835" s="11"/>
    </row>
    <row r="836" spans="1:8" ht="37.5" customHeight="1" x14ac:dyDescent="0.25">
      <c r="A836" s="51" t="str">
        <f t="shared" si="0"/>
        <v>/</v>
      </c>
      <c r="B836" s="2"/>
      <c r="C836" s="11"/>
      <c r="D836" s="11"/>
      <c r="E836" s="11"/>
      <c r="F836" s="11"/>
      <c r="G836" s="11"/>
      <c r="H836" s="11"/>
    </row>
    <row r="837" spans="1:8" ht="37.5" customHeight="1" x14ac:dyDescent="0.25">
      <c r="A837" s="51" t="str">
        <f t="shared" si="0"/>
        <v>/</v>
      </c>
      <c r="B837" s="2"/>
      <c r="C837" s="11"/>
      <c r="D837" s="11"/>
      <c r="E837" s="11"/>
      <c r="F837" s="11"/>
      <c r="G837" s="11"/>
      <c r="H837" s="11"/>
    </row>
    <row r="838" spans="1:8" ht="37.5" customHeight="1" x14ac:dyDescent="0.25">
      <c r="A838" s="51" t="str">
        <f t="shared" si="0"/>
        <v>/</v>
      </c>
      <c r="B838" s="2"/>
      <c r="C838" s="11"/>
      <c r="D838" s="11"/>
      <c r="E838" s="11"/>
      <c r="F838" s="11"/>
      <c r="G838" s="11"/>
      <c r="H838" s="11"/>
    </row>
    <row r="839" spans="1:8" ht="37.5" customHeight="1" x14ac:dyDescent="0.25">
      <c r="A839" s="51" t="str">
        <f t="shared" si="0"/>
        <v>/</v>
      </c>
      <c r="B839" s="2"/>
      <c r="C839" s="11"/>
      <c r="D839" s="11"/>
      <c r="E839" s="11"/>
      <c r="F839" s="11"/>
      <c r="G839" s="11"/>
      <c r="H839" s="11"/>
    </row>
    <row r="840" spans="1:8" ht="37.5" customHeight="1" x14ac:dyDescent="0.25">
      <c r="A840" s="51" t="str">
        <f t="shared" si="0"/>
        <v>/</v>
      </c>
      <c r="B840" s="2"/>
      <c r="C840" s="11"/>
      <c r="D840" s="11"/>
      <c r="E840" s="11"/>
      <c r="F840" s="11"/>
      <c r="G840" s="11"/>
      <c r="H840" s="11"/>
    </row>
    <row r="841" spans="1:8" ht="37.5" customHeight="1" x14ac:dyDescent="0.25">
      <c r="A841" s="51" t="str">
        <f t="shared" si="0"/>
        <v>/</v>
      </c>
      <c r="B841" s="2"/>
      <c r="C841" s="11"/>
      <c r="D841" s="11"/>
      <c r="E841" s="11"/>
      <c r="F841" s="11"/>
      <c r="G841" s="11"/>
      <c r="H841" s="11"/>
    </row>
    <row r="842" spans="1:8" ht="37.5" customHeight="1" x14ac:dyDescent="0.25">
      <c r="A842" s="51" t="str">
        <f t="shared" si="0"/>
        <v>/</v>
      </c>
      <c r="B842" s="2"/>
      <c r="C842" s="11"/>
      <c r="D842" s="11"/>
      <c r="E842" s="11"/>
      <c r="F842" s="11"/>
      <c r="G842" s="11"/>
      <c r="H842" s="11"/>
    </row>
    <row r="843" spans="1:8" ht="37.5" customHeight="1" x14ac:dyDescent="0.25">
      <c r="A843" s="51" t="str">
        <f t="shared" si="0"/>
        <v>/</v>
      </c>
      <c r="B843" s="2"/>
      <c r="C843" s="11"/>
      <c r="D843" s="11"/>
      <c r="E843" s="11"/>
      <c r="F843" s="11"/>
      <c r="G843" s="11"/>
      <c r="H843" s="11"/>
    </row>
    <row r="844" spans="1:8" ht="37.5" customHeight="1" x14ac:dyDescent="0.25">
      <c r="A844" s="51" t="str">
        <f t="shared" si="0"/>
        <v>/</v>
      </c>
      <c r="B844" s="2"/>
      <c r="C844" s="11"/>
      <c r="D844" s="11"/>
      <c r="E844" s="11"/>
      <c r="F844" s="11"/>
      <c r="G844" s="11"/>
      <c r="H844" s="11"/>
    </row>
    <row r="845" spans="1:8" ht="37.5" customHeight="1" x14ac:dyDescent="0.25">
      <c r="A845" s="51" t="str">
        <f t="shared" si="0"/>
        <v>/</v>
      </c>
      <c r="B845" s="2"/>
      <c r="C845" s="11"/>
      <c r="D845" s="11"/>
      <c r="E845" s="11"/>
      <c r="F845" s="11"/>
      <c r="G845" s="11"/>
      <c r="H845" s="11"/>
    </row>
    <row r="846" spans="1:8" ht="37.5" customHeight="1" x14ac:dyDescent="0.25">
      <c r="A846" s="51" t="str">
        <f t="shared" si="0"/>
        <v>/</v>
      </c>
      <c r="B846" s="2"/>
      <c r="C846" s="11"/>
      <c r="D846" s="11"/>
      <c r="E846" s="11"/>
      <c r="F846" s="11"/>
      <c r="G846" s="11"/>
      <c r="H846" s="11"/>
    </row>
    <row r="847" spans="1:8" ht="37.5" customHeight="1" x14ac:dyDescent="0.25">
      <c r="A847" s="51" t="str">
        <f t="shared" si="0"/>
        <v>/</v>
      </c>
      <c r="B847" s="2"/>
      <c r="C847" s="11"/>
      <c r="D847" s="11"/>
      <c r="E847" s="11"/>
      <c r="F847" s="11"/>
      <c r="G847" s="11"/>
      <c r="H847" s="11"/>
    </row>
    <row r="848" spans="1:8" ht="37.5" customHeight="1" x14ac:dyDescent="0.25">
      <c r="A848" s="51" t="str">
        <f t="shared" si="0"/>
        <v>/</v>
      </c>
      <c r="B848" s="2"/>
      <c r="C848" s="11"/>
      <c r="D848" s="11"/>
      <c r="E848" s="11"/>
      <c r="F848" s="11"/>
      <c r="G848" s="11"/>
      <c r="H848" s="11"/>
    </row>
    <row r="849" spans="1:8" ht="37.5" customHeight="1" x14ac:dyDescent="0.25">
      <c r="A849" s="51" t="str">
        <f t="shared" si="0"/>
        <v>/</v>
      </c>
      <c r="B849" s="2"/>
      <c r="C849" s="11"/>
      <c r="D849" s="11"/>
      <c r="E849" s="11"/>
      <c r="F849" s="11"/>
      <c r="G849" s="11"/>
      <c r="H849" s="11"/>
    </row>
    <row r="850" spans="1:8" ht="37.5" customHeight="1" x14ac:dyDescent="0.25">
      <c r="A850" s="51" t="str">
        <f t="shared" si="0"/>
        <v>/</v>
      </c>
      <c r="B850" s="2"/>
      <c r="C850" s="11"/>
      <c r="D850" s="11"/>
      <c r="E850" s="11"/>
      <c r="F850" s="11"/>
      <c r="G850" s="11"/>
      <c r="H850" s="11"/>
    </row>
    <row r="851" spans="1:8" ht="37.5" customHeight="1" x14ac:dyDescent="0.25">
      <c r="A851" s="51" t="str">
        <f t="shared" si="0"/>
        <v>/</v>
      </c>
      <c r="B851" s="2"/>
      <c r="C851" s="11"/>
      <c r="D851" s="11"/>
      <c r="E851" s="11"/>
      <c r="F851" s="11"/>
      <c r="G851" s="11"/>
      <c r="H851" s="11"/>
    </row>
    <row r="852" spans="1:8" ht="37.5" customHeight="1" x14ac:dyDescent="0.25">
      <c r="A852" s="51" t="str">
        <f t="shared" si="0"/>
        <v>/</v>
      </c>
      <c r="B852" s="2"/>
      <c r="C852" s="11"/>
      <c r="D852" s="11"/>
      <c r="E852" s="11"/>
      <c r="F852" s="11"/>
      <c r="G852" s="11"/>
      <c r="H852" s="11"/>
    </row>
    <row r="853" spans="1:8" ht="37.5" customHeight="1" x14ac:dyDescent="0.25">
      <c r="A853" s="51" t="str">
        <f t="shared" si="0"/>
        <v>/</v>
      </c>
      <c r="B853" s="2"/>
      <c r="C853" s="11"/>
      <c r="D853" s="11"/>
      <c r="E853" s="11"/>
      <c r="F853" s="11"/>
      <c r="G853" s="11"/>
      <c r="H853" s="11"/>
    </row>
    <row r="854" spans="1:8" ht="37.5" customHeight="1" x14ac:dyDescent="0.25">
      <c r="A854" s="51" t="str">
        <f t="shared" si="0"/>
        <v>/</v>
      </c>
      <c r="B854" s="2"/>
      <c r="C854" s="11"/>
      <c r="D854" s="11"/>
      <c r="E854" s="11"/>
      <c r="F854" s="11"/>
      <c r="G854" s="11"/>
      <c r="H854" s="11"/>
    </row>
    <row r="855" spans="1:8" ht="37.5" customHeight="1" x14ac:dyDescent="0.25">
      <c r="A855" s="51" t="str">
        <f t="shared" si="0"/>
        <v>/</v>
      </c>
      <c r="B855" s="2"/>
      <c r="C855" s="11"/>
      <c r="D855" s="11"/>
      <c r="E855" s="11"/>
      <c r="F855" s="11"/>
      <c r="G855" s="11"/>
      <c r="H855" s="11"/>
    </row>
    <row r="856" spans="1:8" ht="37.5" customHeight="1" x14ac:dyDescent="0.25">
      <c r="A856" s="51" t="str">
        <f t="shared" si="0"/>
        <v>/</v>
      </c>
      <c r="B856" s="2"/>
      <c r="C856" s="11"/>
      <c r="D856" s="11"/>
      <c r="E856" s="11"/>
      <c r="F856" s="11"/>
      <c r="G856" s="11"/>
      <c r="H856" s="11"/>
    </row>
    <row r="857" spans="1:8" ht="37.5" customHeight="1" x14ac:dyDescent="0.25">
      <c r="A857" s="51" t="str">
        <f t="shared" si="0"/>
        <v>/</v>
      </c>
      <c r="B857" s="2"/>
      <c r="C857" s="11"/>
      <c r="D857" s="11"/>
      <c r="E857" s="11"/>
      <c r="F857" s="11"/>
      <c r="G857" s="11"/>
      <c r="H857" s="11"/>
    </row>
    <row r="858" spans="1:8" ht="37.5" customHeight="1" x14ac:dyDescent="0.25">
      <c r="A858" s="51" t="str">
        <f t="shared" si="0"/>
        <v>/</v>
      </c>
      <c r="B858" s="2"/>
      <c r="C858" s="11"/>
      <c r="D858" s="11"/>
      <c r="E858" s="11"/>
      <c r="F858" s="11"/>
      <c r="G858" s="11"/>
      <c r="H858" s="11"/>
    </row>
    <row r="859" spans="1:8" ht="37.5" customHeight="1" x14ac:dyDescent="0.25">
      <c r="A859" s="51" t="str">
        <f t="shared" si="0"/>
        <v>/</v>
      </c>
      <c r="B859" s="2"/>
      <c r="C859" s="11"/>
      <c r="D859" s="11"/>
      <c r="E859" s="11"/>
      <c r="F859" s="11"/>
      <c r="G859" s="11"/>
      <c r="H859" s="11"/>
    </row>
    <row r="860" spans="1:8" ht="37.5" customHeight="1" x14ac:dyDescent="0.25">
      <c r="A860" s="51" t="str">
        <f t="shared" si="0"/>
        <v>/</v>
      </c>
      <c r="B860" s="2"/>
      <c r="C860" s="11"/>
      <c r="D860" s="11"/>
      <c r="E860" s="11"/>
      <c r="F860" s="11"/>
      <c r="G860" s="11"/>
      <c r="H860" s="11"/>
    </row>
    <row r="861" spans="1:8" ht="37.5" customHeight="1" x14ac:dyDescent="0.25">
      <c r="A861" s="51" t="str">
        <f t="shared" si="0"/>
        <v>/</v>
      </c>
      <c r="B861" s="2"/>
      <c r="C861" s="11"/>
      <c r="D861" s="11"/>
      <c r="E861" s="11"/>
      <c r="F861" s="11"/>
      <c r="G861" s="11"/>
      <c r="H861" s="11"/>
    </row>
    <row r="862" spans="1:8" ht="37.5" customHeight="1" x14ac:dyDescent="0.25">
      <c r="A862" s="51" t="str">
        <f t="shared" si="0"/>
        <v>/</v>
      </c>
      <c r="B862" s="2"/>
      <c r="C862" s="11"/>
      <c r="D862" s="11"/>
      <c r="E862" s="11"/>
      <c r="F862" s="11"/>
      <c r="G862" s="11"/>
      <c r="H862" s="11"/>
    </row>
    <row r="863" spans="1:8" ht="37.5" customHeight="1" x14ac:dyDescent="0.25">
      <c r="A863" s="51" t="str">
        <f t="shared" si="0"/>
        <v>/</v>
      </c>
      <c r="B863" s="2"/>
      <c r="C863" s="11"/>
      <c r="D863" s="11"/>
      <c r="E863" s="11"/>
      <c r="F863" s="11"/>
      <c r="G863" s="11"/>
      <c r="H863" s="11"/>
    </row>
    <row r="864" spans="1:8" ht="37.5" customHeight="1" x14ac:dyDescent="0.25">
      <c r="A864" s="51" t="str">
        <f t="shared" si="0"/>
        <v>/</v>
      </c>
      <c r="B864" s="2"/>
      <c r="C864" s="11"/>
      <c r="D864" s="11"/>
      <c r="E864" s="11"/>
      <c r="F864" s="11"/>
      <c r="G864" s="11"/>
      <c r="H864" s="11"/>
    </row>
    <row r="865" spans="1:8" ht="37.5" customHeight="1" x14ac:dyDescent="0.25">
      <c r="A865" s="51" t="str">
        <f t="shared" si="0"/>
        <v>/</v>
      </c>
      <c r="B865" s="2"/>
      <c r="C865" s="11"/>
      <c r="D865" s="11"/>
      <c r="E865" s="11"/>
      <c r="F865" s="11"/>
      <c r="G865" s="11"/>
      <c r="H865" s="11"/>
    </row>
    <row r="866" spans="1:8" ht="37.5" customHeight="1" x14ac:dyDescent="0.25">
      <c r="A866" s="51" t="str">
        <f t="shared" si="0"/>
        <v>/</v>
      </c>
      <c r="B866" s="2"/>
      <c r="C866" s="11"/>
      <c r="D866" s="11"/>
      <c r="E866" s="11"/>
      <c r="F866" s="11"/>
      <c r="G866" s="11"/>
      <c r="H866" s="11"/>
    </row>
    <row r="867" spans="1:8" ht="37.5" customHeight="1" x14ac:dyDescent="0.25">
      <c r="A867" s="51" t="str">
        <f t="shared" si="0"/>
        <v>/</v>
      </c>
      <c r="B867" s="2"/>
      <c r="C867" s="11"/>
      <c r="D867" s="11"/>
      <c r="E867" s="11"/>
      <c r="F867" s="11"/>
      <c r="G867" s="11"/>
      <c r="H867" s="11"/>
    </row>
    <row r="868" spans="1:8" ht="37.5" customHeight="1" x14ac:dyDescent="0.25">
      <c r="A868" s="51" t="str">
        <f t="shared" si="0"/>
        <v>/</v>
      </c>
      <c r="B868" s="2"/>
      <c r="C868" s="11"/>
      <c r="D868" s="11"/>
      <c r="E868" s="11"/>
      <c r="F868" s="11"/>
      <c r="G868" s="11"/>
      <c r="H868" s="11"/>
    </row>
    <row r="869" spans="1:8" ht="37.5" customHeight="1" x14ac:dyDescent="0.25">
      <c r="A869" s="51" t="str">
        <f t="shared" si="0"/>
        <v>/</v>
      </c>
      <c r="B869" s="2"/>
      <c r="C869" s="11"/>
      <c r="D869" s="11"/>
      <c r="E869" s="11"/>
      <c r="F869" s="11"/>
      <c r="G869" s="11"/>
      <c r="H869" s="11"/>
    </row>
    <row r="870" spans="1:8" ht="37.5" customHeight="1" x14ac:dyDescent="0.25">
      <c r="A870" s="51" t="str">
        <f t="shared" si="0"/>
        <v>/</v>
      </c>
      <c r="B870" s="2"/>
      <c r="C870" s="11"/>
      <c r="D870" s="11"/>
      <c r="E870" s="11"/>
      <c r="F870" s="11"/>
      <c r="G870" s="11"/>
      <c r="H870" s="11"/>
    </row>
    <row r="871" spans="1:8" ht="37.5" customHeight="1" x14ac:dyDescent="0.25">
      <c r="A871" s="51" t="str">
        <f t="shared" si="0"/>
        <v>/</v>
      </c>
      <c r="B871" s="2"/>
      <c r="C871" s="11"/>
      <c r="D871" s="11"/>
      <c r="E871" s="11"/>
      <c r="F871" s="11"/>
      <c r="G871" s="11"/>
      <c r="H871" s="11"/>
    </row>
    <row r="872" spans="1:8" ht="37.5" customHeight="1" x14ac:dyDescent="0.25">
      <c r="A872" s="51" t="str">
        <f t="shared" si="0"/>
        <v>/</v>
      </c>
      <c r="B872" s="2"/>
      <c r="C872" s="11"/>
      <c r="D872" s="11"/>
      <c r="E872" s="11"/>
      <c r="F872" s="11"/>
      <c r="G872" s="11"/>
      <c r="H872" s="11"/>
    </row>
    <row r="873" spans="1:8" ht="37.5" customHeight="1" x14ac:dyDescent="0.25">
      <c r="A873" s="51" t="str">
        <f t="shared" si="0"/>
        <v>/</v>
      </c>
      <c r="B873" s="2"/>
      <c r="C873" s="11"/>
      <c r="D873" s="11"/>
      <c r="E873" s="11"/>
      <c r="F873" s="11"/>
      <c r="G873" s="11"/>
      <c r="H873" s="11"/>
    </row>
    <row r="874" spans="1:8" ht="37.5" customHeight="1" x14ac:dyDescent="0.25">
      <c r="A874" s="51" t="str">
        <f t="shared" si="0"/>
        <v>/</v>
      </c>
      <c r="B874" s="2"/>
      <c r="C874" s="11"/>
      <c r="D874" s="11"/>
      <c r="E874" s="11"/>
      <c r="F874" s="11"/>
      <c r="G874" s="11"/>
      <c r="H874" s="11"/>
    </row>
    <row r="875" spans="1:8" ht="37.5" customHeight="1" x14ac:dyDescent="0.25">
      <c r="A875" s="51" t="str">
        <f t="shared" si="0"/>
        <v>/</v>
      </c>
      <c r="B875" s="2"/>
      <c r="C875" s="11"/>
      <c r="D875" s="11"/>
      <c r="E875" s="11"/>
      <c r="F875" s="11"/>
      <c r="G875" s="11"/>
      <c r="H875" s="11"/>
    </row>
    <row r="876" spans="1:8" ht="37.5" customHeight="1" x14ac:dyDescent="0.25">
      <c r="A876" s="51" t="str">
        <f t="shared" si="0"/>
        <v>/</v>
      </c>
      <c r="B876" s="2"/>
      <c r="C876" s="11"/>
      <c r="D876" s="11"/>
      <c r="E876" s="11"/>
      <c r="F876" s="11"/>
      <c r="G876" s="11"/>
      <c r="H876" s="11"/>
    </row>
    <row r="877" spans="1:8" ht="37.5" customHeight="1" x14ac:dyDescent="0.25">
      <c r="A877" s="51" t="str">
        <f t="shared" si="0"/>
        <v>/</v>
      </c>
      <c r="B877" s="2"/>
      <c r="C877" s="11"/>
      <c r="D877" s="11"/>
      <c r="E877" s="11"/>
      <c r="F877" s="11"/>
      <c r="G877" s="11"/>
      <c r="H877" s="11"/>
    </row>
    <row r="878" spans="1:8" ht="37.5" customHeight="1" x14ac:dyDescent="0.25">
      <c r="A878" s="51" t="str">
        <f t="shared" si="0"/>
        <v>/</v>
      </c>
      <c r="B878" s="2"/>
      <c r="C878" s="11"/>
      <c r="D878" s="11"/>
      <c r="E878" s="11"/>
      <c r="F878" s="11"/>
      <c r="G878" s="11"/>
      <c r="H878" s="11"/>
    </row>
    <row r="879" spans="1:8" ht="37.5" customHeight="1" x14ac:dyDescent="0.25">
      <c r="A879" s="51" t="str">
        <f t="shared" si="0"/>
        <v>/</v>
      </c>
      <c r="B879" s="2"/>
      <c r="C879" s="11"/>
      <c r="D879" s="11"/>
      <c r="E879" s="11"/>
      <c r="F879" s="11"/>
      <c r="G879" s="11"/>
      <c r="H879" s="11"/>
    </row>
    <row r="880" spans="1:8" ht="37.5" customHeight="1" x14ac:dyDescent="0.25">
      <c r="A880" s="51" t="str">
        <f t="shared" si="0"/>
        <v>/</v>
      </c>
      <c r="B880" s="2"/>
      <c r="C880" s="11"/>
      <c r="D880" s="11"/>
      <c r="E880" s="11"/>
      <c r="F880" s="11"/>
      <c r="G880" s="11"/>
      <c r="H880" s="11"/>
    </row>
    <row r="881" spans="1:8" ht="37.5" customHeight="1" x14ac:dyDescent="0.25">
      <c r="A881" s="51" t="str">
        <f t="shared" si="0"/>
        <v>/</v>
      </c>
      <c r="B881" s="2"/>
      <c r="C881" s="11"/>
      <c r="D881" s="11"/>
      <c r="E881" s="11"/>
      <c r="F881" s="11"/>
      <c r="G881" s="11"/>
      <c r="H881" s="11"/>
    </row>
    <row r="882" spans="1:8" ht="37.5" customHeight="1" x14ac:dyDescent="0.25">
      <c r="A882" s="51" t="str">
        <f t="shared" si="0"/>
        <v>/</v>
      </c>
      <c r="B882" s="2"/>
      <c r="C882" s="11"/>
      <c r="D882" s="11"/>
      <c r="E882" s="11"/>
      <c r="F882" s="11"/>
      <c r="G882" s="11"/>
      <c r="H882" s="11"/>
    </row>
    <row r="883" spans="1:8" ht="37.5" customHeight="1" x14ac:dyDescent="0.25">
      <c r="A883" s="51" t="str">
        <f t="shared" si="0"/>
        <v>/</v>
      </c>
      <c r="B883" s="2"/>
      <c r="C883" s="11"/>
      <c r="D883" s="11"/>
      <c r="E883" s="11"/>
      <c r="F883" s="11"/>
      <c r="G883" s="11"/>
      <c r="H883" s="11"/>
    </row>
    <row r="884" spans="1:8" ht="37.5" customHeight="1" x14ac:dyDescent="0.25">
      <c r="A884" s="51" t="str">
        <f t="shared" si="0"/>
        <v>/</v>
      </c>
      <c r="B884" s="2"/>
      <c r="C884" s="11"/>
      <c r="D884" s="11"/>
      <c r="E884" s="11"/>
      <c r="F884" s="11"/>
      <c r="G884" s="11"/>
      <c r="H884" s="11"/>
    </row>
    <row r="885" spans="1:8" ht="37.5" customHeight="1" x14ac:dyDescent="0.25">
      <c r="A885" s="51" t="str">
        <f t="shared" si="0"/>
        <v>/</v>
      </c>
      <c r="B885" s="2"/>
      <c r="C885" s="11"/>
      <c r="D885" s="11"/>
      <c r="E885" s="11"/>
      <c r="F885" s="11"/>
      <c r="G885" s="11"/>
      <c r="H885" s="11"/>
    </row>
    <row r="886" spans="1:8" ht="37.5" customHeight="1" x14ac:dyDescent="0.25">
      <c r="A886" s="51" t="str">
        <f t="shared" si="0"/>
        <v>/</v>
      </c>
      <c r="B886" s="2"/>
      <c r="C886" s="11"/>
      <c r="D886" s="11"/>
      <c r="E886" s="11"/>
      <c r="F886" s="11"/>
      <c r="G886" s="11"/>
      <c r="H886" s="11"/>
    </row>
    <row r="887" spans="1:8" ht="37.5" customHeight="1" x14ac:dyDescent="0.25">
      <c r="A887" s="51" t="str">
        <f t="shared" si="0"/>
        <v>/</v>
      </c>
      <c r="B887" s="2"/>
      <c r="C887" s="11"/>
      <c r="D887" s="11"/>
      <c r="E887" s="11"/>
      <c r="F887" s="11"/>
      <c r="G887" s="11"/>
      <c r="H887" s="11"/>
    </row>
    <row r="888" spans="1:8" ht="37.5" customHeight="1" x14ac:dyDescent="0.25">
      <c r="A888" s="51" t="str">
        <f t="shared" si="0"/>
        <v>/</v>
      </c>
      <c r="B888" s="2"/>
      <c r="C888" s="11"/>
      <c r="D888" s="11"/>
      <c r="E888" s="11"/>
      <c r="F888" s="11"/>
      <c r="G888" s="11"/>
      <c r="H888" s="11"/>
    </row>
    <row r="889" spans="1:8" ht="37.5" customHeight="1" x14ac:dyDescent="0.25">
      <c r="A889" s="51" t="str">
        <f t="shared" si="0"/>
        <v>/</v>
      </c>
      <c r="B889" s="2"/>
      <c r="C889" s="11"/>
      <c r="D889" s="11"/>
      <c r="E889" s="11"/>
      <c r="F889" s="11"/>
      <c r="G889" s="11"/>
      <c r="H889" s="11"/>
    </row>
    <row r="890" spans="1:8" ht="37.5" customHeight="1" x14ac:dyDescent="0.25">
      <c r="A890" s="51" t="str">
        <f t="shared" si="0"/>
        <v>/</v>
      </c>
      <c r="B890" s="2"/>
      <c r="C890" s="11"/>
      <c r="D890" s="11"/>
      <c r="E890" s="11"/>
      <c r="F890" s="11"/>
      <c r="G890" s="11"/>
      <c r="H890" s="11"/>
    </row>
    <row r="891" spans="1:8" ht="37.5" customHeight="1" x14ac:dyDescent="0.25">
      <c r="A891" s="51" t="str">
        <f t="shared" si="0"/>
        <v>/</v>
      </c>
      <c r="B891" s="2"/>
      <c r="C891" s="11"/>
      <c r="D891" s="11"/>
      <c r="E891" s="11"/>
      <c r="F891" s="11"/>
      <c r="G891" s="11"/>
      <c r="H891" s="11"/>
    </row>
    <row r="892" spans="1:8" ht="37.5" customHeight="1" x14ac:dyDescent="0.25">
      <c r="A892" s="51" t="str">
        <f t="shared" si="0"/>
        <v>/</v>
      </c>
      <c r="B892" s="2"/>
      <c r="C892" s="11"/>
      <c r="D892" s="11"/>
      <c r="E892" s="11"/>
      <c r="F892" s="11"/>
      <c r="G892" s="11"/>
      <c r="H892" s="11"/>
    </row>
    <row r="893" spans="1:8" ht="37.5" customHeight="1" x14ac:dyDescent="0.25">
      <c r="A893" s="51" t="str">
        <f t="shared" si="0"/>
        <v>/</v>
      </c>
      <c r="B893" s="2"/>
      <c r="C893" s="11"/>
      <c r="D893" s="11"/>
      <c r="E893" s="11"/>
      <c r="F893" s="11"/>
      <c r="G893" s="11"/>
      <c r="H893" s="11"/>
    </row>
    <row r="894" spans="1:8" ht="37.5" customHeight="1" x14ac:dyDescent="0.25">
      <c r="A894" s="51" t="str">
        <f t="shared" si="0"/>
        <v>/</v>
      </c>
      <c r="B894" s="2"/>
      <c r="C894" s="11"/>
      <c r="D894" s="11"/>
      <c r="E894" s="11"/>
      <c r="F894" s="11"/>
      <c r="G894" s="11"/>
      <c r="H894" s="11"/>
    </row>
    <row r="895" spans="1:8" ht="37.5" customHeight="1" x14ac:dyDescent="0.25">
      <c r="A895" s="51" t="str">
        <f t="shared" si="0"/>
        <v>/</v>
      </c>
      <c r="B895" s="2"/>
      <c r="C895" s="11"/>
      <c r="D895" s="11"/>
      <c r="E895" s="11"/>
      <c r="F895" s="11"/>
      <c r="G895" s="11"/>
      <c r="H895" s="11"/>
    </row>
    <row r="896" spans="1:8" ht="37.5" customHeight="1" x14ac:dyDescent="0.25">
      <c r="A896" s="51" t="str">
        <f t="shared" si="0"/>
        <v>/</v>
      </c>
      <c r="B896" s="2"/>
      <c r="C896" s="11"/>
      <c r="D896" s="11"/>
      <c r="E896" s="11"/>
      <c r="F896" s="11"/>
      <c r="G896" s="11"/>
      <c r="H896" s="11"/>
    </row>
    <row r="897" spans="1:8" ht="37.5" customHeight="1" x14ac:dyDescent="0.25">
      <c r="A897" s="51" t="str">
        <f t="shared" si="0"/>
        <v>/</v>
      </c>
      <c r="B897" s="2"/>
      <c r="C897" s="11"/>
      <c r="D897" s="11"/>
      <c r="E897" s="11"/>
      <c r="F897" s="11"/>
      <c r="G897" s="11"/>
      <c r="H897" s="11"/>
    </row>
    <row r="898" spans="1:8" ht="37.5" customHeight="1" x14ac:dyDescent="0.25">
      <c r="A898" s="51" t="str">
        <f t="shared" si="0"/>
        <v>/</v>
      </c>
      <c r="B898" s="2"/>
      <c r="C898" s="11"/>
      <c r="D898" s="11"/>
      <c r="E898" s="11"/>
      <c r="F898" s="11"/>
      <c r="G898" s="11"/>
      <c r="H898" s="11"/>
    </row>
    <row r="899" spans="1:8" ht="37.5" customHeight="1" x14ac:dyDescent="0.25">
      <c r="A899" s="51" t="str">
        <f t="shared" si="0"/>
        <v>/</v>
      </c>
      <c r="B899" s="2"/>
      <c r="C899" s="11"/>
      <c r="D899" s="11"/>
      <c r="E899" s="11"/>
      <c r="F899" s="11"/>
      <c r="G899" s="11"/>
      <c r="H899" s="11"/>
    </row>
    <row r="900" spans="1:8" ht="37.5" customHeight="1" x14ac:dyDescent="0.25">
      <c r="A900" s="51" t="str">
        <f t="shared" si="0"/>
        <v>/</v>
      </c>
      <c r="B900" s="2"/>
      <c r="C900" s="11"/>
      <c r="D900" s="11"/>
      <c r="E900" s="11"/>
      <c r="F900" s="11"/>
      <c r="G900" s="11"/>
      <c r="H900" s="11"/>
    </row>
    <row r="901" spans="1:8" ht="37.5" customHeight="1" x14ac:dyDescent="0.25">
      <c r="A901" s="51" t="str">
        <f t="shared" si="0"/>
        <v>/</v>
      </c>
      <c r="B901" s="2"/>
      <c r="C901" s="11"/>
      <c r="D901" s="11"/>
      <c r="E901" s="11"/>
      <c r="F901" s="11"/>
      <c r="G901" s="11"/>
      <c r="H901" s="11"/>
    </row>
    <row r="902" spans="1:8" ht="37.5" customHeight="1" x14ac:dyDescent="0.25">
      <c r="A902" s="51" t="str">
        <f t="shared" si="0"/>
        <v>/</v>
      </c>
      <c r="B902" s="2"/>
      <c r="C902" s="11"/>
      <c r="D902" s="11"/>
      <c r="E902" s="11"/>
      <c r="F902" s="11"/>
      <c r="G902" s="11"/>
      <c r="H902" s="11"/>
    </row>
    <row r="903" spans="1:8" ht="37.5" customHeight="1" x14ac:dyDescent="0.25">
      <c r="A903" s="51" t="str">
        <f t="shared" si="0"/>
        <v>/</v>
      </c>
      <c r="B903" s="2"/>
      <c r="C903" s="11"/>
      <c r="D903" s="11"/>
      <c r="E903" s="11"/>
      <c r="F903" s="11"/>
      <c r="G903" s="11"/>
      <c r="H903" s="11"/>
    </row>
    <row r="904" spans="1:8" ht="37.5" customHeight="1" x14ac:dyDescent="0.25">
      <c r="A904" s="51" t="str">
        <f t="shared" si="0"/>
        <v>/</v>
      </c>
      <c r="B904" s="2"/>
      <c r="C904" s="11"/>
      <c r="D904" s="11"/>
      <c r="E904" s="11"/>
      <c r="F904" s="11"/>
      <c r="G904" s="11"/>
      <c r="H904" s="11"/>
    </row>
    <row r="905" spans="1:8" ht="37.5" customHeight="1" x14ac:dyDescent="0.25">
      <c r="A905" s="51" t="str">
        <f t="shared" si="0"/>
        <v>/</v>
      </c>
      <c r="B905" s="2"/>
      <c r="C905" s="11"/>
      <c r="D905" s="11"/>
      <c r="E905" s="11"/>
      <c r="F905" s="11"/>
      <c r="G905" s="11"/>
      <c r="H905" s="11"/>
    </row>
    <row r="906" spans="1:8" ht="37.5" customHeight="1" x14ac:dyDescent="0.25">
      <c r="A906" s="51" t="str">
        <f t="shared" si="0"/>
        <v>/</v>
      </c>
      <c r="B906" s="2"/>
      <c r="C906" s="11"/>
      <c r="D906" s="11"/>
      <c r="E906" s="11"/>
      <c r="F906" s="11"/>
      <c r="G906" s="11"/>
      <c r="H906" s="11"/>
    </row>
    <row r="907" spans="1:8" ht="37.5" customHeight="1" x14ac:dyDescent="0.25">
      <c r="A907" s="51" t="str">
        <f t="shared" si="0"/>
        <v>/</v>
      </c>
      <c r="B907" s="2"/>
      <c r="C907" s="11"/>
      <c r="D907" s="11"/>
      <c r="E907" s="11"/>
      <c r="F907" s="11"/>
      <c r="G907" s="11"/>
      <c r="H907" s="11"/>
    </row>
    <row r="908" spans="1:8" ht="37.5" customHeight="1" x14ac:dyDescent="0.25">
      <c r="A908" s="51" t="str">
        <f t="shared" si="0"/>
        <v>/</v>
      </c>
      <c r="B908" s="2"/>
      <c r="C908" s="11"/>
      <c r="D908" s="11"/>
      <c r="E908" s="11"/>
      <c r="F908" s="11"/>
      <c r="G908" s="11"/>
      <c r="H908" s="11"/>
    </row>
    <row r="909" spans="1:8" ht="37.5" customHeight="1" x14ac:dyDescent="0.25">
      <c r="A909" s="51" t="str">
        <f t="shared" si="0"/>
        <v>/</v>
      </c>
      <c r="B909" s="2"/>
      <c r="C909" s="11"/>
      <c r="D909" s="11"/>
      <c r="E909" s="11"/>
      <c r="F909" s="11"/>
      <c r="G909" s="11"/>
      <c r="H909" s="11"/>
    </row>
    <row r="910" spans="1:8" ht="37.5" customHeight="1" x14ac:dyDescent="0.25">
      <c r="A910" s="51" t="str">
        <f t="shared" si="0"/>
        <v>/</v>
      </c>
      <c r="B910" s="2"/>
      <c r="C910" s="11"/>
      <c r="D910" s="11"/>
      <c r="E910" s="11"/>
      <c r="F910" s="11"/>
      <c r="G910" s="11"/>
      <c r="H910" s="11"/>
    </row>
    <row r="911" spans="1:8" ht="37.5" customHeight="1" x14ac:dyDescent="0.25">
      <c r="A911" s="51" t="str">
        <f t="shared" si="0"/>
        <v>/</v>
      </c>
      <c r="B911" s="2"/>
      <c r="C911" s="11"/>
      <c r="D911" s="11"/>
      <c r="E911" s="11"/>
      <c r="F911" s="11"/>
      <c r="G911" s="11"/>
      <c r="H911" s="11"/>
    </row>
    <row r="912" spans="1:8" ht="37.5" customHeight="1" x14ac:dyDescent="0.25">
      <c r="A912" s="51" t="str">
        <f t="shared" si="0"/>
        <v>/</v>
      </c>
      <c r="B912" s="2"/>
      <c r="C912" s="11"/>
      <c r="D912" s="11"/>
      <c r="E912" s="11"/>
      <c r="F912" s="11"/>
      <c r="G912" s="11"/>
      <c r="H912" s="11"/>
    </row>
    <row r="913" spans="1:8" ht="37.5" customHeight="1" x14ac:dyDescent="0.25">
      <c r="A913" s="51" t="str">
        <f t="shared" si="0"/>
        <v>/</v>
      </c>
      <c r="B913" s="2"/>
      <c r="C913" s="11"/>
      <c r="D913" s="11"/>
      <c r="E913" s="11"/>
      <c r="F913" s="11"/>
      <c r="G913" s="11"/>
      <c r="H913" s="11"/>
    </row>
    <row r="914" spans="1:8" ht="37.5" customHeight="1" x14ac:dyDescent="0.25">
      <c r="A914" s="51" t="str">
        <f t="shared" si="0"/>
        <v>/</v>
      </c>
      <c r="B914" s="2"/>
      <c r="C914" s="11"/>
      <c r="D914" s="11"/>
      <c r="E914" s="11"/>
      <c r="F914" s="11"/>
      <c r="G914" s="11"/>
      <c r="H914" s="11"/>
    </row>
    <row r="915" spans="1:8" ht="37.5" customHeight="1" x14ac:dyDescent="0.25">
      <c r="A915" s="51" t="str">
        <f t="shared" si="0"/>
        <v>/</v>
      </c>
      <c r="B915" s="2"/>
      <c r="C915" s="11"/>
      <c r="D915" s="11"/>
      <c r="E915" s="11"/>
      <c r="F915" s="11"/>
      <c r="G915" s="11"/>
      <c r="H915" s="11"/>
    </row>
    <row r="916" spans="1:8" ht="37.5" customHeight="1" x14ac:dyDescent="0.25">
      <c r="A916" s="51" t="str">
        <f t="shared" si="0"/>
        <v>/</v>
      </c>
      <c r="B916" s="2"/>
      <c r="C916" s="11"/>
      <c r="D916" s="11"/>
      <c r="E916" s="11"/>
      <c r="F916" s="11"/>
      <c r="G916" s="11"/>
      <c r="H916" s="11"/>
    </row>
    <row r="917" spans="1:8" ht="37.5" customHeight="1" x14ac:dyDescent="0.25">
      <c r="A917" s="51" t="str">
        <f t="shared" si="0"/>
        <v>/</v>
      </c>
      <c r="B917" s="2"/>
      <c r="C917" s="11"/>
      <c r="D917" s="11"/>
      <c r="E917" s="11"/>
      <c r="F917" s="11"/>
      <c r="G917" s="11"/>
      <c r="H917" s="11"/>
    </row>
    <row r="918" spans="1:8" ht="37.5" customHeight="1" x14ac:dyDescent="0.25">
      <c r="A918" s="51" t="str">
        <f t="shared" si="0"/>
        <v>/</v>
      </c>
      <c r="B918" s="2"/>
      <c r="C918" s="11"/>
      <c r="D918" s="11"/>
      <c r="E918" s="11"/>
      <c r="F918" s="11"/>
      <c r="G918" s="11"/>
      <c r="H918" s="11"/>
    </row>
    <row r="919" spans="1:8" ht="37.5" customHeight="1" x14ac:dyDescent="0.25">
      <c r="A919" s="51" t="str">
        <f t="shared" si="0"/>
        <v>/</v>
      </c>
      <c r="B919" s="2"/>
      <c r="C919" s="11"/>
      <c r="D919" s="11"/>
      <c r="E919" s="11"/>
      <c r="F919" s="11"/>
      <c r="G919" s="11"/>
      <c r="H919" s="11"/>
    </row>
    <row r="920" spans="1:8" ht="37.5" customHeight="1" x14ac:dyDescent="0.25">
      <c r="A920" s="51" t="str">
        <f t="shared" si="0"/>
        <v>/</v>
      </c>
      <c r="B920" s="2"/>
      <c r="C920" s="11"/>
      <c r="D920" s="11"/>
      <c r="E920" s="11"/>
      <c r="F920" s="11"/>
      <c r="G920" s="11"/>
      <c r="H920" s="11"/>
    </row>
    <row r="921" spans="1:8" ht="37.5" customHeight="1" x14ac:dyDescent="0.25">
      <c r="A921" s="51" t="str">
        <f t="shared" si="0"/>
        <v>/</v>
      </c>
      <c r="B921" s="2"/>
      <c r="C921" s="11"/>
      <c r="D921" s="11"/>
      <c r="E921" s="11"/>
      <c r="F921" s="11"/>
      <c r="G921" s="11"/>
      <c r="H921" s="11"/>
    </row>
    <row r="922" spans="1:8" ht="37.5" customHeight="1" x14ac:dyDescent="0.25">
      <c r="A922" s="51" t="str">
        <f t="shared" si="0"/>
        <v>/</v>
      </c>
      <c r="B922" s="2"/>
      <c r="C922" s="11"/>
      <c r="D922" s="11"/>
      <c r="E922" s="11"/>
      <c r="F922" s="11"/>
      <c r="G922" s="11"/>
      <c r="H922" s="11"/>
    </row>
    <row r="923" spans="1:8" ht="37.5" customHeight="1" x14ac:dyDescent="0.25">
      <c r="A923" s="51" t="str">
        <f t="shared" si="0"/>
        <v>/</v>
      </c>
      <c r="B923" s="2"/>
      <c r="C923" s="11"/>
      <c r="D923" s="11"/>
      <c r="E923" s="11"/>
      <c r="F923" s="11"/>
      <c r="G923" s="11"/>
      <c r="H923" s="11"/>
    </row>
    <row r="924" spans="1:8" ht="37.5" customHeight="1" x14ac:dyDescent="0.25">
      <c r="A924" s="51" t="str">
        <f t="shared" si="0"/>
        <v>/</v>
      </c>
      <c r="B924" s="2"/>
      <c r="C924" s="11"/>
      <c r="D924" s="11"/>
      <c r="E924" s="11"/>
      <c r="F924" s="11"/>
      <c r="G924" s="11"/>
      <c r="H924" s="11"/>
    </row>
    <row r="925" spans="1:8" ht="37.5" customHeight="1" x14ac:dyDescent="0.25">
      <c r="A925" s="51" t="str">
        <f t="shared" si="0"/>
        <v>/</v>
      </c>
      <c r="B925" s="2"/>
      <c r="C925" s="11"/>
      <c r="D925" s="11"/>
      <c r="E925" s="11"/>
      <c r="F925" s="11"/>
      <c r="G925" s="11"/>
      <c r="H925" s="11"/>
    </row>
    <row r="926" spans="1:8" ht="37.5" customHeight="1" x14ac:dyDescent="0.25">
      <c r="A926" s="51" t="str">
        <f t="shared" si="0"/>
        <v>/</v>
      </c>
      <c r="B926" s="2"/>
      <c r="C926" s="11"/>
      <c r="D926" s="11"/>
      <c r="E926" s="11"/>
      <c r="F926" s="11"/>
      <c r="G926" s="11"/>
      <c r="H926" s="11"/>
    </row>
    <row r="927" spans="1:8" ht="37.5" customHeight="1" x14ac:dyDescent="0.25">
      <c r="A927" s="51" t="str">
        <f t="shared" si="0"/>
        <v>/</v>
      </c>
      <c r="B927" s="2"/>
      <c r="C927" s="11"/>
      <c r="D927" s="11"/>
      <c r="E927" s="11"/>
      <c r="F927" s="11"/>
      <c r="G927" s="11"/>
      <c r="H927" s="11"/>
    </row>
    <row r="928" spans="1:8" ht="37.5" customHeight="1" x14ac:dyDescent="0.25">
      <c r="A928" s="51" t="str">
        <f t="shared" si="0"/>
        <v>/</v>
      </c>
      <c r="B928" s="2"/>
      <c r="C928" s="11"/>
      <c r="D928" s="11"/>
      <c r="E928" s="11"/>
      <c r="F928" s="11"/>
      <c r="G928" s="11"/>
      <c r="H928" s="11"/>
    </row>
    <row r="929" spans="1:8" ht="37.5" customHeight="1" x14ac:dyDescent="0.25">
      <c r="A929" s="51" t="str">
        <f t="shared" si="0"/>
        <v>/</v>
      </c>
      <c r="B929" s="2"/>
      <c r="C929" s="11"/>
      <c r="D929" s="11"/>
      <c r="E929" s="11"/>
      <c r="F929" s="11"/>
      <c r="G929" s="11"/>
      <c r="H929" s="11"/>
    </row>
    <row r="930" spans="1:8" ht="37.5" customHeight="1" x14ac:dyDescent="0.25">
      <c r="A930" s="51" t="str">
        <f t="shared" si="0"/>
        <v>/</v>
      </c>
      <c r="B930" s="2"/>
      <c r="C930" s="11"/>
      <c r="D930" s="11"/>
      <c r="E930" s="11"/>
      <c r="F930" s="11"/>
      <c r="G930" s="11"/>
      <c r="H930" s="11"/>
    </row>
    <row r="931" spans="1:8" ht="37.5" customHeight="1" x14ac:dyDescent="0.25">
      <c r="A931" s="51" t="str">
        <f t="shared" si="0"/>
        <v>/</v>
      </c>
      <c r="B931" s="2"/>
      <c r="C931" s="11"/>
      <c r="D931" s="11"/>
      <c r="E931" s="11"/>
      <c r="F931" s="11"/>
      <c r="G931" s="11"/>
      <c r="H931" s="11"/>
    </row>
    <row r="932" spans="1:8" ht="37.5" customHeight="1" x14ac:dyDescent="0.25">
      <c r="A932" s="51" t="str">
        <f t="shared" si="0"/>
        <v>/</v>
      </c>
      <c r="B932" s="2"/>
      <c r="C932" s="11"/>
      <c r="D932" s="11"/>
      <c r="E932" s="11"/>
      <c r="F932" s="11"/>
      <c r="G932" s="11"/>
      <c r="H932" s="11"/>
    </row>
    <row r="933" spans="1:8" ht="37.5" customHeight="1" x14ac:dyDescent="0.25">
      <c r="A933" s="51" t="str">
        <f t="shared" si="0"/>
        <v>/</v>
      </c>
      <c r="B933" s="2"/>
      <c r="C933" s="11"/>
      <c r="D933" s="11"/>
      <c r="E933" s="11"/>
      <c r="F933" s="11"/>
      <c r="G933" s="11"/>
      <c r="H933" s="11"/>
    </row>
    <row r="934" spans="1:8" ht="37.5" customHeight="1" x14ac:dyDescent="0.25">
      <c r="A934" s="51" t="str">
        <f t="shared" si="0"/>
        <v>/</v>
      </c>
      <c r="B934" s="2"/>
      <c r="C934" s="11"/>
      <c r="D934" s="11"/>
      <c r="E934" s="11"/>
      <c r="F934" s="11"/>
      <c r="G934" s="11"/>
      <c r="H934" s="11"/>
    </row>
    <row r="935" spans="1:8" ht="37.5" customHeight="1" x14ac:dyDescent="0.25">
      <c r="A935" s="51" t="str">
        <f t="shared" si="0"/>
        <v>/</v>
      </c>
      <c r="B935" s="2"/>
      <c r="C935" s="11"/>
      <c r="D935" s="11"/>
      <c r="E935" s="11"/>
      <c r="F935" s="11"/>
      <c r="G935" s="11"/>
      <c r="H935" s="11"/>
    </row>
    <row r="936" spans="1:8" ht="37.5" customHeight="1" x14ac:dyDescent="0.25">
      <c r="A936" s="51" t="str">
        <f t="shared" si="0"/>
        <v>/</v>
      </c>
      <c r="B936" s="2"/>
      <c r="C936" s="11"/>
      <c r="D936" s="11"/>
      <c r="E936" s="11"/>
      <c r="F936" s="11"/>
      <c r="G936" s="11"/>
      <c r="H936" s="11"/>
    </row>
    <row r="937" spans="1:8" ht="37.5" customHeight="1" x14ac:dyDescent="0.25">
      <c r="A937" s="51" t="str">
        <f t="shared" si="0"/>
        <v>/</v>
      </c>
      <c r="B937" s="2"/>
      <c r="C937" s="11"/>
      <c r="D937" s="11"/>
      <c r="E937" s="11"/>
      <c r="F937" s="11"/>
      <c r="G937" s="11"/>
      <c r="H937" s="11"/>
    </row>
    <row r="938" spans="1:8" ht="37.5" customHeight="1" x14ac:dyDescent="0.25">
      <c r="A938" s="51" t="str">
        <f t="shared" si="0"/>
        <v>/</v>
      </c>
      <c r="B938" s="2"/>
      <c r="C938" s="11"/>
      <c r="D938" s="11"/>
      <c r="E938" s="11"/>
      <c r="F938" s="11"/>
      <c r="G938" s="11"/>
      <c r="H938" s="11"/>
    </row>
    <row r="939" spans="1:8" ht="37.5" customHeight="1" x14ac:dyDescent="0.25">
      <c r="A939" s="51" t="str">
        <f t="shared" si="0"/>
        <v>/</v>
      </c>
      <c r="B939" s="2"/>
      <c r="C939" s="11"/>
      <c r="D939" s="11"/>
      <c r="E939" s="11"/>
      <c r="F939" s="11"/>
      <c r="G939" s="11"/>
      <c r="H939" s="11"/>
    </row>
    <row r="940" spans="1:8" ht="37.5" customHeight="1" x14ac:dyDescent="0.25">
      <c r="A940" s="51" t="str">
        <f t="shared" si="0"/>
        <v>/</v>
      </c>
      <c r="B940" s="2"/>
      <c r="C940" s="11"/>
      <c r="D940" s="11"/>
      <c r="E940" s="11"/>
      <c r="F940" s="11"/>
      <c r="G940" s="11"/>
      <c r="H940" s="11"/>
    </row>
    <row r="941" spans="1:8" ht="37.5" customHeight="1" x14ac:dyDescent="0.25">
      <c r="A941" s="51" t="str">
        <f t="shared" si="0"/>
        <v>/</v>
      </c>
      <c r="B941" s="2"/>
      <c r="C941" s="11"/>
      <c r="D941" s="11"/>
      <c r="E941" s="11"/>
      <c r="F941" s="11"/>
      <c r="G941" s="11"/>
      <c r="H941" s="11"/>
    </row>
    <row r="942" spans="1:8" ht="37.5" customHeight="1" x14ac:dyDescent="0.25">
      <c r="A942" s="51" t="str">
        <f t="shared" si="0"/>
        <v>/</v>
      </c>
      <c r="B942" s="2"/>
      <c r="C942" s="11"/>
      <c r="D942" s="11"/>
      <c r="E942" s="11"/>
      <c r="F942" s="11"/>
      <c r="G942" s="11"/>
      <c r="H942" s="11"/>
    </row>
    <row r="943" spans="1:8" ht="37.5" customHeight="1" x14ac:dyDescent="0.25">
      <c r="A943" s="51" t="str">
        <f t="shared" si="0"/>
        <v>/</v>
      </c>
      <c r="B943" s="2"/>
      <c r="C943" s="11"/>
      <c r="D943" s="11"/>
      <c r="E943" s="11"/>
      <c r="F943" s="11"/>
      <c r="G943" s="11"/>
      <c r="H943" s="11"/>
    </row>
    <row r="944" spans="1:8" ht="37.5" customHeight="1" x14ac:dyDescent="0.25">
      <c r="A944" s="51" t="str">
        <f t="shared" si="0"/>
        <v>/</v>
      </c>
      <c r="B944" s="2"/>
      <c r="C944" s="11"/>
      <c r="D944" s="11"/>
      <c r="E944" s="11"/>
      <c r="F944" s="11"/>
      <c r="G944" s="11"/>
      <c r="H944" s="11"/>
    </row>
    <row r="945" spans="1:8" ht="37.5" customHeight="1" x14ac:dyDescent="0.25">
      <c r="A945" s="51" t="str">
        <f t="shared" si="0"/>
        <v>/</v>
      </c>
      <c r="B945" s="2"/>
      <c r="C945" s="11"/>
      <c r="D945" s="11"/>
      <c r="E945" s="11"/>
      <c r="F945" s="11"/>
      <c r="G945" s="11"/>
      <c r="H945" s="11"/>
    </row>
    <row r="946" spans="1:8" ht="37.5" customHeight="1" x14ac:dyDescent="0.25">
      <c r="A946" s="51" t="str">
        <f t="shared" si="0"/>
        <v>/</v>
      </c>
      <c r="B946" s="2"/>
      <c r="C946" s="11"/>
      <c r="D946" s="11"/>
      <c r="E946" s="11"/>
      <c r="F946" s="11"/>
      <c r="G946" s="11"/>
      <c r="H946" s="11"/>
    </row>
    <row r="947" spans="1:8" ht="37.5" customHeight="1" x14ac:dyDescent="0.25">
      <c r="A947" s="51" t="str">
        <f t="shared" si="0"/>
        <v>/</v>
      </c>
      <c r="B947" s="2"/>
      <c r="C947" s="11"/>
      <c r="D947" s="11"/>
      <c r="E947" s="11"/>
      <c r="F947" s="11"/>
      <c r="G947" s="11"/>
      <c r="H947" s="11"/>
    </row>
    <row r="948" spans="1:8" ht="37.5" customHeight="1" x14ac:dyDescent="0.25">
      <c r="A948" s="51" t="str">
        <f t="shared" si="0"/>
        <v>/</v>
      </c>
      <c r="B948" s="2"/>
      <c r="C948" s="11"/>
      <c r="D948" s="11"/>
      <c r="E948" s="11"/>
      <c r="F948" s="11"/>
      <c r="G948" s="11"/>
      <c r="H948" s="11"/>
    </row>
    <row r="949" spans="1:8" ht="37.5" customHeight="1" x14ac:dyDescent="0.25">
      <c r="A949" s="51" t="str">
        <f t="shared" si="0"/>
        <v>/</v>
      </c>
      <c r="B949" s="2"/>
      <c r="C949" s="11"/>
      <c r="D949" s="11"/>
      <c r="E949" s="11"/>
      <c r="F949" s="11"/>
      <c r="G949" s="11"/>
      <c r="H949" s="11"/>
    </row>
    <row r="950" spans="1:8" ht="37.5" customHeight="1" x14ac:dyDescent="0.25">
      <c r="A950" s="51" t="str">
        <f t="shared" si="0"/>
        <v>/</v>
      </c>
      <c r="B950" s="2"/>
      <c r="C950" s="11"/>
      <c r="D950" s="11"/>
      <c r="E950" s="11"/>
      <c r="F950" s="11"/>
      <c r="G950" s="11"/>
      <c r="H950" s="11"/>
    </row>
    <row r="951" spans="1:8" ht="37.5" customHeight="1" x14ac:dyDescent="0.25">
      <c r="A951" s="51" t="str">
        <f t="shared" si="0"/>
        <v>/</v>
      </c>
      <c r="B951" s="2"/>
      <c r="C951" s="11"/>
      <c r="D951" s="11"/>
      <c r="E951" s="11"/>
      <c r="F951" s="11"/>
      <c r="G951" s="11"/>
      <c r="H951" s="11"/>
    </row>
    <row r="952" spans="1:8" ht="37.5" customHeight="1" x14ac:dyDescent="0.25">
      <c r="A952" s="51" t="str">
        <f t="shared" si="0"/>
        <v>/</v>
      </c>
      <c r="B952" s="2"/>
      <c r="C952" s="11"/>
      <c r="D952" s="11"/>
      <c r="E952" s="11"/>
      <c r="F952" s="11"/>
      <c r="G952" s="11"/>
      <c r="H952" s="11"/>
    </row>
    <row r="953" spans="1:8" ht="37.5" customHeight="1" x14ac:dyDescent="0.25">
      <c r="A953" s="51" t="str">
        <f t="shared" si="0"/>
        <v>/</v>
      </c>
      <c r="B953" s="2"/>
      <c r="C953" s="11"/>
      <c r="D953" s="11"/>
      <c r="E953" s="11"/>
      <c r="F953" s="11"/>
      <c r="G953" s="11"/>
      <c r="H953" s="11"/>
    </row>
    <row r="954" spans="1:8" ht="37.5" customHeight="1" x14ac:dyDescent="0.25">
      <c r="A954" s="51" t="str">
        <f t="shared" si="0"/>
        <v>/</v>
      </c>
      <c r="B954" s="2"/>
      <c r="C954" s="11"/>
      <c r="D954" s="11"/>
      <c r="E954" s="11"/>
      <c r="F954" s="11"/>
      <c r="G954" s="11"/>
      <c r="H954" s="11"/>
    </row>
    <row r="955" spans="1:8" ht="37.5" customHeight="1" x14ac:dyDescent="0.25">
      <c r="A955" s="51" t="str">
        <f t="shared" si="0"/>
        <v>/</v>
      </c>
      <c r="B955" s="2"/>
      <c r="C955" s="11"/>
      <c r="D955" s="11"/>
      <c r="E955" s="11"/>
      <c r="F955" s="11"/>
      <c r="G955" s="11"/>
      <c r="H955" s="11"/>
    </row>
    <row r="956" spans="1:8" ht="37.5" customHeight="1" x14ac:dyDescent="0.25">
      <c r="A956" s="51" t="str">
        <f t="shared" si="0"/>
        <v>/</v>
      </c>
      <c r="B956" s="2"/>
      <c r="C956" s="11"/>
      <c r="D956" s="11"/>
      <c r="E956" s="11"/>
      <c r="F956" s="11"/>
      <c r="G956" s="11"/>
      <c r="H956" s="11"/>
    </row>
    <row r="957" spans="1:8" ht="37.5" customHeight="1" x14ac:dyDescent="0.25">
      <c r="A957" s="51" t="str">
        <f t="shared" si="0"/>
        <v>/</v>
      </c>
      <c r="B957" s="2"/>
      <c r="C957" s="11"/>
      <c r="D957" s="11"/>
      <c r="E957" s="11"/>
      <c r="F957" s="11"/>
      <c r="G957" s="11"/>
      <c r="H957" s="11"/>
    </row>
    <row r="958" spans="1:8" ht="37.5" customHeight="1" x14ac:dyDescent="0.25">
      <c r="A958" s="51" t="str">
        <f t="shared" si="0"/>
        <v>/</v>
      </c>
      <c r="B958" s="2"/>
      <c r="C958" s="11"/>
      <c r="D958" s="11"/>
      <c r="E958" s="11"/>
      <c r="F958" s="11"/>
      <c r="G958" s="11"/>
      <c r="H958" s="11"/>
    </row>
    <row r="959" spans="1:8" ht="37.5" customHeight="1" x14ac:dyDescent="0.25">
      <c r="A959" s="51" t="str">
        <f t="shared" si="0"/>
        <v>/</v>
      </c>
      <c r="B959" s="2"/>
      <c r="C959" s="11"/>
      <c r="D959" s="11"/>
      <c r="E959" s="11"/>
      <c r="F959" s="11"/>
      <c r="G959" s="11"/>
      <c r="H959" s="11"/>
    </row>
    <row r="960" spans="1:8" ht="37.5" customHeight="1" x14ac:dyDescent="0.25">
      <c r="A960" s="51" t="str">
        <f t="shared" si="0"/>
        <v>/</v>
      </c>
      <c r="B960" s="2"/>
      <c r="C960" s="11"/>
      <c r="D960" s="11"/>
      <c r="E960" s="11"/>
      <c r="F960" s="11"/>
      <c r="G960" s="11"/>
      <c r="H960" s="11"/>
    </row>
    <row r="961" spans="1:8" ht="37.5" customHeight="1" x14ac:dyDescent="0.25">
      <c r="A961" s="51" t="str">
        <f t="shared" si="0"/>
        <v>/</v>
      </c>
      <c r="B961" s="2"/>
      <c r="C961" s="11"/>
      <c r="D961" s="11"/>
      <c r="E961" s="11"/>
      <c r="F961" s="11"/>
      <c r="G961" s="11"/>
      <c r="H961" s="11"/>
    </row>
    <row r="962" spans="1:8" ht="37.5" customHeight="1" x14ac:dyDescent="0.25">
      <c r="A962" s="51" t="str">
        <f t="shared" si="0"/>
        <v>/</v>
      </c>
      <c r="B962" s="2"/>
      <c r="C962" s="11"/>
      <c r="D962" s="11"/>
      <c r="E962" s="11"/>
      <c r="F962" s="11"/>
      <c r="G962" s="11"/>
      <c r="H962" s="11"/>
    </row>
    <row r="963" spans="1:8" ht="37.5" customHeight="1" x14ac:dyDescent="0.25">
      <c r="A963" s="51" t="str">
        <f t="shared" si="0"/>
        <v>/</v>
      </c>
      <c r="B963" s="2"/>
      <c r="C963" s="11"/>
      <c r="D963" s="11"/>
      <c r="E963" s="11"/>
      <c r="F963" s="11"/>
      <c r="G963" s="11"/>
      <c r="H963" s="11"/>
    </row>
    <row r="964" spans="1:8" ht="37.5" customHeight="1" x14ac:dyDescent="0.25">
      <c r="A964" s="51" t="str">
        <f t="shared" si="0"/>
        <v>/</v>
      </c>
      <c r="B964" s="2"/>
      <c r="C964" s="11"/>
      <c r="D964" s="11"/>
      <c r="E964" s="11"/>
      <c r="F964" s="11"/>
      <c r="G964" s="11"/>
      <c r="H964" s="11"/>
    </row>
    <row r="965" spans="1:8" ht="37.5" customHeight="1" x14ac:dyDescent="0.25">
      <c r="A965" s="51" t="str">
        <f t="shared" si="0"/>
        <v>/</v>
      </c>
      <c r="B965" s="2"/>
      <c r="C965" s="11"/>
      <c r="D965" s="11"/>
      <c r="E965" s="11"/>
      <c r="F965" s="11"/>
      <c r="G965" s="11"/>
      <c r="H965" s="11"/>
    </row>
    <row r="966" spans="1:8" ht="37.5" customHeight="1" x14ac:dyDescent="0.25">
      <c r="A966" s="51" t="str">
        <f t="shared" si="0"/>
        <v>/</v>
      </c>
      <c r="B966" s="2"/>
      <c r="C966" s="11"/>
      <c r="D966" s="11"/>
      <c r="E966" s="11"/>
      <c r="F966" s="11"/>
      <c r="G966" s="11"/>
      <c r="H966" s="11"/>
    </row>
    <row r="967" spans="1:8" ht="37.5" customHeight="1" x14ac:dyDescent="0.25">
      <c r="A967" s="51" t="str">
        <f t="shared" si="0"/>
        <v>/</v>
      </c>
      <c r="B967" s="2"/>
      <c r="C967" s="11"/>
      <c r="D967" s="11"/>
      <c r="E967" s="11"/>
      <c r="F967" s="11"/>
      <c r="G967" s="11"/>
      <c r="H967" s="11"/>
    </row>
    <row r="968" spans="1:8" ht="37.5" customHeight="1" x14ac:dyDescent="0.25">
      <c r="A968" s="51" t="str">
        <f t="shared" si="0"/>
        <v>/</v>
      </c>
      <c r="B968" s="2"/>
      <c r="C968" s="11"/>
      <c r="D968" s="11"/>
      <c r="E968" s="11"/>
      <c r="F968" s="11"/>
      <c r="G968" s="11"/>
      <c r="H968" s="11"/>
    </row>
    <row r="969" spans="1:8" ht="37.5" customHeight="1" x14ac:dyDescent="0.25">
      <c r="A969" s="51" t="str">
        <f t="shared" si="0"/>
        <v>/</v>
      </c>
      <c r="B969" s="2"/>
      <c r="C969" s="11"/>
      <c r="D969" s="11"/>
      <c r="E969" s="11"/>
      <c r="F969" s="11"/>
      <c r="G969" s="11"/>
      <c r="H969" s="11"/>
    </row>
    <row r="970" spans="1:8" ht="37.5" customHeight="1" x14ac:dyDescent="0.25">
      <c r="A970" s="51" t="str">
        <f t="shared" si="0"/>
        <v>/</v>
      </c>
      <c r="B970" s="2"/>
      <c r="C970" s="11"/>
      <c r="D970" s="11"/>
      <c r="E970" s="11"/>
      <c r="F970" s="11"/>
      <c r="G970" s="11"/>
      <c r="H970" s="11"/>
    </row>
    <row r="971" spans="1:8" ht="37.5" customHeight="1" x14ac:dyDescent="0.25">
      <c r="A971" s="51" t="str">
        <f t="shared" si="0"/>
        <v>/</v>
      </c>
      <c r="B971" s="2"/>
      <c r="C971" s="11"/>
      <c r="D971" s="11"/>
      <c r="E971" s="11"/>
      <c r="F971" s="11"/>
      <c r="G971" s="11"/>
      <c r="H971" s="11"/>
    </row>
    <row r="972" spans="1:8" ht="37.5" customHeight="1" x14ac:dyDescent="0.25">
      <c r="A972" s="51" t="str">
        <f t="shared" si="0"/>
        <v>/</v>
      </c>
      <c r="B972" s="2"/>
      <c r="C972" s="11"/>
      <c r="D972" s="11"/>
      <c r="E972" s="11"/>
      <c r="F972" s="11"/>
      <c r="G972" s="11"/>
      <c r="H972" s="11"/>
    </row>
    <row r="973" spans="1:8" ht="37.5" customHeight="1" x14ac:dyDescent="0.25">
      <c r="A973" s="51" t="str">
        <f t="shared" si="0"/>
        <v>/</v>
      </c>
      <c r="B973" s="2"/>
      <c r="C973" s="11"/>
      <c r="D973" s="11"/>
      <c r="E973" s="11"/>
      <c r="F973" s="11"/>
      <c r="G973" s="11"/>
      <c r="H973" s="11"/>
    </row>
    <row r="974" spans="1:8" ht="37.5" customHeight="1" x14ac:dyDescent="0.25">
      <c r="A974" s="51" t="str">
        <f t="shared" si="0"/>
        <v>/</v>
      </c>
      <c r="B974" s="2"/>
      <c r="C974" s="11"/>
      <c r="D974" s="11"/>
      <c r="E974" s="11"/>
      <c r="F974" s="11"/>
      <c r="G974" s="11"/>
      <c r="H974" s="11"/>
    </row>
    <row r="975" spans="1:8" ht="37.5" customHeight="1" x14ac:dyDescent="0.25">
      <c r="A975" s="51" t="str">
        <f t="shared" si="0"/>
        <v>/</v>
      </c>
      <c r="B975" s="2"/>
      <c r="C975" s="11"/>
      <c r="D975" s="11"/>
      <c r="E975" s="11"/>
      <c r="F975" s="11"/>
      <c r="G975" s="11"/>
      <c r="H975" s="11"/>
    </row>
    <row r="976" spans="1:8" ht="37.5" customHeight="1" x14ac:dyDescent="0.25">
      <c r="A976" s="51" t="str">
        <f t="shared" si="0"/>
        <v>/</v>
      </c>
      <c r="B976" s="2"/>
      <c r="C976" s="11"/>
      <c r="D976" s="11"/>
      <c r="E976" s="11"/>
      <c r="F976" s="11"/>
      <c r="G976" s="11"/>
      <c r="H976" s="11"/>
    </row>
    <row r="977" spans="1:8" ht="37.5" customHeight="1" x14ac:dyDescent="0.25">
      <c r="A977" s="51" t="str">
        <f t="shared" si="0"/>
        <v>/</v>
      </c>
      <c r="B977" s="2"/>
      <c r="C977" s="11"/>
      <c r="D977" s="11"/>
      <c r="E977" s="11"/>
      <c r="F977" s="11"/>
      <c r="G977" s="11"/>
      <c r="H977" s="11"/>
    </row>
    <row r="978" spans="1:8" ht="37.5" customHeight="1" x14ac:dyDescent="0.25">
      <c r="A978" s="51" t="str">
        <f t="shared" si="0"/>
        <v>/</v>
      </c>
      <c r="B978" s="2"/>
      <c r="C978" s="11"/>
      <c r="D978" s="11"/>
      <c r="E978" s="11"/>
      <c r="F978" s="11"/>
      <c r="G978" s="11"/>
      <c r="H978" s="11"/>
    </row>
    <row r="979" spans="1:8" ht="37.5" customHeight="1" x14ac:dyDescent="0.25">
      <c r="A979" s="51" t="str">
        <f t="shared" si="0"/>
        <v>/</v>
      </c>
      <c r="B979" s="2"/>
      <c r="C979" s="11"/>
      <c r="D979" s="11"/>
      <c r="E979" s="11"/>
      <c r="F979" s="11"/>
      <c r="G979" s="11"/>
      <c r="H979" s="11"/>
    </row>
    <row r="980" spans="1:8" ht="37.5" customHeight="1" x14ac:dyDescent="0.25">
      <c r="A980" s="51" t="str">
        <f t="shared" si="0"/>
        <v>/</v>
      </c>
      <c r="B980" s="2"/>
      <c r="C980" s="11"/>
      <c r="D980" s="11"/>
      <c r="E980" s="11"/>
      <c r="F980" s="11"/>
      <c r="G980" s="11"/>
      <c r="H980" s="11"/>
    </row>
    <row r="981" spans="1:8" ht="37.5" customHeight="1" x14ac:dyDescent="0.25">
      <c r="A981" s="51" t="str">
        <f t="shared" si="0"/>
        <v>/</v>
      </c>
      <c r="B981" s="2"/>
      <c r="C981" s="11"/>
      <c r="D981" s="11"/>
      <c r="E981" s="11"/>
      <c r="F981" s="11"/>
      <c r="G981" s="11"/>
      <c r="H981" s="11"/>
    </row>
    <row r="982" spans="1:8" ht="37.5" customHeight="1" x14ac:dyDescent="0.25">
      <c r="A982" s="51" t="str">
        <f t="shared" si="0"/>
        <v>/</v>
      </c>
      <c r="B982" s="2"/>
      <c r="C982" s="11"/>
      <c r="D982" s="11"/>
      <c r="E982" s="11"/>
      <c r="F982" s="11"/>
      <c r="G982" s="11"/>
      <c r="H982" s="11"/>
    </row>
    <row r="983" spans="1:8" ht="37.5" customHeight="1" x14ac:dyDescent="0.25">
      <c r="A983" s="51" t="str">
        <f t="shared" si="0"/>
        <v>/</v>
      </c>
      <c r="B983" s="2"/>
      <c r="C983" s="11"/>
      <c r="D983" s="11"/>
      <c r="E983" s="11"/>
      <c r="F983" s="11"/>
      <c r="G983" s="11"/>
      <c r="H983" s="11"/>
    </row>
    <row r="984" spans="1:8" ht="37.5" customHeight="1" x14ac:dyDescent="0.25">
      <c r="A984" s="51" t="str">
        <f t="shared" si="0"/>
        <v>/</v>
      </c>
      <c r="B984" s="2"/>
      <c r="C984" s="11"/>
      <c r="D984" s="11"/>
      <c r="E984" s="11"/>
      <c r="F984" s="11"/>
      <c r="G984" s="11"/>
      <c r="H984" s="11"/>
    </row>
    <row r="985" spans="1:8" ht="37.5" customHeight="1" x14ac:dyDescent="0.25">
      <c r="A985" s="51" t="str">
        <f t="shared" si="0"/>
        <v>/</v>
      </c>
      <c r="B985" s="2"/>
      <c r="C985" s="11"/>
      <c r="D985" s="11"/>
      <c r="E985" s="11"/>
      <c r="F985" s="11"/>
      <c r="G985" s="11"/>
      <c r="H985" s="11"/>
    </row>
    <row r="986" spans="1:8" ht="37.5" customHeight="1" x14ac:dyDescent="0.25">
      <c r="A986" s="51" t="str">
        <f t="shared" si="0"/>
        <v>/</v>
      </c>
      <c r="B986" s="2"/>
      <c r="C986" s="11"/>
      <c r="D986" s="11"/>
      <c r="E986" s="11"/>
      <c r="F986" s="11"/>
      <c r="G986" s="11"/>
      <c r="H986" s="11"/>
    </row>
    <row r="987" spans="1:8" ht="37.5" customHeight="1" x14ac:dyDescent="0.25">
      <c r="A987" s="51" t="str">
        <f t="shared" si="0"/>
        <v>/</v>
      </c>
      <c r="B987" s="2"/>
      <c r="C987" s="11"/>
      <c r="D987" s="11"/>
      <c r="E987" s="11"/>
      <c r="F987" s="11"/>
      <c r="G987" s="11"/>
      <c r="H987" s="11"/>
    </row>
    <row r="988" spans="1:8" ht="37.5" customHeight="1" x14ac:dyDescent="0.25">
      <c r="A988" s="51" t="str">
        <f t="shared" si="0"/>
        <v>/</v>
      </c>
      <c r="B988" s="2"/>
      <c r="C988" s="11"/>
      <c r="D988" s="11"/>
      <c r="E988" s="11"/>
      <c r="F988" s="11"/>
      <c r="G988" s="11"/>
      <c r="H988" s="11"/>
    </row>
    <row r="989" spans="1:8" ht="37.5" customHeight="1" x14ac:dyDescent="0.25">
      <c r="A989" s="51" t="str">
        <f t="shared" si="0"/>
        <v>/</v>
      </c>
      <c r="B989" s="2"/>
      <c r="C989" s="11"/>
      <c r="D989" s="11"/>
      <c r="E989" s="11"/>
      <c r="F989" s="11"/>
      <c r="G989" s="11"/>
      <c r="H989" s="11"/>
    </row>
    <row r="990" spans="1:8" ht="37.5" customHeight="1" x14ac:dyDescent="0.25">
      <c r="A990" s="51" t="str">
        <f t="shared" si="0"/>
        <v>/</v>
      </c>
      <c r="B990" s="2"/>
      <c r="C990" s="11"/>
      <c r="D990" s="11"/>
      <c r="E990" s="11"/>
      <c r="F990" s="11"/>
      <c r="G990" s="11"/>
      <c r="H990" s="11"/>
    </row>
    <row r="991" spans="1:8" ht="37.5" customHeight="1" x14ac:dyDescent="0.25">
      <c r="A991" s="51" t="str">
        <f t="shared" si="0"/>
        <v>/</v>
      </c>
      <c r="B991" s="2"/>
      <c r="C991" s="11"/>
      <c r="D991" s="11"/>
      <c r="E991" s="11"/>
      <c r="F991" s="11"/>
      <c r="G991" s="11"/>
      <c r="H991" s="11"/>
    </row>
    <row r="992" spans="1:8" ht="37.5" customHeight="1" x14ac:dyDescent="0.25">
      <c r="A992" s="51" t="str">
        <f t="shared" si="0"/>
        <v>/</v>
      </c>
      <c r="B992" s="2"/>
      <c r="C992" s="11"/>
      <c r="D992" s="11"/>
      <c r="E992" s="11"/>
      <c r="F992" s="11"/>
      <c r="G992" s="11"/>
      <c r="H992" s="11"/>
    </row>
    <row r="993" spans="1:8" ht="37.5" customHeight="1" x14ac:dyDescent="0.25">
      <c r="A993" s="51" t="str">
        <f t="shared" si="0"/>
        <v>/</v>
      </c>
      <c r="B993" s="2"/>
      <c r="C993" s="11"/>
      <c r="D993" s="11"/>
      <c r="E993" s="11"/>
      <c r="F993" s="11"/>
      <c r="G993" s="11"/>
      <c r="H993" s="11"/>
    </row>
    <row r="994" spans="1:8" ht="37.5" customHeight="1" x14ac:dyDescent="0.25">
      <c r="A994" s="51" t="str">
        <f t="shared" si="0"/>
        <v>/</v>
      </c>
      <c r="B994" s="2"/>
      <c r="C994" s="11"/>
      <c r="D994" s="11"/>
      <c r="E994" s="11"/>
      <c r="F994" s="11"/>
      <c r="G994" s="11"/>
      <c r="H994" s="11"/>
    </row>
    <row r="995" spans="1:8" ht="37.5" customHeight="1" x14ac:dyDescent="0.25">
      <c r="A995" s="51" t="str">
        <f t="shared" si="0"/>
        <v>/</v>
      </c>
      <c r="B995" s="2"/>
      <c r="C995" s="11"/>
      <c r="D995" s="11"/>
      <c r="E995" s="11"/>
      <c r="F995" s="11"/>
      <c r="G995" s="11"/>
      <c r="H995" s="11"/>
    </row>
    <row r="996" spans="1:8" ht="37.5" customHeight="1" x14ac:dyDescent="0.25">
      <c r="A996" s="51" t="str">
        <f t="shared" si="0"/>
        <v>/</v>
      </c>
      <c r="B996" s="2"/>
      <c r="C996" s="11"/>
      <c r="D996" s="11"/>
      <c r="E996" s="11"/>
      <c r="F996" s="11"/>
      <c r="G996" s="11"/>
      <c r="H996" s="11"/>
    </row>
    <row r="997" spans="1:8" ht="37.5" customHeight="1" x14ac:dyDescent="0.25">
      <c r="A997" s="51" t="str">
        <f t="shared" si="0"/>
        <v>/</v>
      </c>
      <c r="B997" s="2"/>
      <c r="C997" s="11"/>
      <c r="D997" s="11"/>
      <c r="E997" s="11"/>
      <c r="F997" s="11"/>
      <c r="G997" s="11"/>
      <c r="H997" s="11"/>
    </row>
    <row r="998" spans="1:8" ht="37.5" customHeight="1" x14ac:dyDescent="0.25">
      <c r="A998" s="51" t="str">
        <f t="shared" si="0"/>
        <v>/</v>
      </c>
      <c r="B998" s="2"/>
      <c r="C998" s="11"/>
      <c r="D998" s="11"/>
      <c r="E998" s="11"/>
      <c r="F998" s="11"/>
      <c r="G998" s="11"/>
      <c r="H998" s="11"/>
    </row>
    <row r="999" spans="1:8" ht="37.5" customHeight="1" x14ac:dyDescent="0.25">
      <c r="A999" s="51" t="str">
        <f t="shared" si="0"/>
        <v>/</v>
      </c>
      <c r="B999" s="2"/>
      <c r="C999" s="11"/>
      <c r="D999" s="11"/>
      <c r="E999" s="11"/>
      <c r="F999" s="11"/>
      <c r="G999" s="11"/>
      <c r="H999" s="11"/>
    </row>
  </sheetData>
  <pageMargins left="0.511811024" right="0.511811024" top="0.78740157499999996" bottom="0.78740157499999996" header="0.31496062000000002" footer="0.31496062000000002"/>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74EA7"/>
    <outlinePr summaryBelow="0" summaryRight="0"/>
  </sheetPr>
  <dimension ref="A1:AN1001"/>
  <sheetViews>
    <sheetView workbookViewId="0">
      <pane ySplit="1" topLeftCell="A2" activePane="bottomLeft" state="frozen"/>
      <selection pane="bottomLeft" activeCell="B3" sqref="B3"/>
    </sheetView>
  </sheetViews>
  <sheetFormatPr defaultColWidth="12.54296875" defaultRowHeight="15.75" customHeight="1" x14ac:dyDescent="0.25"/>
  <sheetData>
    <row r="1" spans="1:40" ht="15.75" customHeight="1" x14ac:dyDescent="0.35">
      <c r="A1" s="54" t="s">
        <v>1</v>
      </c>
      <c r="B1" s="54" t="s">
        <v>1721</v>
      </c>
      <c r="C1" s="54" t="s">
        <v>1722</v>
      </c>
      <c r="D1" s="54" t="s">
        <v>1723</v>
      </c>
      <c r="E1" s="54" t="s">
        <v>208</v>
      </c>
      <c r="F1" s="54" t="s">
        <v>209</v>
      </c>
      <c r="G1" s="54" t="s">
        <v>210</v>
      </c>
      <c r="H1" s="54" t="s">
        <v>211</v>
      </c>
      <c r="I1" s="54" t="s">
        <v>212</v>
      </c>
      <c r="J1" s="54" t="s">
        <v>5</v>
      </c>
      <c r="K1" s="54" t="s">
        <v>213</v>
      </c>
      <c r="L1" s="54" t="s">
        <v>214</v>
      </c>
      <c r="M1" s="54" t="s">
        <v>215</v>
      </c>
      <c r="N1" s="54" t="s">
        <v>216</v>
      </c>
      <c r="O1" s="54" t="s">
        <v>217</v>
      </c>
      <c r="P1" s="54" t="s">
        <v>7</v>
      </c>
      <c r="Q1" s="54" t="s">
        <v>218</v>
      </c>
      <c r="R1" s="54" t="s">
        <v>219</v>
      </c>
      <c r="S1" s="54" t="s">
        <v>8</v>
      </c>
      <c r="T1" s="54" t="s">
        <v>24</v>
      </c>
      <c r="U1" s="54" t="s">
        <v>25</v>
      </c>
      <c r="V1" s="54" t="s">
        <v>220</v>
      </c>
      <c r="W1" s="54" t="s">
        <v>26</v>
      </c>
      <c r="X1" s="54" t="s">
        <v>221</v>
      </c>
      <c r="Y1" s="54" t="s">
        <v>222</v>
      </c>
      <c r="Z1" s="54" t="s">
        <v>223</v>
      </c>
      <c r="AA1" s="54" t="s">
        <v>224</v>
      </c>
      <c r="AB1" s="54" t="s">
        <v>225</v>
      </c>
      <c r="AC1" s="54" t="s">
        <v>226</v>
      </c>
      <c r="AD1" s="54" t="s">
        <v>227</v>
      </c>
      <c r="AE1" s="54" t="s">
        <v>228</v>
      </c>
      <c r="AF1" s="54" t="s">
        <v>229</v>
      </c>
      <c r="AG1" s="54" t="s">
        <v>230</v>
      </c>
      <c r="AH1" s="54" t="s">
        <v>231</v>
      </c>
      <c r="AI1" s="54" t="s">
        <v>17</v>
      </c>
      <c r="AJ1" s="54" t="s">
        <v>18</v>
      </c>
      <c r="AK1" s="54" t="s">
        <v>232</v>
      </c>
      <c r="AL1" s="54" t="s">
        <v>16</v>
      </c>
      <c r="AM1" s="54" t="s">
        <v>233</v>
      </c>
      <c r="AN1" s="55"/>
    </row>
    <row r="2" spans="1:40" ht="15.75" customHeight="1" x14ac:dyDescent="0.35">
      <c r="A2" s="55" t="str">
        <f t="shared" ref="A2:A1001" ca="1" si="0">IF(B2="","",J2&amp;"/"&amp;M2&amp;"/"&amp;P2&amp;"/"&amp;S2)</f>
        <v xml:space="preserve"> AGUA BRANCA/ESCOLA MAE IAIA/CUIDADOR DE IDOSO/NOITE</v>
      </c>
      <c r="B2" s="55" t="str">
        <f ca="1">IFERROR(__xludf.DUMMYFUNCTION("QUERY(IMPORTRANGE(""https://docs.google.com/spreadsheets/d/10vIrSjQFhtjNxpDTCqNCczkSy9Zw91gAb0hvPg2neSY/edit?gid=0#gid=0"",""BDTurmas!B504:AM""),""SELECT * WHERE Col3 IS NOT NULL"")"),"00000001365")</f>
        <v>00000001365</v>
      </c>
      <c r="C2" s="55" t="str">
        <f ca="1">IFERROR(__xludf.DUMMYFUNCTION("""COMPUTED_VALUE"""),"T-CUIDADOR DE IDOSO/00000001365")</f>
        <v>T-CUIDADOR DE IDOSO/00000001365</v>
      </c>
      <c r="D2" s="56" t="str">
        <f ca="1">IFERROR(__xludf.DUMMYFUNCTION("""COMPUTED_VALUE"""),"https://docs.google.com/spreadsheets/d/1mPgfoZgF4PhbDsiQ_0qd8lfKCJ6XGZmxfPFl2fDy57w/edit?usp=drivesdk")</f>
        <v>https://docs.google.com/spreadsheets/d/1mPgfoZgF4PhbDsiQ_0qd8lfKCJ6XGZmxfPFl2fDy57w/edit?usp=drivesdk</v>
      </c>
      <c r="E2" s="55" t="str">
        <f ca="1">IFERROR(__xludf.DUMMYFUNCTION("""COMPUTED_VALUE"""),"17 - PARAIBATEC FIC")</f>
        <v>17 - PARAIBATEC FIC</v>
      </c>
      <c r="F2" s="55" t="str">
        <f ca="1">IFERROR(__xludf.DUMMYFUNCTION("""COMPUTED_VALUE"""),"PARAIBATEC FIC")</f>
        <v>PARAIBATEC FIC</v>
      </c>
      <c r="G2" s="55" t="str">
        <f ca="1">IFERROR(__xludf.DUMMYFUNCTION("""COMPUTED_VALUE"""),"01 - PARAIBATEC")</f>
        <v>01 - PARAIBATEC</v>
      </c>
      <c r="H2" s="55" t="str">
        <f ca="1">IFERROR(__xludf.DUMMYFUNCTION("""COMPUTED_VALUE"""),"PARAIBATEC")</f>
        <v>PARAIBATEC</v>
      </c>
      <c r="I2" s="55" t="str">
        <f ca="1">IFERROR(__xludf.DUMMYFUNCTION("""COMPUTED_VALUE"""),"442 - ESCOLA MAE IAIA")</f>
        <v>442 - ESCOLA MAE IAIA</v>
      </c>
      <c r="J2" s="55" t="str">
        <f ca="1">IFERROR(__xludf.DUMMYFUNCTION("""COMPUTED_VALUE""")," AGUA BRANCA")</f>
        <v xml:space="preserve"> AGUA BRANCA</v>
      </c>
      <c r="K2" s="55"/>
      <c r="L2" s="55"/>
      <c r="M2" s="55" t="str">
        <f ca="1">IFERROR(__xludf.DUMMYFUNCTION("""COMPUTED_VALUE"""),"ESCOLA MAE IAIA")</f>
        <v>ESCOLA MAE IAIA</v>
      </c>
      <c r="N2" s="55">
        <f ca="1">IFERROR(__xludf.DUMMYFUNCTION("""COMPUTED_VALUE"""),221539)</f>
        <v>221539</v>
      </c>
      <c r="O2" s="55" t="str">
        <f ca="1">IFERROR(__xludf.DUMMYFUNCTION("""COMPUTED_VALUE"""),"AMBIENTE E SAUDE")</f>
        <v>AMBIENTE E SAUDE</v>
      </c>
      <c r="P2" s="55" t="str">
        <f ca="1">IFERROR(__xludf.DUMMYFUNCTION("""COMPUTED_VALUE"""),"CUIDADOR DE IDOSO")</f>
        <v>CUIDADOR DE IDOSO</v>
      </c>
      <c r="Q2" s="55" t="str">
        <f ca="1">IFERROR(__xludf.DUMMYFUNCTION("""COMPUTED_VALUE"""),"FIC")</f>
        <v>FIC</v>
      </c>
      <c r="R2" s="55">
        <f ca="1">IFERROR(__xludf.DUMMYFUNCTION("""COMPUTED_VALUE"""),160)</f>
        <v>160</v>
      </c>
      <c r="S2" s="55" t="str">
        <f ca="1">IFERROR(__xludf.DUMMYFUNCTION("""COMPUTED_VALUE"""),"NOITE")</f>
        <v>NOITE</v>
      </c>
      <c r="T2" s="57">
        <f ca="1">IFERROR(__xludf.DUMMYFUNCTION("""COMPUTED_VALUE"""),45699)</f>
        <v>45699</v>
      </c>
      <c r="U2" s="57">
        <f ca="1">IFERROR(__xludf.DUMMYFUNCTION("""COMPUTED_VALUE"""),45799)</f>
        <v>45799</v>
      </c>
      <c r="V2" s="55"/>
      <c r="W2" s="55"/>
      <c r="X2" s="55"/>
      <c r="Y2" s="55" t="str">
        <f ca="1">IFERROR(__xludf.DUMMYFUNCTION("""COMPUTED_VALUE"""),"EM OFERTA")</f>
        <v>EM OFERTA</v>
      </c>
      <c r="Z2" s="55"/>
      <c r="AA2" s="55"/>
      <c r="AB2" s="55"/>
      <c r="AC2" s="55"/>
      <c r="AD2" s="55"/>
      <c r="AE2" s="55"/>
      <c r="AF2" s="55"/>
      <c r="AG2" s="55"/>
      <c r="AH2" s="55" t="str">
        <f ca="1">IFERROR(__xludf.DUMMYFUNCTION("""COMPUTED_VALUE"""),"-")</f>
        <v>-</v>
      </c>
      <c r="AI2" s="55" t="str">
        <f ca="1">IFERROR(__xludf.DUMMYFUNCTION("""COMPUTED_VALUE"""),"TAMARA TATISE BISPO PEREIRA")</f>
        <v>TAMARA TATISE BISPO PEREIRA</v>
      </c>
      <c r="AJ2" s="55" t="str">
        <f ca="1">IFERROR(__xludf.DUMMYFUNCTION("""COMPUTED_VALUE"""),"-")</f>
        <v>-</v>
      </c>
      <c r="AK2" s="55" t="str">
        <f ca="1">IFERROR(__xludf.DUMMYFUNCTION("""COMPUTED_VALUE"""),"-")</f>
        <v>-</v>
      </c>
      <c r="AL2" s="55" t="str">
        <f ca="1">IFERROR(__xludf.DUMMYFUNCTION("""COMPUTED_VALUE"""),"TUANNY MICHELE HERCULANO SANTOS")</f>
        <v>TUANNY MICHELE HERCULANO SANTOS</v>
      </c>
      <c r="AM2" s="55">
        <f ca="1">IFERROR(__xludf.DUMMYFUNCTION("""COMPUTED_VALUE"""),2025)</f>
        <v>2025</v>
      </c>
      <c r="AN2" s="55"/>
    </row>
    <row r="3" spans="1:40" ht="15.75" customHeight="1" x14ac:dyDescent="0.35">
      <c r="A3" s="55" t="str">
        <f t="shared" ca="1" si="0"/>
        <v xml:space="preserve"> ALAGOA NOVA/CENTRO ARTESANAL DEPUTADO RAIMUNDO ASFORA/AVICULTOR/TARDE</v>
      </c>
      <c r="B3" s="55" t="str">
        <f ca="1">IFERROR(__xludf.DUMMYFUNCTION("""COMPUTED_VALUE"""),"00000001366")</f>
        <v>00000001366</v>
      </c>
      <c r="C3" s="55" t="str">
        <f ca="1">IFERROR(__xludf.DUMMYFUNCTION("""COMPUTED_VALUE"""),"T-AVICULTOR/00000001366")</f>
        <v>T-AVICULTOR/00000001366</v>
      </c>
      <c r="D3" s="56" t="str">
        <f ca="1">IFERROR(__xludf.DUMMYFUNCTION("""COMPUTED_VALUE"""),"https://docs.google.com/spreadsheets/d/1ahdED2zJRfju5nI4ubL9kzam2tENrLFqMDZI-gJWvFk/edit?usp=drivesdk")</f>
        <v>https://docs.google.com/spreadsheets/d/1ahdED2zJRfju5nI4ubL9kzam2tENrLFqMDZI-gJWvFk/edit?usp=drivesdk</v>
      </c>
      <c r="E3" s="55" t="str">
        <f ca="1">IFERROR(__xludf.DUMMYFUNCTION("""COMPUTED_VALUE"""),"17 - PARAIBATEC FIC")</f>
        <v>17 - PARAIBATEC FIC</v>
      </c>
      <c r="F3" s="55" t="str">
        <f ca="1">IFERROR(__xludf.DUMMYFUNCTION("""COMPUTED_VALUE"""),"PARAIBATEC FIC")</f>
        <v>PARAIBATEC FIC</v>
      </c>
      <c r="G3" s="55" t="str">
        <f ca="1">IFERROR(__xludf.DUMMYFUNCTION("""COMPUTED_VALUE"""),"01 - PARAIBATEC")</f>
        <v>01 - PARAIBATEC</v>
      </c>
      <c r="H3" s="55" t="str">
        <f ca="1">IFERROR(__xludf.DUMMYFUNCTION("""COMPUTED_VALUE"""),"PARAIBATEC")</f>
        <v>PARAIBATEC</v>
      </c>
      <c r="I3" s="55" t="str">
        <f ca="1">IFERROR(__xludf.DUMMYFUNCTION("""COMPUTED_VALUE"""),"412 - CENTRO ARTESANAL DEPUTADO RAIMUNDO ASFORA")</f>
        <v>412 - CENTRO ARTESANAL DEPUTADO RAIMUNDO ASFORA</v>
      </c>
      <c r="J3" s="55" t="str">
        <f ca="1">IFERROR(__xludf.DUMMYFUNCTION("""COMPUTED_VALUE""")," ALAGOA NOVA")</f>
        <v xml:space="preserve"> ALAGOA NOVA</v>
      </c>
      <c r="K3" s="55"/>
      <c r="L3" s="55"/>
      <c r="M3" s="55" t="str">
        <f ca="1">IFERROR(__xludf.DUMMYFUNCTION("""COMPUTED_VALUE"""),"CENTRO ARTESANAL DEPUTADO RAIMUNDO ASFORA")</f>
        <v>CENTRO ARTESANAL DEPUTADO RAIMUNDO ASFORA</v>
      </c>
      <c r="N3" s="55">
        <f ca="1">IFERROR(__xludf.DUMMYFUNCTION("""COMPUTED_VALUE"""),221126)</f>
        <v>221126</v>
      </c>
      <c r="O3" s="55" t="str">
        <f ca="1">IFERROR(__xludf.DUMMYFUNCTION("""COMPUTED_VALUE"""),"RECURSOS NATURAIS")</f>
        <v>RECURSOS NATURAIS</v>
      </c>
      <c r="P3" s="55" t="str">
        <f ca="1">IFERROR(__xludf.DUMMYFUNCTION("""COMPUTED_VALUE"""),"AVICULTOR")</f>
        <v>AVICULTOR</v>
      </c>
      <c r="Q3" s="55" t="str">
        <f ca="1">IFERROR(__xludf.DUMMYFUNCTION("""COMPUTED_VALUE"""),"FIC")</f>
        <v>FIC</v>
      </c>
      <c r="R3" s="55">
        <f ca="1">IFERROR(__xludf.DUMMYFUNCTION("""COMPUTED_VALUE"""),200)</f>
        <v>200</v>
      </c>
      <c r="S3" s="55" t="str">
        <f ca="1">IFERROR(__xludf.DUMMYFUNCTION("""COMPUTED_VALUE"""),"TARDE")</f>
        <v>TARDE</v>
      </c>
      <c r="T3" s="57">
        <f ca="1">IFERROR(__xludf.DUMMYFUNCTION("""COMPUTED_VALUE"""),45691)</f>
        <v>45691</v>
      </c>
      <c r="U3" s="57">
        <f ca="1">IFERROR(__xludf.DUMMYFUNCTION("""COMPUTED_VALUE"""),45853)</f>
        <v>45853</v>
      </c>
      <c r="V3" s="55"/>
      <c r="W3" s="55"/>
      <c r="X3" s="55"/>
      <c r="Y3" s="55" t="str">
        <f ca="1">IFERROR(__xludf.DUMMYFUNCTION("""COMPUTED_VALUE"""),"EM OFERTA")</f>
        <v>EM OFERTA</v>
      </c>
      <c r="Z3" s="55"/>
      <c r="AA3" s="55"/>
      <c r="AB3" s="55"/>
      <c r="AC3" s="55"/>
      <c r="AD3" s="55"/>
      <c r="AE3" s="55"/>
      <c r="AF3" s="55"/>
      <c r="AG3" s="55"/>
      <c r="AH3" s="55" t="str">
        <f ca="1">IFERROR(__xludf.DUMMYFUNCTION("""COMPUTED_VALUE"""),"-")</f>
        <v>-</v>
      </c>
      <c r="AI3" s="55" t="str">
        <f ca="1">IFERROR(__xludf.DUMMYFUNCTION("""COMPUTED_VALUE"""),"JOSEANNE DE LIMA SALES")</f>
        <v>JOSEANNE DE LIMA SALES</v>
      </c>
      <c r="AJ3" s="55" t="str">
        <f ca="1">IFERROR(__xludf.DUMMYFUNCTION("""COMPUTED_VALUE"""),"-")</f>
        <v>-</v>
      </c>
      <c r="AK3" s="55" t="str">
        <f ca="1">IFERROR(__xludf.DUMMYFUNCTION("""COMPUTED_VALUE"""),"-")</f>
        <v>-</v>
      </c>
      <c r="AL3" s="55" t="str">
        <f ca="1">IFERROR(__xludf.DUMMYFUNCTION("""COMPUTED_VALUE"""),"MONICA BARROS DA SILVA")</f>
        <v>MONICA BARROS DA SILVA</v>
      </c>
      <c r="AM3" s="55">
        <f ca="1">IFERROR(__xludf.DUMMYFUNCTION("""COMPUTED_VALUE"""),2025)</f>
        <v>2025</v>
      </c>
      <c r="AN3" s="55"/>
    </row>
    <row r="4" spans="1:40" ht="15.75" customHeight="1" x14ac:dyDescent="0.35">
      <c r="A4" s="55" t="str">
        <f t="shared" ca="1" si="0"/>
        <v xml:space="preserve"> ALHANDRA/EMEIEF PROF ZELIA CORREIA DO O/ASSISTENTE ADMINISTRATIVO/NOITE</v>
      </c>
      <c r="B4" s="55" t="str">
        <f ca="1">IFERROR(__xludf.DUMMYFUNCTION("""COMPUTED_VALUE"""),"00000001367")</f>
        <v>00000001367</v>
      </c>
      <c r="C4" s="55" t="str">
        <f ca="1">IFERROR(__xludf.DUMMYFUNCTION("""COMPUTED_VALUE"""),"T-ASSISTENTE ADMINISTRATIVO/00000001367")</f>
        <v>T-ASSISTENTE ADMINISTRATIVO/00000001367</v>
      </c>
      <c r="D4" s="56" t="str">
        <f ca="1">IFERROR(__xludf.DUMMYFUNCTION("""COMPUTED_VALUE"""),"https://docs.google.com/spreadsheets/d/1usypukxC_ov9AvPiIbNgBLxbwZIXxmJt3_kfGVfcehM/edit?usp=drivesdk")</f>
        <v>https://docs.google.com/spreadsheets/d/1usypukxC_ov9AvPiIbNgBLxbwZIXxmJt3_kfGVfcehM/edit?usp=drivesdk</v>
      </c>
      <c r="E4" s="55" t="str">
        <f ca="1">IFERROR(__xludf.DUMMYFUNCTION("""COMPUTED_VALUE"""),"17 - PARAIBATEC FIC")</f>
        <v>17 - PARAIBATEC FIC</v>
      </c>
      <c r="F4" s="55" t="str">
        <f ca="1">IFERROR(__xludf.DUMMYFUNCTION("""COMPUTED_VALUE"""),"PARAIBATEC FIC")</f>
        <v>PARAIBATEC FIC</v>
      </c>
      <c r="G4" s="55" t="str">
        <f ca="1">IFERROR(__xludf.DUMMYFUNCTION("""COMPUTED_VALUE"""),"01 - PARAIBATEC")</f>
        <v>01 - PARAIBATEC</v>
      </c>
      <c r="H4" s="55" t="str">
        <f ca="1">IFERROR(__xludf.DUMMYFUNCTION("""COMPUTED_VALUE"""),"PARAIBATEC")</f>
        <v>PARAIBATEC</v>
      </c>
      <c r="I4" s="55" t="str">
        <f ca="1">IFERROR(__xludf.DUMMYFUNCTION("""COMPUTED_VALUE"""),"485 - EMEIEF PROF ZELIA CORREIA DO O")</f>
        <v>485 - EMEIEF PROF ZELIA CORREIA DO O</v>
      </c>
      <c r="J4" s="55" t="str">
        <f ca="1">IFERROR(__xludf.DUMMYFUNCTION("""COMPUTED_VALUE""")," ALHANDRA")</f>
        <v xml:space="preserve"> ALHANDRA</v>
      </c>
      <c r="K4" s="55"/>
      <c r="L4" s="55"/>
      <c r="M4" s="55" t="str">
        <f ca="1">IFERROR(__xludf.DUMMYFUNCTION("""COMPUTED_VALUE"""),"EMEIEF PROF ZELIA CORREIA DO O")</f>
        <v>EMEIEF PROF ZELIA CORREIA DO O</v>
      </c>
      <c r="N4" s="55">
        <f ca="1">IFERROR(__xludf.DUMMYFUNCTION("""COMPUTED_VALUE"""),221012)</f>
        <v>221012</v>
      </c>
      <c r="O4" s="55" t="str">
        <f ca="1">IFERROR(__xludf.DUMMYFUNCTION("""COMPUTED_VALUE"""),"GESTAO E NEGOCIOS")</f>
        <v>GESTAO E NEGOCIOS</v>
      </c>
      <c r="P4" s="55" t="str">
        <f ca="1">IFERROR(__xludf.DUMMYFUNCTION("""COMPUTED_VALUE"""),"ASSISTENTE ADMINISTRATIVO")</f>
        <v>ASSISTENTE ADMINISTRATIVO</v>
      </c>
      <c r="Q4" s="55" t="str">
        <f ca="1">IFERROR(__xludf.DUMMYFUNCTION("""COMPUTED_VALUE"""),"FIC")</f>
        <v>FIC</v>
      </c>
      <c r="R4" s="55">
        <f ca="1">IFERROR(__xludf.DUMMYFUNCTION("""COMPUTED_VALUE"""),160)</f>
        <v>160</v>
      </c>
      <c r="S4" s="55" t="str">
        <f ca="1">IFERROR(__xludf.DUMMYFUNCTION("""COMPUTED_VALUE"""),"NOITE")</f>
        <v>NOITE</v>
      </c>
      <c r="T4" s="57">
        <f ca="1">IFERROR(__xludf.DUMMYFUNCTION("""COMPUTED_VALUE"""),45691)</f>
        <v>45691</v>
      </c>
      <c r="U4" s="57"/>
      <c r="V4" s="55"/>
      <c r="W4" s="55"/>
      <c r="X4" s="55"/>
      <c r="Y4" s="55" t="str">
        <f ca="1">IFERROR(__xludf.DUMMYFUNCTION("""COMPUTED_VALUE"""),"EM OFERTA")</f>
        <v>EM OFERTA</v>
      </c>
      <c r="Z4" s="55"/>
      <c r="AA4" s="55"/>
      <c r="AB4" s="55"/>
      <c r="AC4" s="55"/>
      <c r="AD4" s="55"/>
      <c r="AE4" s="55"/>
      <c r="AF4" s="55"/>
      <c r="AG4" s="55"/>
      <c r="AH4" s="55" t="str">
        <f ca="1">IFERROR(__xludf.DUMMYFUNCTION("""COMPUTED_VALUE"""),"-")</f>
        <v>-</v>
      </c>
      <c r="AI4" s="55" t="str">
        <f ca="1">IFERROR(__xludf.DUMMYFUNCTION("""COMPUTED_VALUE"""),"RODRIGO MENEZES SOARES")</f>
        <v>RODRIGO MENEZES SOARES</v>
      </c>
      <c r="AJ4" s="55" t="str">
        <f ca="1">IFERROR(__xludf.DUMMYFUNCTION("""COMPUTED_VALUE"""),"-")</f>
        <v>-</v>
      </c>
      <c r="AK4" s="55" t="str">
        <f ca="1">IFERROR(__xludf.DUMMYFUNCTION("""COMPUTED_VALUE"""),"-")</f>
        <v>-</v>
      </c>
      <c r="AL4" s="55" t="str">
        <f ca="1">IFERROR(__xludf.DUMMYFUNCTION("""COMPUTED_VALUE"""),"WILLAMS GOMES DE SOUZA")</f>
        <v>WILLAMS GOMES DE SOUZA</v>
      </c>
      <c r="AM4" s="55">
        <f ca="1">IFERROR(__xludf.DUMMYFUNCTION("""COMPUTED_VALUE"""),2025)</f>
        <v>2025</v>
      </c>
      <c r="AN4" s="55"/>
    </row>
    <row r="5" spans="1:40" ht="15.75" customHeight="1" x14ac:dyDescent="0.35">
      <c r="A5" s="55" t="str">
        <f t="shared" ca="1" si="0"/>
        <v xml:space="preserve"> APARECIDA/SECRETARIA MUNICIPAL DE EDUCACAO/PRODUTOR DE PRODUTOS APICOLAS/NOITE</v>
      </c>
      <c r="B5" s="55" t="str">
        <f ca="1">IFERROR(__xludf.DUMMYFUNCTION("""COMPUTED_VALUE"""),"00000001368")</f>
        <v>00000001368</v>
      </c>
      <c r="C5" s="55" t="str">
        <f ca="1">IFERROR(__xludf.DUMMYFUNCTION("""COMPUTED_VALUE"""),"T-PRODUTOR DE PRODUTOS APICOLAS/00000001368")</f>
        <v>T-PRODUTOR DE PRODUTOS APICOLAS/00000001368</v>
      </c>
      <c r="D5" s="56" t="str">
        <f ca="1">IFERROR(__xludf.DUMMYFUNCTION("""COMPUTED_VALUE"""),"https://docs.google.com/spreadsheets/d/1qx5iRO20yN2eOkW2-rBnWV8JolW1LfaCSATWOq4MROw/edit?usp=drivesdk")</f>
        <v>https://docs.google.com/spreadsheets/d/1qx5iRO20yN2eOkW2-rBnWV8JolW1LfaCSATWOq4MROw/edit?usp=drivesdk</v>
      </c>
      <c r="E5" s="55" t="str">
        <f ca="1">IFERROR(__xludf.DUMMYFUNCTION("""COMPUTED_VALUE"""),"17 - PARAIBATEC FIC")</f>
        <v>17 - PARAIBATEC FIC</v>
      </c>
      <c r="F5" s="55" t="str">
        <f ca="1">IFERROR(__xludf.DUMMYFUNCTION("""COMPUTED_VALUE"""),"PARAIBATEC FIC")</f>
        <v>PARAIBATEC FIC</v>
      </c>
      <c r="G5" s="55" t="str">
        <f ca="1">IFERROR(__xludf.DUMMYFUNCTION("""COMPUTED_VALUE"""),"01 - PARAIBATEC")</f>
        <v>01 - PARAIBATEC</v>
      </c>
      <c r="H5" s="55" t="str">
        <f ca="1">IFERROR(__xludf.DUMMYFUNCTION("""COMPUTED_VALUE"""),"PARAIBATEC")</f>
        <v>PARAIBATEC</v>
      </c>
      <c r="I5" s="55" t="str">
        <f ca="1">IFERROR(__xludf.DUMMYFUNCTION("""COMPUTED_VALUE"""),"486 - SECRETARIA MUNICIPAL DE EDUCACAO")</f>
        <v>486 - SECRETARIA MUNICIPAL DE EDUCACAO</v>
      </c>
      <c r="J5" s="55" t="str">
        <f ca="1">IFERROR(__xludf.DUMMYFUNCTION("""COMPUTED_VALUE""")," APARECIDA")</f>
        <v xml:space="preserve"> APARECIDA</v>
      </c>
      <c r="K5" s="55"/>
      <c r="L5" s="55"/>
      <c r="M5" s="55" t="str">
        <f ca="1">IFERROR(__xludf.DUMMYFUNCTION("""COMPUTED_VALUE"""),"SECRETARIA MUNICIPAL DE EDUCACAO")</f>
        <v>SECRETARIA MUNICIPAL DE EDUCACAO</v>
      </c>
      <c r="N5" s="55">
        <f ca="1">IFERROR(__xludf.DUMMYFUNCTION("""COMPUTED_VALUE"""),221067)</f>
        <v>221067</v>
      </c>
      <c r="O5" s="55" t="str">
        <f ca="1">IFERROR(__xludf.DUMMYFUNCTION("""COMPUTED_VALUE"""),"PRODUÇAO ALIMENTICIA")</f>
        <v>PRODUÇAO ALIMENTICIA</v>
      </c>
      <c r="P5" s="55" t="str">
        <f ca="1">IFERROR(__xludf.DUMMYFUNCTION("""COMPUTED_VALUE"""),"PRODUTOR DE PRODUTOS APICOLAS")</f>
        <v>PRODUTOR DE PRODUTOS APICOLAS</v>
      </c>
      <c r="Q5" s="55" t="str">
        <f ca="1">IFERROR(__xludf.DUMMYFUNCTION("""COMPUTED_VALUE"""),"FIC")</f>
        <v>FIC</v>
      </c>
      <c r="R5" s="55">
        <f ca="1">IFERROR(__xludf.DUMMYFUNCTION("""COMPUTED_VALUE"""),160)</f>
        <v>160</v>
      </c>
      <c r="S5" s="55" t="str">
        <f ca="1">IFERROR(__xludf.DUMMYFUNCTION("""COMPUTED_VALUE"""),"NOITE")</f>
        <v>NOITE</v>
      </c>
      <c r="T5" s="57">
        <f ca="1">IFERROR(__xludf.DUMMYFUNCTION("""COMPUTED_VALUE"""),45691)</f>
        <v>45691</v>
      </c>
      <c r="U5" s="57">
        <f ca="1">IFERROR(__xludf.DUMMYFUNCTION("""COMPUTED_VALUE"""),45824)</f>
        <v>45824</v>
      </c>
      <c r="V5" s="55"/>
      <c r="W5" s="55"/>
      <c r="X5" s="55"/>
      <c r="Y5" s="55" t="str">
        <f ca="1">IFERROR(__xludf.DUMMYFUNCTION("""COMPUTED_VALUE"""),"EM OFERTA")</f>
        <v>EM OFERTA</v>
      </c>
      <c r="Z5" s="55"/>
      <c r="AA5" s="55"/>
      <c r="AB5" s="55"/>
      <c r="AC5" s="55"/>
      <c r="AD5" s="55"/>
      <c r="AE5" s="55"/>
      <c r="AF5" s="55"/>
      <c r="AG5" s="55"/>
      <c r="AH5" s="55" t="str">
        <f ca="1">IFERROR(__xludf.DUMMYFUNCTION("""COMPUTED_VALUE"""),"-")</f>
        <v>-</v>
      </c>
      <c r="AI5" s="55" t="str">
        <f ca="1">IFERROR(__xludf.DUMMYFUNCTION("""COMPUTED_VALUE"""),"ALINE TRAJANO DO NASCIMENTO")</f>
        <v>ALINE TRAJANO DO NASCIMENTO</v>
      </c>
      <c r="AJ5" s="55" t="str">
        <f ca="1">IFERROR(__xludf.DUMMYFUNCTION("""COMPUTED_VALUE"""),"-")</f>
        <v>-</v>
      </c>
      <c r="AK5" s="55" t="str">
        <f ca="1">IFERROR(__xludf.DUMMYFUNCTION("""COMPUTED_VALUE"""),"-")</f>
        <v>-</v>
      </c>
      <c r="AL5" s="55" t="str">
        <f ca="1">IFERROR(__xludf.DUMMYFUNCTION("""COMPUTED_VALUE"""),"FLORENCE TACIANA VERIATO COURA")</f>
        <v>FLORENCE TACIANA VERIATO COURA</v>
      </c>
      <c r="AM5" s="55">
        <f ca="1">IFERROR(__xludf.DUMMYFUNCTION("""COMPUTED_VALUE"""),2025)</f>
        <v>2025</v>
      </c>
      <c r="AN5" s="55"/>
    </row>
    <row r="6" spans="1:40" ht="15.75" customHeight="1" x14ac:dyDescent="0.35">
      <c r="A6" s="55" t="str">
        <f t="shared" ca="1" si="0"/>
        <v xml:space="preserve"> APARECIDA/SINDICATO DOS TRABALHADORES RURAIS AGRICULTORES E AGRICULTORAS FAMILIARES DE APARECIDA PB/PADEIRO/TARDE</v>
      </c>
      <c r="B6" s="55" t="str">
        <f ca="1">IFERROR(__xludf.DUMMYFUNCTION("""COMPUTED_VALUE"""),"00000001369")</f>
        <v>00000001369</v>
      </c>
      <c r="C6" s="55" t="str">
        <f ca="1">IFERROR(__xludf.DUMMYFUNCTION("""COMPUTED_VALUE"""),"T-PADEIRO/00000001369")</f>
        <v>T-PADEIRO/00000001369</v>
      </c>
      <c r="D6" s="56" t="str">
        <f ca="1">IFERROR(__xludf.DUMMYFUNCTION("""COMPUTED_VALUE"""),"https://docs.google.com/spreadsheets/d/1QN1epae2bPH8_4TyqFjpIWKJ30u9qmKn_hapL1McE3U/edit?usp=drivesdk")</f>
        <v>https://docs.google.com/spreadsheets/d/1QN1epae2bPH8_4TyqFjpIWKJ30u9qmKn_hapL1McE3U/edit?usp=drivesdk</v>
      </c>
      <c r="E6" s="55" t="str">
        <f ca="1">IFERROR(__xludf.DUMMYFUNCTION("""COMPUTED_VALUE"""),"17 - PARAIBATEC FIC")</f>
        <v>17 - PARAIBATEC FIC</v>
      </c>
      <c r="F6" s="55" t="str">
        <f ca="1">IFERROR(__xludf.DUMMYFUNCTION("""COMPUTED_VALUE"""),"PARAIBATEC FIC")</f>
        <v>PARAIBATEC FIC</v>
      </c>
      <c r="G6" s="55" t="str">
        <f ca="1">IFERROR(__xludf.DUMMYFUNCTION("""COMPUTED_VALUE"""),"01 - PARAIBATEC")</f>
        <v>01 - PARAIBATEC</v>
      </c>
      <c r="H6" s="55" t="str">
        <f ca="1">IFERROR(__xludf.DUMMYFUNCTION("""COMPUTED_VALUE"""),"PARAIBATEC")</f>
        <v>PARAIBATEC</v>
      </c>
      <c r="I6" s="55" t="str">
        <f ca="1">IFERROR(__xludf.DUMMYFUNCTION("""COMPUTED_VALUE"""),"487 - SINDICATO DOS TRABALHADORES RURAIS AGRICULTORES E AGRICULTORAS FAMILIARES DE APARECIDA PB")</f>
        <v>487 - SINDICATO DOS TRABALHADORES RURAIS AGRICULTORES E AGRICULTORAS FAMILIARES DE APARECIDA PB</v>
      </c>
      <c r="J6" s="55" t="str">
        <f ca="1">IFERROR(__xludf.DUMMYFUNCTION("""COMPUTED_VALUE""")," APARECIDA")</f>
        <v xml:space="preserve"> APARECIDA</v>
      </c>
      <c r="K6" s="55"/>
      <c r="L6" s="55"/>
      <c r="M6" s="55" t="str">
        <f ca="1">IFERROR(__xludf.DUMMYFUNCTION("""COMPUTED_VALUE"""),"SINDICATO DOS TRABALHADORES RURAIS AGRICULTORES E AGRICULTORAS FAMILIARES DE APARECIDA PB")</f>
        <v>SINDICATO DOS TRABALHADORES RURAIS AGRICULTORES E AGRICULTORAS FAMILIARES DE APARECIDA PB</v>
      </c>
      <c r="N6" s="55">
        <f ca="1">IFERROR(__xludf.DUMMYFUNCTION("""COMPUTED_VALUE"""),221515)</f>
        <v>221515</v>
      </c>
      <c r="O6" s="55" t="str">
        <f ca="1">IFERROR(__xludf.DUMMYFUNCTION("""COMPUTED_VALUE"""),"PRODUÇAO ALIMENTICIA")</f>
        <v>PRODUÇAO ALIMENTICIA</v>
      </c>
      <c r="P6" s="55" t="str">
        <f ca="1">IFERROR(__xludf.DUMMYFUNCTION("""COMPUTED_VALUE"""),"PADEIRO")</f>
        <v>PADEIRO</v>
      </c>
      <c r="Q6" s="55" t="str">
        <f ca="1">IFERROR(__xludf.DUMMYFUNCTION("""COMPUTED_VALUE"""),"FIC")</f>
        <v>FIC</v>
      </c>
      <c r="R6" s="55">
        <f ca="1">IFERROR(__xludf.DUMMYFUNCTION("""COMPUTED_VALUE"""),200)</f>
        <v>200</v>
      </c>
      <c r="S6" s="55" t="str">
        <f ca="1">IFERROR(__xludf.DUMMYFUNCTION("""COMPUTED_VALUE"""),"TARDE")</f>
        <v>TARDE</v>
      </c>
      <c r="T6" s="57">
        <f ca="1">IFERROR(__xludf.DUMMYFUNCTION("""COMPUTED_VALUE"""),45691)</f>
        <v>45691</v>
      </c>
      <c r="U6" s="57">
        <f ca="1">IFERROR(__xludf.DUMMYFUNCTION("""COMPUTED_VALUE"""),45853)</f>
        <v>45853</v>
      </c>
      <c r="V6" s="55"/>
      <c r="W6" s="55"/>
      <c r="X6" s="55"/>
      <c r="Y6" s="55" t="str">
        <f ca="1">IFERROR(__xludf.DUMMYFUNCTION("""COMPUTED_VALUE"""),"EM OFERTA")</f>
        <v>EM OFERTA</v>
      </c>
      <c r="Z6" s="55"/>
      <c r="AA6" s="55"/>
      <c r="AB6" s="55"/>
      <c r="AC6" s="55"/>
      <c r="AD6" s="55"/>
      <c r="AE6" s="55"/>
      <c r="AF6" s="55"/>
      <c r="AG6" s="55"/>
      <c r="AH6" s="55" t="str">
        <f ca="1">IFERROR(__xludf.DUMMYFUNCTION("""COMPUTED_VALUE"""),"-")</f>
        <v>-</v>
      </c>
      <c r="AI6" s="55" t="str">
        <f ca="1">IFERROR(__xludf.DUMMYFUNCTION("""COMPUTED_VALUE"""),"PATRICIA MARGELA FERNANDES SILVEIRA")</f>
        <v>PATRICIA MARGELA FERNANDES SILVEIRA</v>
      </c>
      <c r="AJ6" s="55" t="str">
        <f ca="1">IFERROR(__xludf.DUMMYFUNCTION("""COMPUTED_VALUE"""),"-")</f>
        <v>-</v>
      </c>
      <c r="AK6" s="55" t="str">
        <f ca="1">IFERROR(__xludf.DUMMYFUNCTION("""COMPUTED_VALUE"""),"-")</f>
        <v>-</v>
      </c>
      <c r="AL6" s="55" t="str">
        <f ca="1">IFERROR(__xludf.DUMMYFUNCTION("""COMPUTED_VALUE"""),"REGINALDO FERREIRA SULINO")</f>
        <v>REGINALDO FERREIRA SULINO</v>
      </c>
      <c r="AM6" s="55">
        <f ca="1">IFERROR(__xludf.DUMMYFUNCTION("""COMPUTED_VALUE"""),2025)</f>
        <v>2025</v>
      </c>
      <c r="AN6" s="55"/>
    </row>
    <row r="7" spans="1:40" ht="15.75" customHeight="1" x14ac:dyDescent="0.35">
      <c r="A7" s="55" t="str">
        <f t="shared" ca="1" si="0"/>
        <v xml:space="preserve"> AROEIRAS/EMEF JARDIRENE OLIVEIRA DE SOUZA/ASSISTENTE ADMINISTRATIVO/NOITE</v>
      </c>
      <c r="B7" s="55" t="str">
        <f ca="1">IFERROR(__xludf.DUMMYFUNCTION("""COMPUTED_VALUE"""),"00000001370")</f>
        <v>00000001370</v>
      </c>
      <c r="C7" s="55" t="str">
        <f ca="1">IFERROR(__xludf.DUMMYFUNCTION("""COMPUTED_VALUE"""),"T-ASSISTENTE ADMINISTRATIVO/00000001370")</f>
        <v>T-ASSISTENTE ADMINISTRATIVO/00000001370</v>
      </c>
      <c r="D7" s="56" t="str">
        <f ca="1">IFERROR(__xludf.DUMMYFUNCTION("""COMPUTED_VALUE"""),"https://docs.google.com/spreadsheets/d/1awItbh2XvVXgJ7eNVKBIcVWFOr15CnfraILODAkKZf8/edit?usp=drivesdk")</f>
        <v>https://docs.google.com/spreadsheets/d/1awItbh2XvVXgJ7eNVKBIcVWFOr15CnfraILODAkKZf8/edit?usp=drivesdk</v>
      </c>
      <c r="E7" s="55" t="str">
        <f ca="1">IFERROR(__xludf.DUMMYFUNCTION("""COMPUTED_VALUE"""),"17 - PARAIBATEC FIC")</f>
        <v>17 - PARAIBATEC FIC</v>
      </c>
      <c r="F7" s="55" t="str">
        <f ca="1">IFERROR(__xludf.DUMMYFUNCTION("""COMPUTED_VALUE"""),"PARAIBATEC FIC")</f>
        <v>PARAIBATEC FIC</v>
      </c>
      <c r="G7" s="55" t="str">
        <f ca="1">IFERROR(__xludf.DUMMYFUNCTION("""COMPUTED_VALUE"""),"01 - PARAIBATEC")</f>
        <v>01 - PARAIBATEC</v>
      </c>
      <c r="H7" s="55" t="str">
        <f ca="1">IFERROR(__xludf.DUMMYFUNCTION("""COMPUTED_VALUE"""),"PARAIBATEC")</f>
        <v>PARAIBATEC</v>
      </c>
      <c r="I7" s="55" t="str">
        <f ca="1">IFERROR(__xludf.DUMMYFUNCTION("""COMPUTED_VALUE"""),"445 - EMEF JARDIRENE OLIVEIRA DE SOUZA")</f>
        <v>445 - EMEF JARDIRENE OLIVEIRA DE SOUZA</v>
      </c>
      <c r="J7" s="55" t="str">
        <f ca="1">IFERROR(__xludf.DUMMYFUNCTION("""COMPUTED_VALUE""")," AROEIRAS")</f>
        <v xml:space="preserve"> AROEIRAS</v>
      </c>
      <c r="K7" s="55"/>
      <c r="L7" s="55"/>
      <c r="M7" s="55" t="str">
        <f ca="1">IFERROR(__xludf.DUMMYFUNCTION("""COMPUTED_VALUE"""),"EMEF JARDIRENE OLIVEIRA DE SOUZA")</f>
        <v>EMEF JARDIRENE OLIVEIRA DE SOUZA</v>
      </c>
      <c r="N7" s="55">
        <f ca="1">IFERROR(__xludf.DUMMYFUNCTION("""COMPUTED_VALUE"""),221012)</f>
        <v>221012</v>
      </c>
      <c r="O7" s="55" t="str">
        <f ca="1">IFERROR(__xludf.DUMMYFUNCTION("""COMPUTED_VALUE"""),"GESTAO E NEGOCIOS")</f>
        <v>GESTAO E NEGOCIOS</v>
      </c>
      <c r="P7" s="55" t="str">
        <f ca="1">IFERROR(__xludf.DUMMYFUNCTION("""COMPUTED_VALUE"""),"ASSISTENTE ADMINISTRATIVO")</f>
        <v>ASSISTENTE ADMINISTRATIVO</v>
      </c>
      <c r="Q7" s="55" t="str">
        <f ca="1">IFERROR(__xludf.DUMMYFUNCTION("""COMPUTED_VALUE"""),"FIC")</f>
        <v>FIC</v>
      </c>
      <c r="R7" s="55">
        <f ca="1">IFERROR(__xludf.DUMMYFUNCTION("""COMPUTED_VALUE"""),160)</f>
        <v>160</v>
      </c>
      <c r="S7" s="55" t="str">
        <f ca="1">IFERROR(__xludf.DUMMYFUNCTION("""COMPUTED_VALUE"""),"NOITE")</f>
        <v>NOITE</v>
      </c>
      <c r="T7" s="57">
        <f ca="1">IFERROR(__xludf.DUMMYFUNCTION("""COMPUTED_VALUE"""),45691)</f>
        <v>45691</v>
      </c>
      <c r="U7" s="57">
        <f ca="1">IFERROR(__xludf.DUMMYFUNCTION("""COMPUTED_VALUE"""),45824)</f>
        <v>45824</v>
      </c>
      <c r="V7" s="55"/>
      <c r="W7" s="55"/>
      <c r="X7" s="55"/>
      <c r="Y7" s="55" t="str">
        <f ca="1">IFERROR(__xludf.DUMMYFUNCTION("""COMPUTED_VALUE"""),"EM OFERTA")</f>
        <v>EM OFERTA</v>
      </c>
      <c r="Z7" s="55"/>
      <c r="AA7" s="55"/>
      <c r="AB7" s="55"/>
      <c r="AC7" s="55"/>
      <c r="AD7" s="55"/>
      <c r="AE7" s="55"/>
      <c r="AF7" s="55"/>
      <c r="AG7" s="55"/>
      <c r="AH7" s="55" t="str">
        <f ca="1">IFERROR(__xludf.DUMMYFUNCTION("""COMPUTED_VALUE"""),"-")</f>
        <v>-</v>
      </c>
      <c r="AI7" s="55" t="str">
        <f ca="1">IFERROR(__xludf.DUMMYFUNCTION("""COMPUTED_VALUE"""),"ISAAC JOSE DA SILVA")</f>
        <v>ISAAC JOSE DA SILVA</v>
      </c>
      <c r="AJ7" s="55" t="str">
        <f ca="1">IFERROR(__xludf.DUMMYFUNCTION("""COMPUTED_VALUE"""),"-")</f>
        <v>-</v>
      </c>
      <c r="AK7" s="55" t="str">
        <f ca="1">IFERROR(__xludf.DUMMYFUNCTION("""COMPUTED_VALUE"""),"-")</f>
        <v>-</v>
      </c>
      <c r="AL7" s="55" t="str">
        <f ca="1">IFERROR(__xludf.DUMMYFUNCTION("""COMPUTED_VALUE"""),"ANTONIO FERNANDO GONÇALVES DA SILVA")</f>
        <v>ANTONIO FERNANDO GONÇALVES DA SILVA</v>
      </c>
      <c r="AM7" s="55">
        <f ca="1">IFERROR(__xludf.DUMMYFUNCTION("""COMPUTED_VALUE"""),2025)</f>
        <v>2025</v>
      </c>
      <c r="AN7" s="55"/>
    </row>
    <row r="8" spans="1:40" ht="15.75" customHeight="1" x14ac:dyDescent="0.35">
      <c r="A8" s="55" t="str">
        <f t="shared" ca="1" si="0"/>
        <v xml:space="preserve"> ASSUNÇÃO/ESCOLA CIDADA INTEGRAL ESTADUAL DE ENSINO MEDIO JOAO ROGERIO DIAS TOLEDO/GESTOR DE MICROEMPRESA/NOITE</v>
      </c>
      <c r="B8" s="55" t="str">
        <f ca="1">IFERROR(__xludf.DUMMYFUNCTION("""COMPUTED_VALUE"""),"00000001371")</f>
        <v>00000001371</v>
      </c>
      <c r="C8" s="55" t="str">
        <f ca="1">IFERROR(__xludf.DUMMYFUNCTION("""COMPUTED_VALUE"""),"T-GESTOR DE MICROEMPRESA/00000001371")</f>
        <v>T-GESTOR DE MICROEMPRESA/00000001371</v>
      </c>
      <c r="D8" s="56" t="str">
        <f ca="1">IFERROR(__xludf.DUMMYFUNCTION("""COMPUTED_VALUE"""),"https://docs.google.com/spreadsheets/d/1PpI0hh9KFEs5vWbGLGEKOgnCY9AB903B1JB7OyOifBM/edit?usp=drivesdk")</f>
        <v>https://docs.google.com/spreadsheets/d/1PpI0hh9KFEs5vWbGLGEKOgnCY9AB903B1JB7OyOifBM/edit?usp=drivesdk</v>
      </c>
      <c r="E8" s="55" t="str">
        <f ca="1">IFERROR(__xludf.DUMMYFUNCTION("""COMPUTED_VALUE"""),"17 - PARAIBATEC FIC")</f>
        <v>17 - PARAIBATEC FIC</v>
      </c>
      <c r="F8" s="55" t="str">
        <f ca="1">IFERROR(__xludf.DUMMYFUNCTION("""COMPUTED_VALUE"""),"PARAIBATEC FIC")</f>
        <v>PARAIBATEC FIC</v>
      </c>
      <c r="G8" s="55" t="str">
        <f ca="1">IFERROR(__xludf.DUMMYFUNCTION("""COMPUTED_VALUE"""),"01 - PARAIBATEC")</f>
        <v>01 - PARAIBATEC</v>
      </c>
      <c r="H8" s="55" t="str">
        <f ca="1">IFERROR(__xludf.DUMMYFUNCTION("""COMPUTED_VALUE"""),"PARAIBATEC")</f>
        <v>PARAIBATEC</v>
      </c>
      <c r="I8" s="55" t="str">
        <f ca="1">IFERROR(__xludf.DUMMYFUNCTION("""COMPUTED_VALUE"""),"488 - ESCOLA CIDADA INTEGRAL ESTADUAL DE ENSINO MEDIO JOAO ROGERIO DIAS TOLEDO")</f>
        <v>488 - ESCOLA CIDADA INTEGRAL ESTADUAL DE ENSINO MEDIO JOAO ROGERIO DIAS TOLEDO</v>
      </c>
      <c r="J8" s="55" t="str">
        <f ca="1">IFERROR(__xludf.DUMMYFUNCTION("""COMPUTED_VALUE""")," ASSUNÇÃO")</f>
        <v xml:space="preserve"> ASSUNÇÃO</v>
      </c>
      <c r="K8" s="55"/>
      <c r="L8" s="55"/>
      <c r="M8" s="55" t="str">
        <f ca="1">IFERROR(__xludf.DUMMYFUNCTION("""COMPUTED_VALUE"""),"ESCOLA CIDADA INTEGRAL ESTADUAL DE ENSINO MEDIO JOAO ROGERIO DIAS TOLEDO")</f>
        <v>ESCOLA CIDADA INTEGRAL ESTADUAL DE ENSINO MEDIO JOAO ROGERIO DIAS TOLEDO</v>
      </c>
      <c r="N8" s="55">
        <f ca="1">IFERROR(__xludf.DUMMYFUNCTION("""COMPUTED_VALUE"""),500014)</f>
        <v>500014</v>
      </c>
      <c r="O8" s="55" t="str">
        <f ca="1">IFERROR(__xludf.DUMMYFUNCTION("""COMPUTED_VALUE"""),"GESTAO E NEGOCIOS")</f>
        <v>GESTAO E NEGOCIOS</v>
      </c>
      <c r="P8" s="55" t="str">
        <f ca="1">IFERROR(__xludf.DUMMYFUNCTION("""COMPUTED_VALUE"""),"GESTOR DE MICROEMPRESA")</f>
        <v>GESTOR DE MICROEMPRESA</v>
      </c>
      <c r="Q8" s="55" t="str">
        <f ca="1">IFERROR(__xludf.DUMMYFUNCTION("""COMPUTED_VALUE"""),"FIC")</f>
        <v>FIC</v>
      </c>
      <c r="R8" s="55">
        <f ca="1">IFERROR(__xludf.DUMMYFUNCTION("""COMPUTED_VALUE"""),160)</f>
        <v>160</v>
      </c>
      <c r="S8" s="55" t="str">
        <f ca="1">IFERROR(__xludf.DUMMYFUNCTION("""COMPUTED_VALUE"""),"NOITE")</f>
        <v>NOITE</v>
      </c>
      <c r="T8" s="57">
        <f ca="1">IFERROR(__xludf.DUMMYFUNCTION("""COMPUTED_VALUE"""),45691)</f>
        <v>45691</v>
      </c>
      <c r="U8" s="57">
        <f ca="1">IFERROR(__xludf.DUMMYFUNCTION("""COMPUTED_VALUE"""),45824)</f>
        <v>45824</v>
      </c>
      <c r="V8" s="55"/>
      <c r="W8" s="55"/>
      <c r="X8" s="55"/>
      <c r="Y8" s="55" t="str">
        <f ca="1">IFERROR(__xludf.DUMMYFUNCTION("""COMPUTED_VALUE"""),"EM OFERTA")</f>
        <v>EM OFERTA</v>
      </c>
      <c r="Z8" s="55"/>
      <c r="AA8" s="55"/>
      <c r="AB8" s="55"/>
      <c r="AC8" s="55"/>
      <c r="AD8" s="55"/>
      <c r="AE8" s="55"/>
      <c r="AF8" s="55"/>
      <c r="AG8" s="55"/>
      <c r="AH8" s="55" t="str">
        <f ca="1">IFERROR(__xludf.DUMMYFUNCTION("""COMPUTED_VALUE"""),"-")</f>
        <v>-</v>
      </c>
      <c r="AI8" s="55" t="str">
        <f ca="1">IFERROR(__xludf.DUMMYFUNCTION("""COMPUTED_VALUE"""),"WASCHINGTON ALVES GUEDES")</f>
        <v>WASCHINGTON ALVES GUEDES</v>
      </c>
      <c r="AJ8" s="55" t="str">
        <f ca="1">IFERROR(__xludf.DUMMYFUNCTION("""COMPUTED_VALUE"""),"-")</f>
        <v>-</v>
      </c>
      <c r="AK8" s="55" t="str">
        <f ca="1">IFERROR(__xludf.DUMMYFUNCTION("""COMPUTED_VALUE"""),"-")</f>
        <v>-</v>
      </c>
      <c r="AL8" s="55" t="str">
        <f ca="1">IFERROR(__xludf.DUMMYFUNCTION("""COMPUTED_VALUE"""),"HYAGO MATHEUS ROSENO DOS SANTOS")</f>
        <v>HYAGO MATHEUS ROSENO DOS SANTOS</v>
      </c>
      <c r="AM8" s="55">
        <f ca="1">IFERROR(__xludf.DUMMYFUNCTION("""COMPUTED_VALUE"""),2025)</f>
        <v>2025</v>
      </c>
      <c r="AN8" s="55"/>
    </row>
    <row r="9" spans="1:40" ht="15.75" customHeight="1" x14ac:dyDescent="0.35">
      <c r="A9" s="55" t="str">
        <f t="shared" ca="1" si="0"/>
        <v xml:space="preserve"> BANANEIRAS/CAMARA MUNICIPAL DE BANANEIRAS/DESENVOLVEDOR DE APLICATIVOS PARA MIDIAS DIGITAIS/MANHA</v>
      </c>
      <c r="B9" s="55" t="str">
        <f ca="1">IFERROR(__xludf.DUMMYFUNCTION("""COMPUTED_VALUE"""),"00000001372")</f>
        <v>00000001372</v>
      </c>
      <c r="C9" s="55" t="str">
        <f ca="1">IFERROR(__xludf.DUMMYFUNCTION("""COMPUTED_VALUE"""),"T-DESENVOLVEDOR DE APLICATIVOS PARA MIDIAS DIGITAIS/00000001372")</f>
        <v>T-DESENVOLVEDOR DE APLICATIVOS PARA MIDIAS DIGITAIS/00000001372</v>
      </c>
      <c r="D9" s="56" t="str">
        <f ca="1">IFERROR(__xludf.DUMMYFUNCTION("""COMPUTED_VALUE"""),"https://docs.google.com/spreadsheets/d/1AXVWJxlSkvWhmTpX5td10yBI89MuvBDRyQS4uqvRMVI/edit?usp=drivesdk")</f>
        <v>https://docs.google.com/spreadsheets/d/1AXVWJxlSkvWhmTpX5td10yBI89MuvBDRyQS4uqvRMVI/edit?usp=drivesdk</v>
      </c>
      <c r="E9" s="55" t="str">
        <f ca="1">IFERROR(__xludf.DUMMYFUNCTION("""COMPUTED_VALUE"""),"17 - PARAIBATEC FIC")</f>
        <v>17 - PARAIBATEC FIC</v>
      </c>
      <c r="F9" s="55" t="str">
        <f ca="1">IFERROR(__xludf.DUMMYFUNCTION("""COMPUTED_VALUE"""),"PARAIBATEC FIC")</f>
        <v>PARAIBATEC FIC</v>
      </c>
      <c r="G9" s="55" t="str">
        <f ca="1">IFERROR(__xludf.DUMMYFUNCTION("""COMPUTED_VALUE"""),"01 - PARAIBATEC")</f>
        <v>01 - PARAIBATEC</v>
      </c>
      <c r="H9" s="55" t="str">
        <f ca="1">IFERROR(__xludf.DUMMYFUNCTION("""COMPUTED_VALUE"""),"PARAIBATEC")</f>
        <v>PARAIBATEC</v>
      </c>
      <c r="I9" s="55" t="str">
        <f ca="1">IFERROR(__xludf.DUMMYFUNCTION("""COMPUTED_VALUE"""),"489 - CAMARA MUNICIPAL DE BANANEIRAS")</f>
        <v>489 - CAMARA MUNICIPAL DE BANANEIRAS</v>
      </c>
      <c r="J9" s="55" t="str">
        <f ca="1">IFERROR(__xludf.DUMMYFUNCTION("""COMPUTED_VALUE""")," BANANEIRAS")</f>
        <v xml:space="preserve"> BANANEIRAS</v>
      </c>
      <c r="K9" s="55"/>
      <c r="L9" s="55"/>
      <c r="M9" s="55" t="str">
        <f ca="1">IFERROR(__xludf.DUMMYFUNCTION("""COMPUTED_VALUE"""),"CAMARA MUNICIPAL DE BANANEIRAS")</f>
        <v>CAMARA MUNICIPAL DE BANANEIRAS</v>
      </c>
      <c r="N9" s="55">
        <f ca="1">IFERROR(__xludf.DUMMYFUNCTION("""COMPUTED_VALUE"""),264030)</f>
        <v>264030</v>
      </c>
      <c r="O9" s="55" t="str">
        <f ca="1">IFERROR(__xludf.DUMMYFUNCTION("""COMPUTED_VALUE"""),"INFORMAÇAO E COMUNICAÇAO")</f>
        <v>INFORMAÇAO E COMUNICAÇAO</v>
      </c>
      <c r="P9" s="55" t="str">
        <f ca="1">IFERROR(__xludf.DUMMYFUNCTION("""COMPUTED_VALUE"""),"DESENVOLVEDOR DE APLICATIVOS PARA MIDIAS DIGITAIS")</f>
        <v>DESENVOLVEDOR DE APLICATIVOS PARA MIDIAS DIGITAIS</v>
      </c>
      <c r="Q9" s="55" t="str">
        <f ca="1">IFERROR(__xludf.DUMMYFUNCTION("""COMPUTED_VALUE"""),"FIC")</f>
        <v>FIC</v>
      </c>
      <c r="R9" s="55">
        <f ca="1">IFERROR(__xludf.DUMMYFUNCTION("""COMPUTED_VALUE"""),240)</f>
        <v>240</v>
      </c>
      <c r="S9" s="55" t="str">
        <f ca="1">IFERROR(__xludf.DUMMYFUNCTION("""COMPUTED_VALUE"""),"MANHA")</f>
        <v>MANHA</v>
      </c>
      <c r="T9" s="57">
        <f ca="1">IFERROR(__xludf.DUMMYFUNCTION("""COMPUTED_VALUE"""),45691)</f>
        <v>45691</v>
      </c>
      <c r="U9" s="57">
        <f ca="1">IFERROR(__xludf.DUMMYFUNCTION("""COMPUTED_VALUE"""),45882)</f>
        <v>45882</v>
      </c>
      <c r="V9" s="55"/>
      <c r="W9" s="55"/>
      <c r="X9" s="55"/>
      <c r="Y9" s="55" t="str">
        <f ca="1">IFERROR(__xludf.DUMMYFUNCTION("""COMPUTED_VALUE"""),"EM OFERTA")</f>
        <v>EM OFERTA</v>
      </c>
      <c r="Z9" s="55"/>
      <c r="AA9" s="55"/>
      <c r="AB9" s="55"/>
      <c r="AC9" s="55"/>
      <c r="AD9" s="55"/>
      <c r="AE9" s="55"/>
      <c r="AF9" s="55"/>
      <c r="AG9" s="55"/>
      <c r="AH9" s="55" t="str">
        <f ca="1">IFERROR(__xludf.DUMMYFUNCTION("""COMPUTED_VALUE"""),"-")</f>
        <v>-</v>
      </c>
      <c r="AI9" s="55" t="str">
        <f ca="1">IFERROR(__xludf.DUMMYFUNCTION("""COMPUTED_VALUE"""),"CRISTINA ELIZABETH BRAZ DANTAS DOS SANTOS")</f>
        <v>CRISTINA ELIZABETH BRAZ DANTAS DOS SANTOS</v>
      </c>
      <c r="AJ9" s="55" t="str">
        <f ca="1">IFERROR(__xludf.DUMMYFUNCTION("""COMPUTED_VALUE"""),"-")</f>
        <v>-</v>
      </c>
      <c r="AK9" s="55" t="str">
        <f ca="1">IFERROR(__xludf.DUMMYFUNCTION("""COMPUTED_VALUE"""),"-")</f>
        <v>-</v>
      </c>
      <c r="AL9" s="55" t="str">
        <f ca="1">IFERROR(__xludf.DUMMYFUNCTION("""COMPUTED_VALUE"""),"MARIA LAIS ARAUJO RIBEIRO")</f>
        <v>MARIA LAIS ARAUJO RIBEIRO</v>
      </c>
      <c r="AM9" s="55">
        <f ca="1">IFERROR(__xludf.DUMMYFUNCTION("""COMPUTED_VALUE"""),2025)</f>
        <v>2025</v>
      </c>
      <c r="AN9" s="55"/>
    </row>
    <row r="10" spans="1:40" ht="15.75" customHeight="1" x14ac:dyDescent="0.35">
      <c r="A10" s="55" t="str">
        <f t="shared" ca="1" si="0"/>
        <v xml:space="preserve"> BANANEIRAS/ESCOLA EMILIA DE OLIVEIRA NEVES/AUXILIAR PEDAGOGICO/MANHA</v>
      </c>
      <c r="B10" s="55" t="str">
        <f ca="1">IFERROR(__xludf.DUMMYFUNCTION("""COMPUTED_VALUE"""),"00000001373")</f>
        <v>00000001373</v>
      </c>
      <c r="C10" s="55" t="str">
        <f ca="1">IFERROR(__xludf.DUMMYFUNCTION("""COMPUTED_VALUE"""),"T-AUXILIAR PEDAGOGICO/00000001373")</f>
        <v>T-AUXILIAR PEDAGOGICO/00000001373</v>
      </c>
      <c r="D10" s="56" t="str">
        <f ca="1">IFERROR(__xludf.DUMMYFUNCTION("""COMPUTED_VALUE"""),"https://docs.google.com/spreadsheets/d/1qKYi1Fh6SSij2egmU6fPp5-mR1PKg9Rj5bmSFU89icY/edit?usp=drivesdk")</f>
        <v>https://docs.google.com/spreadsheets/d/1qKYi1Fh6SSij2egmU6fPp5-mR1PKg9Rj5bmSFU89icY/edit?usp=drivesdk</v>
      </c>
      <c r="E10" s="55" t="str">
        <f ca="1">IFERROR(__xludf.DUMMYFUNCTION("""COMPUTED_VALUE"""),"17 - PARAIBATEC FIC")</f>
        <v>17 - PARAIBATEC FIC</v>
      </c>
      <c r="F10" s="55" t="str">
        <f ca="1">IFERROR(__xludf.DUMMYFUNCTION("""COMPUTED_VALUE"""),"PARAIBATEC FIC")</f>
        <v>PARAIBATEC FIC</v>
      </c>
      <c r="G10" s="55" t="str">
        <f ca="1">IFERROR(__xludf.DUMMYFUNCTION("""COMPUTED_VALUE"""),"01 - PARAIBATEC")</f>
        <v>01 - PARAIBATEC</v>
      </c>
      <c r="H10" s="55" t="str">
        <f ca="1">IFERROR(__xludf.DUMMYFUNCTION("""COMPUTED_VALUE"""),"PARAIBATEC")</f>
        <v>PARAIBATEC</v>
      </c>
      <c r="I10" s="55" t="str">
        <f ca="1">IFERROR(__xludf.DUMMYFUNCTION("""COMPUTED_VALUE"""),"490 - ESCOLA EMILIA DE OLIVEIRA NEVES")</f>
        <v>490 - ESCOLA EMILIA DE OLIVEIRA NEVES</v>
      </c>
      <c r="J10" s="55" t="str">
        <f ca="1">IFERROR(__xludf.DUMMYFUNCTION("""COMPUTED_VALUE""")," BANANEIRAS")</f>
        <v xml:space="preserve"> BANANEIRAS</v>
      </c>
      <c r="K10" s="55"/>
      <c r="L10" s="55"/>
      <c r="M10" s="55" t="str">
        <f ca="1">IFERROR(__xludf.DUMMYFUNCTION("""COMPUTED_VALUE"""),"ESCOLA EMILIA DE OLIVEIRA NEVES")</f>
        <v>ESCOLA EMILIA DE OLIVEIRA NEVES</v>
      </c>
      <c r="N10" s="55">
        <f ca="1">IFERROR(__xludf.DUMMYFUNCTION("""COMPUTED_VALUE"""),273098)</f>
        <v>273098</v>
      </c>
      <c r="O10" s="55" t="str">
        <f ca="1">IFERROR(__xludf.DUMMYFUNCTION("""COMPUTED_VALUE"""),"DESENVOLVIMENTO EDUCACIONAL E SOCIAL")</f>
        <v>DESENVOLVIMENTO EDUCACIONAL E SOCIAL</v>
      </c>
      <c r="P10" s="55" t="str">
        <f ca="1">IFERROR(__xludf.DUMMYFUNCTION("""COMPUTED_VALUE"""),"AUXILIAR PEDAGOGICO")</f>
        <v>AUXILIAR PEDAGOGICO</v>
      </c>
      <c r="Q10" s="55" t="str">
        <f ca="1">IFERROR(__xludf.DUMMYFUNCTION("""COMPUTED_VALUE"""),"FIC")</f>
        <v>FIC</v>
      </c>
      <c r="R10" s="55">
        <f ca="1">IFERROR(__xludf.DUMMYFUNCTION("""COMPUTED_VALUE"""),200)</f>
        <v>200</v>
      </c>
      <c r="S10" s="55" t="str">
        <f ca="1">IFERROR(__xludf.DUMMYFUNCTION("""COMPUTED_VALUE"""),"MANHA")</f>
        <v>MANHA</v>
      </c>
      <c r="T10" s="57">
        <f ca="1">IFERROR(__xludf.DUMMYFUNCTION("""COMPUTED_VALUE"""),45691)</f>
        <v>45691</v>
      </c>
      <c r="U10" s="57">
        <f ca="1">IFERROR(__xludf.DUMMYFUNCTION("""COMPUTED_VALUE"""),45853)</f>
        <v>45853</v>
      </c>
      <c r="V10" s="55"/>
      <c r="W10" s="55"/>
      <c r="X10" s="55"/>
      <c r="Y10" s="55" t="str">
        <f ca="1">IFERROR(__xludf.DUMMYFUNCTION("""COMPUTED_VALUE"""),"EM OFERTA")</f>
        <v>EM OFERTA</v>
      </c>
      <c r="Z10" s="55"/>
      <c r="AA10" s="55"/>
      <c r="AB10" s="55"/>
      <c r="AC10" s="55"/>
      <c r="AD10" s="55"/>
      <c r="AE10" s="55"/>
      <c r="AF10" s="55"/>
      <c r="AG10" s="55"/>
      <c r="AH10" s="55" t="str">
        <f ca="1">IFERROR(__xludf.DUMMYFUNCTION("""COMPUTED_VALUE"""),"-")</f>
        <v>-</v>
      </c>
      <c r="AI10" s="55" t="str">
        <f ca="1">IFERROR(__xludf.DUMMYFUNCTION("""COMPUTED_VALUE"""),"LUANA FERREIRA DOMICIANO")</f>
        <v>LUANA FERREIRA DOMICIANO</v>
      </c>
      <c r="AJ10" s="55" t="str">
        <f ca="1">IFERROR(__xludf.DUMMYFUNCTION("""COMPUTED_VALUE"""),"-")</f>
        <v>-</v>
      </c>
      <c r="AK10" s="55" t="str">
        <f ca="1">IFERROR(__xludf.DUMMYFUNCTION("""COMPUTED_VALUE"""),"-")</f>
        <v>-</v>
      </c>
      <c r="AL10" s="55" t="str">
        <f ca="1">IFERROR(__xludf.DUMMYFUNCTION("""COMPUTED_VALUE"""),"VALTILENE SOARES SANTOS DO NASCIMENTO")</f>
        <v>VALTILENE SOARES SANTOS DO NASCIMENTO</v>
      </c>
      <c r="AM10" s="55">
        <f ca="1">IFERROR(__xludf.DUMMYFUNCTION("""COMPUTED_VALUE"""),2025)</f>
        <v>2025</v>
      </c>
      <c r="AN10" s="55"/>
    </row>
    <row r="11" spans="1:40" ht="15.75" customHeight="1" x14ac:dyDescent="0.35">
      <c r="A11" s="55" t="str">
        <f t="shared" ca="1" si="0"/>
        <v xml:space="preserve"> BANANEIRAS/ESPACO CULTURAL OSCAR DE CASTRO/ASSISTENTE ADMINISTRATIVO/MANHA</v>
      </c>
      <c r="B11" s="55" t="str">
        <f ca="1">IFERROR(__xludf.DUMMYFUNCTION("""COMPUTED_VALUE"""),"00000001374")</f>
        <v>00000001374</v>
      </c>
      <c r="C11" s="55" t="str">
        <f ca="1">IFERROR(__xludf.DUMMYFUNCTION("""COMPUTED_VALUE"""),"T-ASSISTENTE ADMINISTRATIVO/00000001374")</f>
        <v>T-ASSISTENTE ADMINISTRATIVO/00000001374</v>
      </c>
      <c r="D11" s="56" t="str">
        <f ca="1">IFERROR(__xludf.DUMMYFUNCTION("""COMPUTED_VALUE"""),"https://docs.google.com/spreadsheets/d/10pBF9cVTnYK3zTowI48m9ElnHqjFUwFpGAxNMZ3dqbk/edit?usp=drivesdk")</f>
        <v>https://docs.google.com/spreadsheets/d/10pBF9cVTnYK3zTowI48m9ElnHqjFUwFpGAxNMZ3dqbk/edit?usp=drivesdk</v>
      </c>
      <c r="E11" s="55" t="str">
        <f ca="1">IFERROR(__xludf.DUMMYFUNCTION("""COMPUTED_VALUE"""),"17 - PARAIBATEC FIC")</f>
        <v>17 - PARAIBATEC FIC</v>
      </c>
      <c r="F11" s="55" t="str">
        <f ca="1">IFERROR(__xludf.DUMMYFUNCTION("""COMPUTED_VALUE"""),"PARAIBATEC FIC")</f>
        <v>PARAIBATEC FIC</v>
      </c>
      <c r="G11" s="55" t="str">
        <f ca="1">IFERROR(__xludf.DUMMYFUNCTION("""COMPUTED_VALUE"""),"01 - PARAIBATEC")</f>
        <v>01 - PARAIBATEC</v>
      </c>
      <c r="H11" s="55" t="str">
        <f ca="1">IFERROR(__xludf.DUMMYFUNCTION("""COMPUTED_VALUE"""),"PARAIBATEC")</f>
        <v>PARAIBATEC</v>
      </c>
      <c r="I11" s="55" t="str">
        <f ca="1">IFERROR(__xludf.DUMMYFUNCTION("""COMPUTED_VALUE"""),"492 - ESPACO CULTURAL OSCAR DE CASTRO")</f>
        <v>492 - ESPACO CULTURAL OSCAR DE CASTRO</v>
      </c>
      <c r="J11" s="55" t="str">
        <f ca="1">IFERROR(__xludf.DUMMYFUNCTION("""COMPUTED_VALUE""")," BANANEIRAS")</f>
        <v xml:space="preserve"> BANANEIRAS</v>
      </c>
      <c r="K11" s="55"/>
      <c r="L11" s="55"/>
      <c r="M11" s="55" t="str">
        <f ca="1">IFERROR(__xludf.DUMMYFUNCTION("""COMPUTED_VALUE"""),"ESPACO CULTURAL OSCAR DE CASTRO")</f>
        <v>ESPACO CULTURAL OSCAR DE CASTRO</v>
      </c>
      <c r="N11" s="55">
        <f ca="1">IFERROR(__xludf.DUMMYFUNCTION("""COMPUTED_VALUE"""),221012)</f>
        <v>221012</v>
      </c>
      <c r="O11" s="55" t="str">
        <f ca="1">IFERROR(__xludf.DUMMYFUNCTION("""COMPUTED_VALUE"""),"GESTAO E NEGOCIOS")</f>
        <v>GESTAO E NEGOCIOS</v>
      </c>
      <c r="P11" s="55" t="str">
        <f ca="1">IFERROR(__xludf.DUMMYFUNCTION("""COMPUTED_VALUE"""),"ASSISTENTE ADMINISTRATIVO")</f>
        <v>ASSISTENTE ADMINISTRATIVO</v>
      </c>
      <c r="Q11" s="55" t="str">
        <f ca="1">IFERROR(__xludf.DUMMYFUNCTION("""COMPUTED_VALUE"""),"FIC")</f>
        <v>FIC</v>
      </c>
      <c r="R11" s="55">
        <f ca="1">IFERROR(__xludf.DUMMYFUNCTION("""COMPUTED_VALUE"""),160)</f>
        <v>160</v>
      </c>
      <c r="S11" s="55" t="str">
        <f ca="1">IFERROR(__xludf.DUMMYFUNCTION("""COMPUTED_VALUE"""),"MANHA")</f>
        <v>MANHA</v>
      </c>
      <c r="T11" s="57">
        <f ca="1">IFERROR(__xludf.DUMMYFUNCTION("""COMPUTED_VALUE"""),45692)</f>
        <v>45692</v>
      </c>
      <c r="U11" s="57">
        <f ca="1">IFERROR(__xludf.DUMMYFUNCTION("""COMPUTED_VALUE"""),45825)</f>
        <v>45825</v>
      </c>
      <c r="V11" s="55"/>
      <c r="W11" s="55"/>
      <c r="X11" s="55"/>
      <c r="Y11" s="55" t="str">
        <f ca="1">IFERROR(__xludf.DUMMYFUNCTION("""COMPUTED_VALUE"""),"EM OFERTA")</f>
        <v>EM OFERTA</v>
      </c>
      <c r="Z11" s="55"/>
      <c r="AA11" s="55"/>
      <c r="AB11" s="55"/>
      <c r="AC11" s="55"/>
      <c r="AD11" s="55"/>
      <c r="AE11" s="55"/>
      <c r="AF11" s="55"/>
      <c r="AG11" s="55"/>
      <c r="AH11" s="55" t="str">
        <f ca="1">IFERROR(__xludf.DUMMYFUNCTION("""COMPUTED_VALUE"""),"-")</f>
        <v>-</v>
      </c>
      <c r="AI11" s="55" t="str">
        <f ca="1">IFERROR(__xludf.DUMMYFUNCTION("""COMPUTED_VALUE"""),"JOSE LUCIVALDO TORQUATO CORDEIRO")</f>
        <v>JOSE LUCIVALDO TORQUATO CORDEIRO</v>
      </c>
      <c r="AJ11" s="55" t="str">
        <f ca="1">IFERROR(__xludf.DUMMYFUNCTION("""COMPUTED_VALUE"""),"-")</f>
        <v>-</v>
      </c>
      <c r="AK11" s="55" t="str">
        <f ca="1">IFERROR(__xludf.DUMMYFUNCTION("""COMPUTED_VALUE"""),"-")</f>
        <v>-</v>
      </c>
      <c r="AL11" s="55" t="str">
        <f ca="1">IFERROR(__xludf.DUMMYFUNCTION("""COMPUTED_VALUE"""),"KALIGIA KEYLLA DE AGUIAR PEREIRA")</f>
        <v>KALIGIA KEYLLA DE AGUIAR PEREIRA</v>
      </c>
      <c r="AM11" s="55">
        <f ca="1">IFERROR(__xludf.DUMMYFUNCTION("""COMPUTED_VALUE"""),2025)</f>
        <v>2025</v>
      </c>
      <c r="AN11" s="55"/>
    </row>
    <row r="12" spans="1:40" ht="15.75" customHeight="1" x14ac:dyDescent="0.35">
      <c r="A12" s="55" t="str">
        <f t="shared" ca="1" si="0"/>
        <v xml:space="preserve"> BARRA DE SANTA ROSA/SINDICATO DOS TRABALHADORES RURAIS AGRICULTORES E AGRICULTORAS FAMILIARES DE BARRA DE SANTA ROSA/DESENVOLVEDOR DE APLICATIVOS PARA MIDIAS DIGITAIS/NOITE</v>
      </c>
      <c r="B12" s="55" t="str">
        <f ca="1">IFERROR(__xludf.DUMMYFUNCTION("""COMPUTED_VALUE"""),"00000001375")</f>
        <v>00000001375</v>
      </c>
      <c r="C12" s="55" t="str">
        <f ca="1">IFERROR(__xludf.DUMMYFUNCTION("""COMPUTED_VALUE"""),"T-DESENVOLVEDOR DE APLICATIVOS PARA MIDIAS DIGITAIS/00000001375")</f>
        <v>T-DESENVOLVEDOR DE APLICATIVOS PARA MIDIAS DIGITAIS/00000001375</v>
      </c>
      <c r="D12" s="56" t="str">
        <f ca="1">IFERROR(__xludf.DUMMYFUNCTION("""COMPUTED_VALUE"""),"https://docs.google.com/spreadsheets/d/1qBCZNwRoBVu4D75xnlAeo7Guiuy2Fhr7FCouhD1ncyg/edit?usp=drivesdk")</f>
        <v>https://docs.google.com/spreadsheets/d/1qBCZNwRoBVu4D75xnlAeo7Guiuy2Fhr7FCouhD1ncyg/edit?usp=drivesdk</v>
      </c>
      <c r="E12" s="55" t="str">
        <f ca="1">IFERROR(__xludf.DUMMYFUNCTION("""COMPUTED_VALUE"""),"17 - PARAIBATEC FIC")</f>
        <v>17 - PARAIBATEC FIC</v>
      </c>
      <c r="F12" s="55" t="str">
        <f ca="1">IFERROR(__xludf.DUMMYFUNCTION("""COMPUTED_VALUE"""),"PARAIBATEC FIC")</f>
        <v>PARAIBATEC FIC</v>
      </c>
      <c r="G12" s="55" t="str">
        <f ca="1">IFERROR(__xludf.DUMMYFUNCTION("""COMPUTED_VALUE"""),"01 - PARAIBATEC")</f>
        <v>01 - PARAIBATEC</v>
      </c>
      <c r="H12" s="55" t="str">
        <f ca="1">IFERROR(__xludf.DUMMYFUNCTION("""COMPUTED_VALUE"""),"PARAIBATEC")</f>
        <v>PARAIBATEC</v>
      </c>
      <c r="I12" s="55" t="str">
        <f ca="1">IFERROR(__xludf.DUMMYFUNCTION("""COMPUTED_VALUE"""),"493 - SINDICATO DOS TRABALHADORES RURAIS AGRICULTORES E AGRICULTORAS FAMILIARES DE BARRA DE SANTA ROSA")</f>
        <v>493 - SINDICATO DOS TRABALHADORES RURAIS AGRICULTORES E AGRICULTORAS FAMILIARES DE BARRA DE SANTA ROSA</v>
      </c>
      <c r="J12" s="55" t="str">
        <f ca="1">IFERROR(__xludf.DUMMYFUNCTION("""COMPUTED_VALUE""")," BARRA DE SANTA ROSA")</f>
        <v xml:space="preserve"> BARRA DE SANTA ROSA</v>
      </c>
      <c r="K12" s="55"/>
      <c r="L12" s="55"/>
      <c r="M12" s="55" t="str">
        <f ca="1">IFERROR(__xludf.DUMMYFUNCTION("""COMPUTED_VALUE"""),"SINDICATO DOS TRABALHADORES RURAIS AGRICULTORES E AGRICULTORAS FAMILIARES DE BARRA DE SANTA ROSA")</f>
        <v>SINDICATO DOS TRABALHADORES RURAIS AGRICULTORES E AGRICULTORAS FAMILIARES DE BARRA DE SANTA ROSA</v>
      </c>
      <c r="N12" s="55">
        <f ca="1">IFERROR(__xludf.DUMMYFUNCTION("""COMPUTED_VALUE"""),264030)</f>
        <v>264030</v>
      </c>
      <c r="O12" s="55" t="str">
        <f ca="1">IFERROR(__xludf.DUMMYFUNCTION("""COMPUTED_VALUE"""),"INFORMAÇAO E COMUNICAÇAO")</f>
        <v>INFORMAÇAO E COMUNICAÇAO</v>
      </c>
      <c r="P12" s="55" t="str">
        <f ca="1">IFERROR(__xludf.DUMMYFUNCTION("""COMPUTED_VALUE"""),"DESENVOLVEDOR DE APLICATIVOS PARA MIDIAS DIGITAIS")</f>
        <v>DESENVOLVEDOR DE APLICATIVOS PARA MIDIAS DIGITAIS</v>
      </c>
      <c r="Q12" s="55" t="str">
        <f ca="1">IFERROR(__xludf.DUMMYFUNCTION("""COMPUTED_VALUE"""),"FIC")</f>
        <v>FIC</v>
      </c>
      <c r="R12" s="55">
        <f ca="1">IFERROR(__xludf.DUMMYFUNCTION("""COMPUTED_VALUE"""),240)</f>
        <v>240</v>
      </c>
      <c r="S12" s="55" t="str">
        <f ca="1">IFERROR(__xludf.DUMMYFUNCTION("""COMPUTED_VALUE"""),"NOITE")</f>
        <v>NOITE</v>
      </c>
      <c r="T12" s="57">
        <f ca="1">IFERROR(__xludf.DUMMYFUNCTION("""COMPUTED_VALUE"""),45692)</f>
        <v>45692</v>
      </c>
      <c r="U12" s="57">
        <f ca="1">IFERROR(__xludf.DUMMYFUNCTION("""COMPUTED_VALUE"""),45840)</f>
        <v>45840</v>
      </c>
      <c r="V12" s="55"/>
      <c r="W12" s="55"/>
      <c r="X12" s="55"/>
      <c r="Y12" s="55" t="str">
        <f ca="1">IFERROR(__xludf.DUMMYFUNCTION("""COMPUTED_VALUE"""),"EM OFERTA")</f>
        <v>EM OFERTA</v>
      </c>
      <c r="Z12" s="55"/>
      <c r="AA12" s="55"/>
      <c r="AB12" s="55"/>
      <c r="AC12" s="55"/>
      <c r="AD12" s="55"/>
      <c r="AE12" s="55"/>
      <c r="AF12" s="55"/>
      <c r="AG12" s="55"/>
      <c r="AH12" s="55" t="str">
        <f ca="1">IFERROR(__xludf.DUMMYFUNCTION("""COMPUTED_VALUE"""),"-")</f>
        <v>-</v>
      </c>
      <c r="AI12" s="55" t="str">
        <f ca="1">IFERROR(__xludf.DUMMYFUNCTION("""COMPUTED_VALUE"""),"JAQUELINE SILVA NASCIMENTO")</f>
        <v>JAQUELINE SILVA NASCIMENTO</v>
      </c>
      <c r="AJ12" s="55" t="str">
        <f ca="1">IFERROR(__xludf.DUMMYFUNCTION("""COMPUTED_VALUE"""),"-")</f>
        <v>-</v>
      </c>
      <c r="AK12" s="55" t="str">
        <f ca="1">IFERROR(__xludf.DUMMYFUNCTION("""COMPUTED_VALUE"""),"-")</f>
        <v>-</v>
      </c>
      <c r="AL12" s="55" t="str">
        <f ca="1">IFERROR(__xludf.DUMMYFUNCTION("""COMPUTED_VALUE"""),"EMERSON RICHARDSON DA SILVA MEDEIROS")</f>
        <v>EMERSON RICHARDSON DA SILVA MEDEIROS</v>
      </c>
      <c r="AM12" s="55">
        <f ca="1">IFERROR(__xludf.DUMMYFUNCTION("""COMPUTED_VALUE"""),2025)</f>
        <v>2025</v>
      </c>
      <c r="AN12" s="55"/>
    </row>
    <row r="13" spans="1:40" ht="15.75" customHeight="1" x14ac:dyDescent="0.35">
      <c r="A13" s="55" t="str">
        <f t="shared" ca="1" si="0"/>
        <v xml:space="preserve"> BERNARDINO BATISTA/ECI NELSON BATISTA ALVES/AGENTE DE PROTEÇAO SOCIAL BASICA/NOITE</v>
      </c>
      <c r="B13" s="55" t="str">
        <f ca="1">IFERROR(__xludf.DUMMYFUNCTION("""COMPUTED_VALUE"""),"00000001376")</f>
        <v>00000001376</v>
      </c>
      <c r="C13" s="55" t="str">
        <f ca="1">IFERROR(__xludf.DUMMYFUNCTION("""COMPUTED_VALUE"""),"T-AGENTE DE PROTEÇAO SOCIAL BASICA/00000001376")</f>
        <v>T-AGENTE DE PROTEÇAO SOCIAL BASICA/00000001376</v>
      </c>
      <c r="D13" s="56" t="str">
        <f ca="1">IFERROR(__xludf.DUMMYFUNCTION("""COMPUTED_VALUE"""),"https://docs.google.com/spreadsheets/d/1vt7Deu3xfKtm44_tGmXcOJbkjHJvVIwPwyjNLKJPJKE/edit?usp=drivesdk")</f>
        <v>https://docs.google.com/spreadsheets/d/1vt7Deu3xfKtm44_tGmXcOJbkjHJvVIwPwyjNLKJPJKE/edit?usp=drivesdk</v>
      </c>
      <c r="E13" s="55" t="str">
        <f ca="1">IFERROR(__xludf.DUMMYFUNCTION("""COMPUTED_VALUE"""),"17 - PARAIBATEC FIC")</f>
        <v>17 - PARAIBATEC FIC</v>
      </c>
      <c r="F13" s="55" t="str">
        <f ca="1">IFERROR(__xludf.DUMMYFUNCTION("""COMPUTED_VALUE"""),"PARAIBATEC FIC")</f>
        <v>PARAIBATEC FIC</v>
      </c>
      <c r="G13" s="55" t="str">
        <f ca="1">IFERROR(__xludf.DUMMYFUNCTION("""COMPUTED_VALUE"""),"01 - PARAIBATEC")</f>
        <v>01 - PARAIBATEC</v>
      </c>
      <c r="H13" s="55" t="str">
        <f ca="1">IFERROR(__xludf.DUMMYFUNCTION("""COMPUTED_VALUE"""),"PARAIBATEC")</f>
        <v>PARAIBATEC</v>
      </c>
      <c r="I13" s="55" t="str">
        <f ca="1">IFERROR(__xludf.DUMMYFUNCTION("""COMPUTED_VALUE"""),"359 - ECI NELSON BATISTA ALVES")</f>
        <v>359 - ECI NELSON BATISTA ALVES</v>
      </c>
      <c r="J13" s="55" t="str">
        <f ca="1">IFERROR(__xludf.DUMMYFUNCTION("""COMPUTED_VALUE""")," BERNARDINO BATISTA")</f>
        <v xml:space="preserve"> BERNARDINO BATISTA</v>
      </c>
      <c r="K13" s="55"/>
      <c r="L13" s="55"/>
      <c r="M13" s="55" t="str">
        <f ca="1">IFERROR(__xludf.DUMMYFUNCTION("""COMPUTED_VALUE"""),"ECI NELSON BATISTA ALVES")</f>
        <v>ECI NELSON BATISTA ALVES</v>
      </c>
      <c r="N13" s="55">
        <f ca="1">IFERROR(__xludf.DUMMYFUNCTION("""COMPUTED_VALUE"""),221191)</f>
        <v>221191</v>
      </c>
      <c r="O13" s="55" t="str">
        <f ca="1">IFERROR(__xludf.DUMMYFUNCTION("""COMPUTED_VALUE"""),"DESENVOLVIMENTO EDUCACIONAL E SOCIAL")</f>
        <v>DESENVOLVIMENTO EDUCACIONAL E SOCIAL</v>
      </c>
      <c r="P13" s="55" t="str">
        <f ca="1">IFERROR(__xludf.DUMMYFUNCTION("""COMPUTED_VALUE"""),"AGENTE DE PROTEÇAO SOCIAL BASICA")</f>
        <v>AGENTE DE PROTEÇAO SOCIAL BASICA</v>
      </c>
      <c r="Q13" s="55" t="str">
        <f ca="1">IFERROR(__xludf.DUMMYFUNCTION("""COMPUTED_VALUE"""),"FIC")</f>
        <v>FIC</v>
      </c>
      <c r="R13" s="55">
        <f ca="1">IFERROR(__xludf.DUMMYFUNCTION("""COMPUTED_VALUE"""),240)</f>
        <v>240</v>
      </c>
      <c r="S13" s="55" t="str">
        <f ca="1">IFERROR(__xludf.DUMMYFUNCTION("""COMPUTED_VALUE"""),"NOITE")</f>
        <v>NOITE</v>
      </c>
      <c r="T13" s="57">
        <f ca="1">IFERROR(__xludf.DUMMYFUNCTION("""COMPUTED_VALUE"""),45699)</f>
        <v>45699</v>
      </c>
      <c r="U13" s="57">
        <f ca="1">IFERROR(__xludf.DUMMYFUNCTION("""COMPUTED_VALUE"""),45894)</f>
        <v>45894</v>
      </c>
      <c r="V13" s="55"/>
      <c r="W13" s="55"/>
      <c r="X13" s="55"/>
      <c r="Y13" s="55" t="str">
        <f ca="1">IFERROR(__xludf.DUMMYFUNCTION("""COMPUTED_VALUE"""),"EM OFERTA")</f>
        <v>EM OFERTA</v>
      </c>
      <c r="Z13" s="55"/>
      <c r="AA13" s="55"/>
      <c r="AB13" s="55"/>
      <c r="AC13" s="55"/>
      <c r="AD13" s="55"/>
      <c r="AE13" s="55"/>
      <c r="AF13" s="55"/>
      <c r="AG13" s="55"/>
      <c r="AH13" s="55" t="str">
        <f ca="1">IFERROR(__xludf.DUMMYFUNCTION("""COMPUTED_VALUE"""),"-")</f>
        <v>-</v>
      </c>
      <c r="AI13" s="55" t="str">
        <f ca="1">IFERROR(__xludf.DUMMYFUNCTION("""COMPUTED_VALUE"""),"JAMILTON COSTA PEREIRA")</f>
        <v>JAMILTON COSTA PEREIRA</v>
      </c>
      <c r="AJ13" s="55" t="str">
        <f ca="1">IFERROR(__xludf.DUMMYFUNCTION("""COMPUTED_VALUE"""),"-")</f>
        <v>-</v>
      </c>
      <c r="AK13" s="55" t="str">
        <f ca="1">IFERROR(__xludf.DUMMYFUNCTION("""COMPUTED_VALUE"""),"-")</f>
        <v>-</v>
      </c>
      <c r="AL13" s="55" t="str">
        <f ca="1">IFERROR(__xludf.DUMMYFUNCTION("""COMPUTED_VALUE"""),"ELIELZA GABRIEL BRAGA")</f>
        <v>ELIELZA GABRIEL BRAGA</v>
      </c>
      <c r="AM13" s="55">
        <f ca="1">IFERROR(__xludf.DUMMYFUNCTION("""COMPUTED_VALUE"""),2025)</f>
        <v>2025</v>
      </c>
      <c r="AN13" s="55"/>
    </row>
    <row r="14" spans="1:40" ht="15.75" customHeight="1" x14ac:dyDescent="0.35">
      <c r="A14" s="55" t="str">
        <f t="shared" ca="1" si="0"/>
        <v xml:space="preserve"> BERNARDINO BATISTA/ECI NELSON BATISTA ALVES/OPERADOR DE COMPUTADOR/NOITE</v>
      </c>
      <c r="B14" s="55" t="str">
        <f ca="1">IFERROR(__xludf.DUMMYFUNCTION("""COMPUTED_VALUE"""),"00000001377")</f>
        <v>00000001377</v>
      </c>
      <c r="C14" s="55" t="str">
        <f ca="1">IFERROR(__xludf.DUMMYFUNCTION("""COMPUTED_VALUE"""),"T-OPERADOR DE COMPUTADOR/00000001377")</f>
        <v>T-OPERADOR DE COMPUTADOR/00000001377</v>
      </c>
      <c r="D14" s="56" t="str">
        <f ca="1">IFERROR(__xludf.DUMMYFUNCTION("""COMPUTED_VALUE"""),"https://docs.google.com/spreadsheets/d/11gDnhf4cNCoaoConTucYfoi-h-yyOvSpWevuqVgE-Bc/edit?usp=drivesdk")</f>
        <v>https://docs.google.com/spreadsheets/d/11gDnhf4cNCoaoConTucYfoi-h-yyOvSpWevuqVgE-Bc/edit?usp=drivesdk</v>
      </c>
      <c r="E14" s="55" t="str">
        <f ca="1">IFERROR(__xludf.DUMMYFUNCTION("""COMPUTED_VALUE"""),"17 - PARAIBATEC FIC")</f>
        <v>17 - PARAIBATEC FIC</v>
      </c>
      <c r="F14" s="55" t="str">
        <f ca="1">IFERROR(__xludf.DUMMYFUNCTION("""COMPUTED_VALUE"""),"PARAIBATEC FIC")</f>
        <v>PARAIBATEC FIC</v>
      </c>
      <c r="G14" s="55" t="str">
        <f ca="1">IFERROR(__xludf.DUMMYFUNCTION("""COMPUTED_VALUE"""),"01 - PARAIBATEC")</f>
        <v>01 - PARAIBATEC</v>
      </c>
      <c r="H14" s="55" t="str">
        <f ca="1">IFERROR(__xludf.DUMMYFUNCTION("""COMPUTED_VALUE"""),"PARAIBATEC")</f>
        <v>PARAIBATEC</v>
      </c>
      <c r="I14" s="55" t="str">
        <f ca="1">IFERROR(__xludf.DUMMYFUNCTION("""COMPUTED_VALUE"""),"359 - ECI NELSON BATISTA ALVES")</f>
        <v>359 - ECI NELSON BATISTA ALVES</v>
      </c>
      <c r="J14" s="55" t="str">
        <f ca="1">IFERROR(__xludf.DUMMYFUNCTION("""COMPUTED_VALUE""")," BERNARDINO BATISTA")</f>
        <v xml:space="preserve"> BERNARDINO BATISTA</v>
      </c>
      <c r="K14" s="55"/>
      <c r="L14" s="55"/>
      <c r="M14" s="55" t="str">
        <f ca="1">IFERROR(__xludf.DUMMYFUNCTION("""COMPUTED_VALUE"""),"ECI NELSON BATISTA ALVES")</f>
        <v>ECI NELSON BATISTA ALVES</v>
      </c>
      <c r="N14" s="55">
        <f ca="1">IFERROR(__xludf.DUMMYFUNCTION("""COMPUTED_VALUE"""),221153)</f>
        <v>221153</v>
      </c>
      <c r="O14" s="55" t="str">
        <f ca="1">IFERROR(__xludf.DUMMYFUNCTION("""COMPUTED_VALUE"""),"INFORMAÇAO E COMUNICAÇAO")</f>
        <v>INFORMAÇAO E COMUNICAÇAO</v>
      </c>
      <c r="P14" s="55" t="str">
        <f ca="1">IFERROR(__xludf.DUMMYFUNCTION("""COMPUTED_VALUE"""),"OPERADOR DE COMPUTADOR")</f>
        <v>OPERADOR DE COMPUTADOR</v>
      </c>
      <c r="Q14" s="55" t="str">
        <f ca="1">IFERROR(__xludf.DUMMYFUNCTION("""COMPUTED_VALUE"""),"FIC")</f>
        <v>FIC</v>
      </c>
      <c r="R14" s="55">
        <f ca="1">IFERROR(__xludf.DUMMYFUNCTION("""COMPUTED_VALUE"""),160)</f>
        <v>160</v>
      </c>
      <c r="S14" s="55" t="str">
        <f ca="1">IFERROR(__xludf.DUMMYFUNCTION("""COMPUTED_VALUE"""),"NOITE")</f>
        <v>NOITE</v>
      </c>
      <c r="T14" s="57">
        <f ca="1">IFERROR(__xludf.DUMMYFUNCTION("""COMPUTED_VALUE"""),45698)</f>
        <v>45698</v>
      </c>
      <c r="U14" s="57">
        <f ca="1">IFERROR(__xludf.DUMMYFUNCTION("""COMPUTED_VALUE"""),45831)</f>
        <v>45831</v>
      </c>
      <c r="V14" s="55"/>
      <c r="W14" s="55"/>
      <c r="X14" s="55"/>
      <c r="Y14" s="55" t="str">
        <f ca="1">IFERROR(__xludf.DUMMYFUNCTION("""COMPUTED_VALUE"""),"EM OFERTA")</f>
        <v>EM OFERTA</v>
      </c>
      <c r="Z14" s="55"/>
      <c r="AA14" s="55"/>
      <c r="AB14" s="55"/>
      <c r="AC14" s="55"/>
      <c r="AD14" s="55"/>
      <c r="AE14" s="55"/>
      <c r="AF14" s="55"/>
      <c r="AG14" s="55"/>
      <c r="AH14" s="55" t="str">
        <f ca="1">IFERROR(__xludf.DUMMYFUNCTION("""COMPUTED_VALUE"""),"-")</f>
        <v>-</v>
      </c>
      <c r="AI14" s="55" t="str">
        <f ca="1">IFERROR(__xludf.DUMMYFUNCTION("""COMPUTED_VALUE"""),"JAMILTON COSTA PEREIRA")</f>
        <v>JAMILTON COSTA PEREIRA</v>
      </c>
      <c r="AJ14" s="55" t="str">
        <f ca="1">IFERROR(__xludf.DUMMYFUNCTION("""COMPUTED_VALUE"""),"-")</f>
        <v>-</v>
      </c>
      <c r="AK14" s="55" t="str">
        <f ca="1">IFERROR(__xludf.DUMMYFUNCTION("""COMPUTED_VALUE"""),"-")</f>
        <v>-</v>
      </c>
      <c r="AL14" s="55" t="str">
        <f ca="1">IFERROR(__xludf.DUMMYFUNCTION("""COMPUTED_VALUE"""),"EMILLY BATISTA ALVES MOREIRA")</f>
        <v>EMILLY BATISTA ALVES MOREIRA</v>
      </c>
      <c r="AM14" s="55">
        <f ca="1">IFERROR(__xludf.DUMMYFUNCTION("""COMPUTED_VALUE"""),2025)</f>
        <v>2025</v>
      </c>
      <c r="AN14" s="55"/>
    </row>
    <row r="15" spans="1:40" ht="15.75" customHeight="1" x14ac:dyDescent="0.35">
      <c r="A15" s="55" t="str">
        <f t="shared" ca="1" si="0"/>
        <v xml:space="preserve"> CABEDELO/PORTO CIDADE/ASSISTENTE ADMINISTRATIVO/MANHA</v>
      </c>
      <c r="B15" s="55" t="str">
        <f ca="1">IFERROR(__xludf.DUMMYFUNCTION("""COMPUTED_VALUE"""),"00000001378")</f>
        <v>00000001378</v>
      </c>
      <c r="C15" s="55" t="str">
        <f ca="1">IFERROR(__xludf.DUMMYFUNCTION("""COMPUTED_VALUE"""),"T-ASSISTENTE ADMINISTRATIVO/00000001378")</f>
        <v>T-ASSISTENTE ADMINISTRATIVO/00000001378</v>
      </c>
      <c r="D15" s="56" t="str">
        <f ca="1">IFERROR(__xludf.DUMMYFUNCTION("""COMPUTED_VALUE"""),"https://docs.google.com/spreadsheets/d/1xFihTiBvpKtGwwMzjJPPhnlifLVIvnKPqbcTCFZrHBo/edit?usp=drivesdk")</f>
        <v>https://docs.google.com/spreadsheets/d/1xFihTiBvpKtGwwMzjJPPhnlifLVIvnKPqbcTCFZrHBo/edit?usp=drivesdk</v>
      </c>
      <c r="E15" s="55" t="str">
        <f ca="1">IFERROR(__xludf.DUMMYFUNCTION("""COMPUTED_VALUE"""),"17 - PARAIBATEC FIC")</f>
        <v>17 - PARAIBATEC FIC</v>
      </c>
      <c r="F15" s="55" t="str">
        <f ca="1">IFERROR(__xludf.DUMMYFUNCTION("""COMPUTED_VALUE"""),"PARAIBATEC FIC")</f>
        <v>PARAIBATEC FIC</v>
      </c>
      <c r="G15" s="55" t="str">
        <f ca="1">IFERROR(__xludf.DUMMYFUNCTION("""COMPUTED_VALUE"""),"01 - PARAIBATEC")</f>
        <v>01 - PARAIBATEC</v>
      </c>
      <c r="H15" s="55" t="str">
        <f ca="1">IFERROR(__xludf.DUMMYFUNCTION("""COMPUTED_VALUE"""),"PARAIBATEC")</f>
        <v>PARAIBATEC</v>
      </c>
      <c r="I15" s="55" t="str">
        <f ca="1">IFERROR(__xludf.DUMMYFUNCTION("""COMPUTED_VALUE"""),"494 - PORTO CIDADE")</f>
        <v>494 - PORTO CIDADE</v>
      </c>
      <c r="J15" s="55" t="str">
        <f ca="1">IFERROR(__xludf.DUMMYFUNCTION("""COMPUTED_VALUE""")," CABEDELO")</f>
        <v xml:space="preserve"> CABEDELO</v>
      </c>
      <c r="K15" s="55"/>
      <c r="L15" s="55"/>
      <c r="M15" s="55" t="str">
        <f ca="1">IFERROR(__xludf.DUMMYFUNCTION("""COMPUTED_VALUE"""),"PORTO CIDADE")</f>
        <v>PORTO CIDADE</v>
      </c>
      <c r="N15" s="55">
        <f ca="1">IFERROR(__xludf.DUMMYFUNCTION("""COMPUTED_VALUE"""),221012)</f>
        <v>221012</v>
      </c>
      <c r="O15" s="55" t="str">
        <f ca="1">IFERROR(__xludf.DUMMYFUNCTION("""COMPUTED_VALUE"""),"GESTAO E NEGOCIOS")</f>
        <v>GESTAO E NEGOCIOS</v>
      </c>
      <c r="P15" s="55" t="str">
        <f ca="1">IFERROR(__xludf.DUMMYFUNCTION("""COMPUTED_VALUE"""),"ASSISTENTE ADMINISTRATIVO")</f>
        <v>ASSISTENTE ADMINISTRATIVO</v>
      </c>
      <c r="Q15" s="55" t="str">
        <f ca="1">IFERROR(__xludf.DUMMYFUNCTION("""COMPUTED_VALUE"""),"FIC")</f>
        <v>FIC</v>
      </c>
      <c r="R15" s="55">
        <f ca="1">IFERROR(__xludf.DUMMYFUNCTION("""COMPUTED_VALUE"""),160)</f>
        <v>160</v>
      </c>
      <c r="S15" s="55" t="str">
        <f ca="1">IFERROR(__xludf.DUMMYFUNCTION("""COMPUTED_VALUE"""),"MANHA")</f>
        <v>MANHA</v>
      </c>
      <c r="T15" s="57">
        <f ca="1">IFERROR(__xludf.DUMMYFUNCTION("""COMPUTED_VALUE"""),45733)</f>
        <v>45733</v>
      </c>
      <c r="U15" s="57">
        <f ca="1">IFERROR(__xludf.DUMMYFUNCTION("""COMPUTED_VALUE"""),45811)</f>
        <v>45811</v>
      </c>
      <c r="V15" s="55"/>
      <c r="W15" s="55"/>
      <c r="X15" s="55"/>
      <c r="Y15" s="55" t="str">
        <f ca="1">IFERROR(__xludf.DUMMYFUNCTION("""COMPUTED_VALUE"""),"EM OFERTA")</f>
        <v>EM OFERTA</v>
      </c>
      <c r="Z15" s="55"/>
      <c r="AA15" s="55"/>
      <c r="AB15" s="55"/>
      <c r="AC15" s="55"/>
      <c r="AD15" s="55"/>
      <c r="AE15" s="55"/>
      <c r="AF15" s="55"/>
      <c r="AG15" s="55"/>
      <c r="AH15" s="55" t="str">
        <f ca="1">IFERROR(__xludf.DUMMYFUNCTION("""COMPUTED_VALUE"""),"-")</f>
        <v>-</v>
      </c>
      <c r="AI15" s="55" t="str">
        <f ca="1">IFERROR(__xludf.DUMMYFUNCTION("""COMPUTED_VALUE"""),"JOAO PEDROSA WANDERLEY NETO")</f>
        <v>JOAO PEDROSA WANDERLEY NETO</v>
      </c>
      <c r="AJ15" s="55" t="str">
        <f ca="1">IFERROR(__xludf.DUMMYFUNCTION("""COMPUTED_VALUE"""),"-")</f>
        <v>-</v>
      </c>
      <c r="AK15" s="55" t="str">
        <f ca="1">IFERROR(__xludf.DUMMYFUNCTION("""COMPUTED_VALUE"""),"-")</f>
        <v>-</v>
      </c>
      <c r="AL15" s="55" t="str">
        <f ca="1">IFERROR(__xludf.DUMMYFUNCTION("""COMPUTED_VALUE"""),"JOANNE DA SILVA VITORINO")</f>
        <v>JOANNE DA SILVA VITORINO</v>
      </c>
      <c r="AM15" s="55">
        <f ca="1">IFERROR(__xludf.DUMMYFUNCTION("""COMPUTED_VALUE"""),2025)</f>
        <v>2025</v>
      </c>
      <c r="AN15" s="55"/>
    </row>
    <row r="16" spans="1:40" ht="15.75" customHeight="1" x14ac:dyDescent="0.35">
      <c r="A16" s="55" t="str">
        <f t="shared" ca="1" si="0"/>
        <v xml:space="preserve"> CABEDELO/PORTO CIDADE/INGLES BASICO/MANHA</v>
      </c>
      <c r="B16" s="55" t="str">
        <f ca="1">IFERROR(__xludf.DUMMYFUNCTION("""COMPUTED_VALUE"""),"00000001379")</f>
        <v>00000001379</v>
      </c>
      <c r="C16" s="55" t="str">
        <f ca="1">IFERROR(__xludf.DUMMYFUNCTION("""COMPUTED_VALUE"""),"T-INGLES BASICO/00000001379")</f>
        <v>T-INGLES BASICO/00000001379</v>
      </c>
      <c r="D16" s="56" t="str">
        <f ca="1">IFERROR(__xludf.DUMMYFUNCTION("""COMPUTED_VALUE"""),"https://docs.google.com/spreadsheets/d/1WhZFAmWiqApSyAREZt7fleZa4blrUY4knRp0fzHtsx4/edit?usp=drivesdk")</f>
        <v>https://docs.google.com/spreadsheets/d/1WhZFAmWiqApSyAREZt7fleZa4blrUY4knRp0fzHtsx4/edit?usp=drivesdk</v>
      </c>
      <c r="E16" s="55" t="str">
        <f ca="1">IFERROR(__xludf.DUMMYFUNCTION("""COMPUTED_VALUE"""),"17 - PARAIBATEC FIC")</f>
        <v>17 - PARAIBATEC FIC</v>
      </c>
      <c r="F16" s="55" t="str">
        <f ca="1">IFERROR(__xludf.DUMMYFUNCTION("""COMPUTED_VALUE"""),"PARAIBATEC FIC")</f>
        <v>PARAIBATEC FIC</v>
      </c>
      <c r="G16" s="55" t="str">
        <f ca="1">IFERROR(__xludf.DUMMYFUNCTION("""COMPUTED_VALUE"""),"01 - PARAIBATEC")</f>
        <v>01 - PARAIBATEC</v>
      </c>
      <c r="H16" s="55" t="str">
        <f ca="1">IFERROR(__xludf.DUMMYFUNCTION("""COMPUTED_VALUE"""),"PARAIBATEC")</f>
        <v>PARAIBATEC</v>
      </c>
      <c r="I16" s="55" t="str">
        <f ca="1">IFERROR(__xludf.DUMMYFUNCTION("""COMPUTED_VALUE"""),"494 - PORTO CIDADE")</f>
        <v>494 - PORTO CIDADE</v>
      </c>
      <c r="J16" s="55" t="str">
        <f ca="1">IFERROR(__xludf.DUMMYFUNCTION("""COMPUTED_VALUE""")," CABEDELO")</f>
        <v xml:space="preserve"> CABEDELO</v>
      </c>
      <c r="K16" s="55"/>
      <c r="L16" s="55"/>
      <c r="M16" s="55" t="str">
        <f ca="1">IFERROR(__xludf.DUMMYFUNCTION("""COMPUTED_VALUE"""),"PORTO CIDADE")</f>
        <v>PORTO CIDADE</v>
      </c>
      <c r="N16" s="55">
        <f ca="1">IFERROR(__xludf.DUMMYFUNCTION("""COMPUTED_VALUE"""),221453)</f>
        <v>221453</v>
      </c>
      <c r="O16" s="55" t="str">
        <f ca="1">IFERROR(__xludf.DUMMYFUNCTION("""COMPUTED_VALUE"""),"DESENVOLVIMENTO EDUCACIONAL E SOCIAL")</f>
        <v>DESENVOLVIMENTO EDUCACIONAL E SOCIAL</v>
      </c>
      <c r="P16" s="55" t="str">
        <f ca="1">IFERROR(__xludf.DUMMYFUNCTION("""COMPUTED_VALUE"""),"INGLES BASICO")</f>
        <v>INGLES BASICO</v>
      </c>
      <c r="Q16" s="55" t="str">
        <f ca="1">IFERROR(__xludf.DUMMYFUNCTION("""COMPUTED_VALUE"""),"FIC")</f>
        <v>FIC</v>
      </c>
      <c r="R16" s="55">
        <f ca="1">IFERROR(__xludf.DUMMYFUNCTION("""COMPUTED_VALUE"""),160)</f>
        <v>160</v>
      </c>
      <c r="S16" s="55" t="str">
        <f ca="1">IFERROR(__xludf.DUMMYFUNCTION("""COMPUTED_VALUE"""),"MANHA")</f>
        <v>MANHA</v>
      </c>
      <c r="T16" s="57">
        <f ca="1">IFERROR(__xludf.DUMMYFUNCTION("""COMPUTED_VALUE"""),45733)</f>
        <v>45733</v>
      </c>
      <c r="U16" s="57">
        <f ca="1">IFERROR(__xludf.DUMMYFUNCTION("""COMPUTED_VALUE"""),45811)</f>
        <v>45811</v>
      </c>
      <c r="V16" s="55"/>
      <c r="W16" s="55"/>
      <c r="X16" s="55"/>
      <c r="Y16" s="55" t="str">
        <f ca="1">IFERROR(__xludf.DUMMYFUNCTION("""COMPUTED_VALUE"""),"EM OFERTA")</f>
        <v>EM OFERTA</v>
      </c>
      <c r="Z16" s="55"/>
      <c r="AA16" s="55"/>
      <c r="AB16" s="55"/>
      <c r="AC16" s="55"/>
      <c r="AD16" s="55"/>
      <c r="AE16" s="55"/>
      <c r="AF16" s="55"/>
      <c r="AG16" s="55"/>
      <c r="AH16" s="55" t="str">
        <f ca="1">IFERROR(__xludf.DUMMYFUNCTION("""COMPUTED_VALUE"""),"-")</f>
        <v>-</v>
      </c>
      <c r="AI16" s="55" t="str">
        <f ca="1">IFERROR(__xludf.DUMMYFUNCTION("""COMPUTED_VALUE"""),"JOAO PEDROSA WANDERLEY NETO")</f>
        <v>JOAO PEDROSA WANDERLEY NETO</v>
      </c>
      <c r="AJ16" s="55" t="str">
        <f ca="1">IFERROR(__xludf.DUMMYFUNCTION("""COMPUTED_VALUE"""),"-")</f>
        <v>-</v>
      </c>
      <c r="AK16" s="55" t="str">
        <f ca="1">IFERROR(__xludf.DUMMYFUNCTION("""COMPUTED_VALUE"""),"-")</f>
        <v>-</v>
      </c>
      <c r="AL16" s="55" t="str">
        <f ca="1">IFERROR(__xludf.DUMMYFUNCTION("""COMPUTED_VALUE"""),"ANTONIUS GERARDUS MARIA POPPELAARS")</f>
        <v>ANTONIUS GERARDUS MARIA POPPELAARS</v>
      </c>
      <c r="AM16" s="55">
        <f ca="1">IFERROR(__xludf.DUMMYFUNCTION("""COMPUTED_VALUE"""),2025)</f>
        <v>2025</v>
      </c>
      <c r="AN16" s="55"/>
    </row>
    <row r="17" spans="1:40" ht="15.75" customHeight="1" x14ac:dyDescent="0.35">
      <c r="A17" s="55" t="str">
        <f t="shared" ca="1" si="0"/>
        <v xml:space="preserve"> CACHOEIRA DOS ÍNDIOS/FUNDACAO COMUNITARIA OS QUILOMBOLAS DO SITIO CIPO/AGRICULTOR FAMILIAR/NOITE</v>
      </c>
      <c r="B17" s="55" t="str">
        <f ca="1">IFERROR(__xludf.DUMMYFUNCTION("""COMPUTED_VALUE"""),"00000001380")</f>
        <v>00000001380</v>
      </c>
      <c r="C17" s="55" t="str">
        <f ca="1">IFERROR(__xludf.DUMMYFUNCTION("""COMPUTED_VALUE"""),"T-AGRICULTOR FAMILIAR/00000001380")</f>
        <v>T-AGRICULTOR FAMILIAR/00000001380</v>
      </c>
      <c r="D17" s="56" t="str">
        <f ca="1">IFERROR(__xludf.DUMMYFUNCTION("""COMPUTED_VALUE"""),"https://docs.google.com/spreadsheets/d/1P0sWPEAEHX3Ka3yS0O26dYtc1mMjYmBPO7pJ7Ly7Bnk/edit?usp=drivesdk")</f>
        <v>https://docs.google.com/spreadsheets/d/1P0sWPEAEHX3Ka3yS0O26dYtc1mMjYmBPO7pJ7Ly7Bnk/edit?usp=drivesdk</v>
      </c>
      <c r="E17" s="55" t="str">
        <f ca="1">IFERROR(__xludf.DUMMYFUNCTION("""COMPUTED_VALUE"""),"17 - PARAIBATEC FIC")</f>
        <v>17 - PARAIBATEC FIC</v>
      </c>
      <c r="F17" s="55" t="str">
        <f ca="1">IFERROR(__xludf.DUMMYFUNCTION("""COMPUTED_VALUE"""),"PARAIBATEC FIC")</f>
        <v>PARAIBATEC FIC</v>
      </c>
      <c r="G17" s="55" t="str">
        <f ca="1">IFERROR(__xludf.DUMMYFUNCTION("""COMPUTED_VALUE"""),"01 - PARAIBATEC")</f>
        <v>01 - PARAIBATEC</v>
      </c>
      <c r="H17" s="55" t="str">
        <f ca="1">IFERROR(__xludf.DUMMYFUNCTION("""COMPUTED_VALUE"""),"PARAIBATEC")</f>
        <v>PARAIBATEC</v>
      </c>
      <c r="I17" s="55" t="str">
        <f ca="1">IFERROR(__xludf.DUMMYFUNCTION("""COMPUTED_VALUE"""),"495 - FUNDACAO COMUNITARIA OS QUILOMBOLAS DO SITIO CIPO")</f>
        <v>495 - FUNDACAO COMUNITARIA OS QUILOMBOLAS DO SITIO CIPO</v>
      </c>
      <c r="J17" s="55" t="str">
        <f ca="1">IFERROR(__xludf.DUMMYFUNCTION("""COMPUTED_VALUE""")," CACHOEIRA DOS ÍNDIOS")</f>
        <v xml:space="preserve"> CACHOEIRA DOS ÍNDIOS</v>
      </c>
      <c r="K17" s="55"/>
      <c r="L17" s="55"/>
      <c r="M17" s="55" t="str">
        <f ca="1">IFERROR(__xludf.DUMMYFUNCTION("""COMPUTED_VALUE"""),"FUNDACAO COMUNITARIA OS QUILOMBOLAS DO SITIO CIPO")</f>
        <v>FUNDACAO COMUNITARIA OS QUILOMBOLAS DO SITIO CIPO</v>
      </c>
      <c r="N17" s="55">
        <f ca="1">IFERROR(__xludf.DUMMYFUNCTION("""COMPUTED_VALUE"""),221289)</f>
        <v>221289</v>
      </c>
      <c r="O17" s="55" t="str">
        <f ca="1">IFERROR(__xludf.DUMMYFUNCTION("""COMPUTED_VALUE"""),"RECURSOS NATURAIS")</f>
        <v>RECURSOS NATURAIS</v>
      </c>
      <c r="P17" s="55" t="str">
        <f ca="1">IFERROR(__xludf.DUMMYFUNCTION("""COMPUTED_VALUE"""),"AGRICULTOR FAMILIAR")</f>
        <v>AGRICULTOR FAMILIAR</v>
      </c>
      <c r="Q17" s="55" t="str">
        <f ca="1">IFERROR(__xludf.DUMMYFUNCTION("""COMPUTED_VALUE"""),"FIC")</f>
        <v>FIC</v>
      </c>
      <c r="R17" s="55">
        <f ca="1">IFERROR(__xludf.DUMMYFUNCTION("""COMPUTED_VALUE"""),200)</f>
        <v>200</v>
      </c>
      <c r="S17" s="55" t="str">
        <f ca="1">IFERROR(__xludf.DUMMYFUNCTION("""COMPUTED_VALUE"""),"NOITE")</f>
        <v>NOITE</v>
      </c>
      <c r="T17" s="57">
        <f ca="1">IFERROR(__xludf.DUMMYFUNCTION("""COMPUTED_VALUE"""),45692)</f>
        <v>45692</v>
      </c>
      <c r="U17" s="57">
        <f ca="1">IFERROR(__xludf.DUMMYFUNCTION("""COMPUTED_VALUE"""),45854)</f>
        <v>45854</v>
      </c>
      <c r="V17" s="55"/>
      <c r="W17" s="55"/>
      <c r="X17" s="55"/>
      <c r="Y17" s="55" t="str">
        <f ca="1">IFERROR(__xludf.DUMMYFUNCTION("""COMPUTED_VALUE"""),"EM OFERTA")</f>
        <v>EM OFERTA</v>
      </c>
      <c r="Z17" s="55"/>
      <c r="AA17" s="55"/>
      <c r="AB17" s="55"/>
      <c r="AC17" s="55"/>
      <c r="AD17" s="55"/>
      <c r="AE17" s="55"/>
      <c r="AF17" s="55"/>
      <c r="AG17" s="55"/>
      <c r="AH17" s="55" t="str">
        <f ca="1">IFERROR(__xludf.DUMMYFUNCTION("""COMPUTED_VALUE"""),"-")</f>
        <v>-</v>
      </c>
      <c r="AI17" s="55" t="str">
        <f ca="1">IFERROR(__xludf.DUMMYFUNCTION("""COMPUTED_VALUE"""),"INGRID FLORES PEREIRA")</f>
        <v>INGRID FLORES PEREIRA</v>
      </c>
      <c r="AJ17" s="55" t="str">
        <f ca="1">IFERROR(__xludf.DUMMYFUNCTION("""COMPUTED_VALUE"""),"-")</f>
        <v>-</v>
      </c>
      <c r="AK17" s="55" t="str">
        <f ca="1">IFERROR(__xludf.DUMMYFUNCTION("""COMPUTED_VALUE"""),"-")</f>
        <v>-</v>
      </c>
      <c r="AL17" s="55" t="str">
        <f ca="1">IFERROR(__xludf.DUMMYFUNCTION("""COMPUTED_VALUE"""),"JUSCELINO MARTINS COSTA JUNIOR")</f>
        <v>JUSCELINO MARTINS COSTA JUNIOR</v>
      </c>
      <c r="AM17" s="55">
        <f ca="1">IFERROR(__xludf.DUMMYFUNCTION("""COMPUTED_VALUE"""),2025)</f>
        <v>2025</v>
      </c>
      <c r="AN17" s="55"/>
    </row>
    <row r="18" spans="1:40" ht="15.75" customHeight="1" x14ac:dyDescent="0.35">
      <c r="A18" s="55" t="str">
        <f t="shared" ca="1" si="0"/>
        <v xml:space="preserve"> CACIMBA DE DENTRO/ECI SENADOR HUMBERTO LUCENA/CUIDADOR INFANTIL/NOITE</v>
      </c>
      <c r="B18" s="55" t="str">
        <f ca="1">IFERROR(__xludf.DUMMYFUNCTION("""COMPUTED_VALUE"""),"00000001381")</f>
        <v>00000001381</v>
      </c>
      <c r="C18" s="55" t="str">
        <f ca="1">IFERROR(__xludf.DUMMYFUNCTION("""COMPUTED_VALUE"""),"T-CUIDADOR INFANTIL/00000001381")</f>
        <v>T-CUIDADOR INFANTIL/00000001381</v>
      </c>
      <c r="D18" s="56" t="str">
        <f ca="1">IFERROR(__xludf.DUMMYFUNCTION("""COMPUTED_VALUE"""),"https://docs.google.com/spreadsheets/d/1EqbUvZ11JKLyiOW3Zz0vZjG2Z3YmFEAoZiD-UpXa4UI/edit?usp=drivesdk")</f>
        <v>https://docs.google.com/spreadsheets/d/1EqbUvZ11JKLyiOW3Zz0vZjG2Z3YmFEAoZiD-UpXa4UI/edit?usp=drivesdk</v>
      </c>
      <c r="E18" s="55" t="str">
        <f ca="1">IFERROR(__xludf.DUMMYFUNCTION("""COMPUTED_VALUE"""),"17 - PARAIBATEC FIC")</f>
        <v>17 - PARAIBATEC FIC</v>
      </c>
      <c r="F18" s="55" t="str">
        <f ca="1">IFERROR(__xludf.DUMMYFUNCTION("""COMPUTED_VALUE"""),"PARAIBATEC FIC")</f>
        <v>PARAIBATEC FIC</v>
      </c>
      <c r="G18" s="55" t="str">
        <f ca="1">IFERROR(__xludf.DUMMYFUNCTION("""COMPUTED_VALUE"""),"01 - PARAIBATEC")</f>
        <v>01 - PARAIBATEC</v>
      </c>
      <c r="H18" s="55" t="str">
        <f ca="1">IFERROR(__xludf.DUMMYFUNCTION("""COMPUTED_VALUE"""),"PARAIBATEC")</f>
        <v>PARAIBATEC</v>
      </c>
      <c r="I18" s="55" t="str">
        <f ca="1">IFERROR(__xludf.DUMMYFUNCTION("""COMPUTED_VALUE"""),"496 - ECI SENADOR HUMBERTO LUCENA")</f>
        <v>496 - ECI SENADOR HUMBERTO LUCENA</v>
      </c>
      <c r="J18" s="55" t="str">
        <f ca="1">IFERROR(__xludf.DUMMYFUNCTION("""COMPUTED_VALUE""")," CACIMBA DE DENTRO")</f>
        <v xml:space="preserve"> CACIMBA DE DENTRO</v>
      </c>
      <c r="K18" s="55"/>
      <c r="L18" s="55"/>
      <c r="M18" s="55" t="str">
        <f ca="1">IFERROR(__xludf.DUMMYFUNCTION("""COMPUTED_VALUE"""),"ECI SENADOR HUMBERTO LUCENA")</f>
        <v>ECI SENADOR HUMBERTO LUCENA</v>
      </c>
      <c r="N18" s="55">
        <f ca="1">IFERROR(__xludf.DUMMYFUNCTION("""COMPUTED_VALUE"""),221538)</f>
        <v>221538</v>
      </c>
      <c r="O18" s="55" t="str">
        <f ca="1">IFERROR(__xludf.DUMMYFUNCTION("""COMPUTED_VALUE"""),"AMBIENTE E SAUDE")</f>
        <v>AMBIENTE E SAUDE</v>
      </c>
      <c r="P18" s="55" t="str">
        <f ca="1">IFERROR(__xludf.DUMMYFUNCTION("""COMPUTED_VALUE"""),"CUIDADOR INFANTIL")</f>
        <v>CUIDADOR INFANTIL</v>
      </c>
      <c r="Q18" s="55" t="str">
        <f ca="1">IFERROR(__xludf.DUMMYFUNCTION("""COMPUTED_VALUE"""),"FIC")</f>
        <v>FIC</v>
      </c>
      <c r="R18" s="55">
        <f ca="1">IFERROR(__xludf.DUMMYFUNCTION("""COMPUTED_VALUE"""),160)</f>
        <v>160</v>
      </c>
      <c r="S18" s="55" t="str">
        <f ca="1">IFERROR(__xludf.DUMMYFUNCTION("""COMPUTED_VALUE"""),"NOITE")</f>
        <v>NOITE</v>
      </c>
      <c r="T18" s="57">
        <f ca="1">IFERROR(__xludf.DUMMYFUNCTION("""COMPUTED_VALUE"""),45691)</f>
        <v>45691</v>
      </c>
      <c r="U18" s="57">
        <f ca="1">IFERROR(__xludf.DUMMYFUNCTION("""COMPUTED_VALUE"""),45791)</f>
        <v>45791</v>
      </c>
      <c r="V18" s="55"/>
      <c r="W18" s="55"/>
      <c r="X18" s="55"/>
      <c r="Y18" s="55" t="str">
        <f ca="1">IFERROR(__xludf.DUMMYFUNCTION("""COMPUTED_VALUE"""),"EM OFERTA")</f>
        <v>EM OFERTA</v>
      </c>
      <c r="Z18" s="55"/>
      <c r="AA18" s="55"/>
      <c r="AB18" s="55"/>
      <c r="AC18" s="55"/>
      <c r="AD18" s="55"/>
      <c r="AE18" s="55"/>
      <c r="AF18" s="55"/>
      <c r="AG18" s="55"/>
      <c r="AH18" s="55" t="str">
        <f ca="1">IFERROR(__xludf.DUMMYFUNCTION("""COMPUTED_VALUE"""),"-")</f>
        <v>-</v>
      </c>
      <c r="AI18" s="55" t="str">
        <f ca="1">IFERROR(__xludf.DUMMYFUNCTION("""COMPUTED_VALUE"""),"ROBSON WESSLEN DE SOUSA SILVA")</f>
        <v>ROBSON WESSLEN DE SOUSA SILVA</v>
      </c>
      <c r="AJ18" s="55" t="str">
        <f ca="1">IFERROR(__xludf.DUMMYFUNCTION("""COMPUTED_VALUE"""),"-")</f>
        <v>-</v>
      </c>
      <c r="AK18" s="55" t="str">
        <f ca="1">IFERROR(__xludf.DUMMYFUNCTION("""COMPUTED_VALUE"""),"-")</f>
        <v>-</v>
      </c>
      <c r="AL18" s="55" t="str">
        <f ca="1">IFERROR(__xludf.DUMMYFUNCTION("""COMPUTED_VALUE"""),"LUCILEIA SENIOR DE LIMA")</f>
        <v>LUCILEIA SENIOR DE LIMA</v>
      </c>
      <c r="AM18" s="55">
        <f ca="1">IFERROR(__xludf.DUMMYFUNCTION("""COMPUTED_VALUE"""),2025)</f>
        <v>2025</v>
      </c>
      <c r="AN18" s="55"/>
    </row>
    <row r="19" spans="1:40" ht="15.75" customHeight="1" x14ac:dyDescent="0.35">
      <c r="A19" s="55" t="str">
        <f t="shared" ca="1" si="0"/>
        <v xml:space="preserve"> CACIMBAS/ASSOCIACAO QUILOMBO SERRA FEIA/AUXILIAR DE AGROECOLOGIA/TARDE</v>
      </c>
      <c r="B19" s="55" t="str">
        <f ca="1">IFERROR(__xludf.DUMMYFUNCTION("""COMPUTED_VALUE"""),"00000001382")</f>
        <v>00000001382</v>
      </c>
      <c r="C19" s="55" t="str">
        <f ca="1">IFERROR(__xludf.DUMMYFUNCTION("""COMPUTED_VALUE"""),"T-AUXILIAR DE AGROECOLOGIA/00000001382")</f>
        <v>T-AUXILIAR DE AGROECOLOGIA/00000001382</v>
      </c>
      <c r="D19" s="56" t="str">
        <f ca="1">IFERROR(__xludf.DUMMYFUNCTION("""COMPUTED_VALUE"""),"https://docs.google.com/spreadsheets/d/13WTqOVBE8a_pnjyuOiJRC4MJrA2do08bA9YS5Ret1DE/edit?usp=drivesdk")</f>
        <v>https://docs.google.com/spreadsheets/d/13WTqOVBE8a_pnjyuOiJRC4MJrA2do08bA9YS5Ret1DE/edit?usp=drivesdk</v>
      </c>
      <c r="E19" s="55" t="str">
        <f ca="1">IFERROR(__xludf.DUMMYFUNCTION("""COMPUTED_VALUE"""),"17 - PARAIBATEC FIC")</f>
        <v>17 - PARAIBATEC FIC</v>
      </c>
      <c r="F19" s="55" t="str">
        <f ca="1">IFERROR(__xludf.DUMMYFUNCTION("""COMPUTED_VALUE"""),"PARAIBATEC FIC")</f>
        <v>PARAIBATEC FIC</v>
      </c>
      <c r="G19" s="55" t="str">
        <f ca="1">IFERROR(__xludf.DUMMYFUNCTION("""COMPUTED_VALUE"""),"01 - PARAIBATEC")</f>
        <v>01 - PARAIBATEC</v>
      </c>
      <c r="H19" s="55" t="str">
        <f ca="1">IFERROR(__xludf.DUMMYFUNCTION("""COMPUTED_VALUE"""),"PARAIBATEC")</f>
        <v>PARAIBATEC</v>
      </c>
      <c r="I19" s="55" t="str">
        <f ca="1">IFERROR(__xludf.DUMMYFUNCTION("""COMPUTED_VALUE"""),"469 - ASSOCIACAO QUILOMBO SERRA FEIA")</f>
        <v>469 - ASSOCIACAO QUILOMBO SERRA FEIA</v>
      </c>
      <c r="J19" s="55" t="str">
        <f ca="1">IFERROR(__xludf.DUMMYFUNCTION("""COMPUTED_VALUE""")," CACIMBAS")</f>
        <v xml:space="preserve"> CACIMBAS</v>
      </c>
      <c r="K19" s="55"/>
      <c r="L19" s="55"/>
      <c r="M19" s="55" t="str">
        <f ca="1">IFERROR(__xludf.DUMMYFUNCTION("""COMPUTED_VALUE"""),"ASSOCIACAO QUILOMBO SERRA FEIA")</f>
        <v>ASSOCIACAO QUILOMBO SERRA FEIA</v>
      </c>
      <c r="N19" s="55">
        <f ca="1">IFERROR(__xludf.DUMMYFUNCTION("""COMPUTED_VALUE"""),264121)</f>
        <v>264121</v>
      </c>
      <c r="O19" s="55" t="str">
        <f ca="1">IFERROR(__xludf.DUMMYFUNCTION("""COMPUTED_VALUE"""),"RECURSOS NATURAIS")</f>
        <v>RECURSOS NATURAIS</v>
      </c>
      <c r="P19" s="55" t="str">
        <f ca="1">IFERROR(__xludf.DUMMYFUNCTION("""COMPUTED_VALUE"""),"AUXILIAR DE AGROECOLOGIA")</f>
        <v>AUXILIAR DE AGROECOLOGIA</v>
      </c>
      <c r="Q19" s="55" t="str">
        <f ca="1">IFERROR(__xludf.DUMMYFUNCTION("""COMPUTED_VALUE"""),"FIC")</f>
        <v>FIC</v>
      </c>
      <c r="R19" s="55">
        <f ca="1">IFERROR(__xludf.DUMMYFUNCTION("""COMPUTED_VALUE"""),240)</f>
        <v>240</v>
      </c>
      <c r="S19" s="55" t="str">
        <f ca="1">IFERROR(__xludf.DUMMYFUNCTION("""COMPUTED_VALUE"""),"TARDE")</f>
        <v>TARDE</v>
      </c>
      <c r="T19" s="57">
        <f ca="1">IFERROR(__xludf.DUMMYFUNCTION("""COMPUTED_VALUE"""),45693)</f>
        <v>45693</v>
      </c>
      <c r="U19" s="57">
        <f ca="1">IFERROR(__xludf.DUMMYFUNCTION("""COMPUTED_VALUE"""),45888)</f>
        <v>45888</v>
      </c>
      <c r="V19" s="55"/>
      <c r="W19" s="55"/>
      <c r="X19" s="55"/>
      <c r="Y19" s="55" t="str">
        <f ca="1">IFERROR(__xludf.DUMMYFUNCTION("""COMPUTED_VALUE"""),"EM OFERTA")</f>
        <v>EM OFERTA</v>
      </c>
      <c r="Z19" s="55"/>
      <c r="AA19" s="55"/>
      <c r="AB19" s="55"/>
      <c r="AC19" s="55"/>
      <c r="AD19" s="55"/>
      <c r="AE19" s="55"/>
      <c r="AF19" s="55"/>
      <c r="AG19" s="55"/>
      <c r="AH19" s="55" t="str">
        <f ca="1">IFERROR(__xludf.DUMMYFUNCTION("""COMPUTED_VALUE"""),"-")</f>
        <v>-</v>
      </c>
      <c r="AI19" s="55" t="str">
        <f ca="1">IFERROR(__xludf.DUMMYFUNCTION("""COMPUTED_VALUE"""),"MARIA APARECIDA NUNES DE SOUZA RAMOS")</f>
        <v>MARIA APARECIDA NUNES DE SOUZA RAMOS</v>
      </c>
      <c r="AJ19" s="55" t="str">
        <f ca="1">IFERROR(__xludf.DUMMYFUNCTION("""COMPUTED_VALUE"""),"-")</f>
        <v>-</v>
      </c>
      <c r="AK19" s="55" t="str">
        <f ca="1">IFERROR(__xludf.DUMMYFUNCTION("""COMPUTED_VALUE"""),"-")</f>
        <v>-</v>
      </c>
      <c r="AL19" s="55" t="str">
        <f ca="1">IFERROR(__xludf.DUMMYFUNCTION("""COMPUTED_VALUE"""),"JULIANA FERREIRA GONÇALVES")</f>
        <v>JULIANA FERREIRA GONÇALVES</v>
      </c>
      <c r="AM19" s="55">
        <f ca="1">IFERROR(__xludf.DUMMYFUNCTION("""COMPUTED_VALUE"""),2025)</f>
        <v>2025</v>
      </c>
      <c r="AN19" s="55"/>
    </row>
    <row r="20" spans="1:40" ht="15.75" customHeight="1" x14ac:dyDescent="0.35">
      <c r="A20" s="55" t="str">
        <f t="shared" ca="1" si="0"/>
        <v xml:space="preserve"> CACIMBAS/ESCOLA MUNICIPAL JOAQUIM ALVES/PREPARADOR DE DOCES E CONSERVAS/TARDE</v>
      </c>
      <c r="B20" s="55" t="str">
        <f ca="1">IFERROR(__xludf.DUMMYFUNCTION("""COMPUTED_VALUE"""),"00000001383")</f>
        <v>00000001383</v>
      </c>
      <c r="C20" s="55" t="str">
        <f ca="1">IFERROR(__xludf.DUMMYFUNCTION("""COMPUTED_VALUE"""),"T-PREPARADOR DE DOCES E CONSERVAS/00000001383")</f>
        <v>T-PREPARADOR DE DOCES E CONSERVAS/00000001383</v>
      </c>
      <c r="D20" s="56" t="str">
        <f ca="1">IFERROR(__xludf.DUMMYFUNCTION("""COMPUTED_VALUE"""),"https://docs.google.com/spreadsheets/d/1eMbzZsjgYHGCkj9q0Rbkz6CJ6stVcTPs91VCDC9f53M/edit?usp=drivesdk")</f>
        <v>https://docs.google.com/spreadsheets/d/1eMbzZsjgYHGCkj9q0Rbkz6CJ6stVcTPs91VCDC9f53M/edit?usp=drivesdk</v>
      </c>
      <c r="E20" s="55" t="str">
        <f ca="1">IFERROR(__xludf.DUMMYFUNCTION("""COMPUTED_VALUE"""),"17 - PARAIBATEC FIC")</f>
        <v>17 - PARAIBATEC FIC</v>
      </c>
      <c r="F20" s="55" t="str">
        <f ca="1">IFERROR(__xludf.DUMMYFUNCTION("""COMPUTED_VALUE"""),"PARAIBATEC FIC")</f>
        <v>PARAIBATEC FIC</v>
      </c>
      <c r="G20" s="55" t="str">
        <f ca="1">IFERROR(__xludf.DUMMYFUNCTION("""COMPUTED_VALUE"""),"01 - PARAIBATEC")</f>
        <v>01 - PARAIBATEC</v>
      </c>
      <c r="H20" s="55" t="str">
        <f ca="1">IFERROR(__xludf.DUMMYFUNCTION("""COMPUTED_VALUE"""),"PARAIBATEC")</f>
        <v>PARAIBATEC</v>
      </c>
      <c r="I20" s="55" t="str">
        <f ca="1">IFERROR(__xludf.DUMMYFUNCTION("""COMPUTED_VALUE"""),"470 - ESCOLA MUNICIPAL JOAQUIM ALVES")</f>
        <v>470 - ESCOLA MUNICIPAL JOAQUIM ALVES</v>
      </c>
      <c r="J20" s="55" t="str">
        <f ca="1">IFERROR(__xludf.DUMMYFUNCTION("""COMPUTED_VALUE""")," CACIMBAS")</f>
        <v xml:space="preserve"> CACIMBAS</v>
      </c>
      <c r="K20" s="55"/>
      <c r="L20" s="55"/>
      <c r="M20" s="55" t="str">
        <f ca="1">IFERROR(__xludf.DUMMYFUNCTION("""COMPUTED_VALUE"""),"ESCOLA MUNICIPAL JOAQUIM ALVES")</f>
        <v>ESCOLA MUNICIPAL JOAQUIM ALVES</v>
      </c>
      <c r="N20" s="55">
        <f ca="1">IFERROR(__xludf.DUMMYFUNCTION("""COMPUTED_VALUE"""),221136)</f>
        <v>221136</v>
      </c>
      <c r="O20" s="55" t="str">
        <f ca="1">IFERROR(__xludf.DUMMYFUNCTION("""COMPUTED_VALUE"""),"PRODUÇAO ALIMENTICIA")</f>
        <v>PRODUÇAO ALIMENTICIA</v>
      </c>
      <c r="P20" s="55" t="str">
        <f ca="1">IFERROR(__xludf.DUMMYFUNCTION("""COMPUTED_VALUE"""),"PREPARADOR DE DOCES E CONSERVAS")</f>
        <v>PREPARADOR DE DOCES E CONSERVAS</v>
      </c>
      <c r="Q20" s="55" t="str">
        <f ca="1">IFERROR(__xludf.DUMMYFUNCTION("""COMPUTED_VALUE"""),"FIC")</f>
        <v>FIC</v>
      </c>
      <c r="R20" s="55">
        <f ca="1">IFERROR(__xludf.DUMMYFUNCTION("""COMPUTED_VALUE"""),200)</f>
        <v>200</v>
      </c>
      <c r="S20" s="55" t="str">
        <f ca="1">IFERROR(__xludf.DUMMYFUNCTION("""COMPUTED_VALUE"""),"TARDE")</f>
        <v>TARDE</v>
      </c>
      <c r="T20" s="57">
        <f ca="1">IFERROR(__xludf.DUMMYFUNCTION("""COMPUTED_VALUE"""),45692)</f>
        <v>45692</v>
      </c>
      <c r="U20" s="57">
        <f ca="1">IFERROR(__xludf.DUMMYFUNCTION("""COMPUTED_VALUE"""),45854)</f>
        <v>45854</v>
      </c>
      <c r="V20" s="55"/>
      <c r="W20" s="55"/>
      <c r="X20" s="55"/>
      <c r="Y20" s="55" t="str">
        <f ca="1">IFERROR(__xludf.DUMMYFUNCTION("""COMPUTED_VALUE"""),"EM OFERTA")</f>
        <v>EM OFERTA</v>
      </c>
      <c r="Z20" s="55"/>
      <c r="AA20" s="55"/>
      <c r="AB20" s="55"/>
      <c r="AC20" s="55"/>
      <c r="AD20" s="55"/>
      <c r="AE20" s="55"/>
      <c r="AF20" s="55"/>
      <c r="AG20" s="55"/>
      <c r="AH20" s="55" t="str">
        <f ca="1">IFERROR(__xludf.DUMMYFUNCTION("""COMPUTED_VALUE"""),"-")</f>
        <v>-</v>
      </c>
      <c r="AI20" s="55" t="str">
        <f ca="1">IFERROR(__xludf.DUMMYFUNCTION("""COMPUTED_VALUE"""),"AMANDA MATIAS PEDRO")</f>
        <v>AMANDA MATIAS PEDRO</v>
      </c>
      <c r="AJ20" s="55" t="str">
        <f ca="1">IFERROR(__xludf.DUMMYFUNCTION("""COMPUTED_VALUE"""),"-")</f>
        <v>-</v>
      </c>
      <c r="AK20" s="55" t="str">
        <f ca="1">IFERROR(__xludf.DUMMYFUNCTION("""COMPUTED_VALUE"""),"-")</f>
        <v>-</v>
      </c>
      <c r="AL20" s="55" t="str">
        <f ca="1">IFERROR(__xludf.DUMMYFUNCTION("""COMPUTED_VALUE"""),"MYLENA MARIA BARBOSA LIRA")</f>
        <v>MYLENA MARIA BARBOSA LIRA</v>
      </c>
      <c r="AM20" s="55">
        <f ca="1">IFERROR(__xludf.DUMMYFUNCTION("""COMPUTED_VALUE"""),2025)</f>
        <v>2025</v>
      </c>
      <c r="AN20" s="55"/>
    </row>
    <row r="21" spans="1:40" ht="15.75" customHeight="1" x14ac:dyDescent="0.35">
      <c r="A21" s="55" t="str">
        <f t="shared" ca="1" si="0"/>
        <v xml:space="preserve"> CAJAZEIRAS/ECIT NICEA CLAUDINO PINHEIRO/CUIDADOR DE IDOSO/NOITE</v>
      </c>
      <c r="B21" s="55" t="str">
        <f ca="1">IFERROR(__xludf.DUMMYFUNCTION("""COMPUTED_VALUE"""),"00000001384")</f>
        <v>00000001384</v>
      </c>
      <c r="C21" s="55" t="str">
        <f ca="1">IFERROR(__xludf.DUMMYFUNCTION("""COMPUTED_VALUE"""),"T-CUIDADOR DE IDOSO/00000001384")</f>
        <v>T-CUIDADOR DE IDOSO/00000001384</v>
      </c>
      <c r="D21" s="56" t="str">
        <f ca="1">IFERROR(__xludf.DUMMYFUNCTION("""COMPUTED_VALUE"""),"https://docs.google.com/spreadsheets/d/1OXltdxdt8vM2D7GQkBMNM41WiMrlO6Y9nrG-aoL3NIA/edit?usp=drivesdk")</f>
        <v>https://docs.google.com/spreadsheets/d/1OXltdxdt8vM2D7GQkBMNM41WiMrlO6Y9nrG-aoL3NIA/edit?usp=drivesdk</v>
      </c>
      <c r="E21" s="55" t="str">
        <f ca="1">IFERROR(__xludf.DUMMYFUNCTION("""COMPUTED_VALUE"""),"17 - PARAIBATEC FIC")</f>
        <v>17 - PARAIBATEC FIC</v>
      </c>
      <c r="F21" s="55" t="str">
        <f ca="1">IFERROR(__xludf.DUMMYFUNCTION("""COMPUTED_VALUE"""),"PARAIBATEC FIC")</f>
        <v>PARAIBATEC FIC</v>
      </c>
      <c r="G21" s="55" t="str">
        <f ca="1">IFERROR(__xludf.DUMMYFUNCTION("""COMPUTED_VALUE"""),"01 - PARAIBATEC")</f>
        <v>01 - PARAIBATEC</v>
      </c>
      <c r="H21" s="55" t="str">
        <f ca="1">IFERROR(__xludf.DUMMYFUNCTION("""COMPUTED_VALUE"""),"PARAIBATEC")</f>
        <v>PARAIBATEC</v>
      </c>
      <c r="I21" s="55" t="str">
        <f ca="1">IFERROR(__xludf.DUMMYFUNCTION("""COMPUTED_VALUE"""),"497 - ECIT NICEA CLAUDINO PINHEIRO")</f>
        <v>497 - ECIT NICEA CLAUDINO PINHEIRO</v>
      </c>
      <c r="J21" s="55" t="str">
        <f ca="1">IFERROR(__xludf.DUMMYFUNCTION("""COMPUTED_VALUE""")," CAJAZEIRAS")</f>
        <v xml:space="preserve"> CAJAZEIRAS</v>
      </c>
      <c r="K21" s="55"/>
      <c r="L21" s="55"/>
      <c r="M21" s="55" t="str">
        <f ca="1">IFERROR(__xludf.DUMMYFUNCTION("""COMPUTED_VALUE"""),"ECIT NICEA CLAUDINO PINHEIRO")</f>
        <v>ECIT NICEA CLAUDINO PINHEIRO</v>
      </c>
      <c r="N21" s="55">
        <f ca="1">IFERROR(__xludf.DUMMYFUNCTION("""COMPUTED_VALUE"""),221539)</f>
        <v>221539</v>
      </c>
      <c r="O21" s="55" t="str">
        <f ca="1">IFERROR(__xludf.DUMMYFUNCTION("""COMPUTED_VALUE"""),"AMBIENTE E SAUDE")</f>
        <v>AMBIENTE E SAUDE</v>
      </c>
      <c r="P21" s="55" t="str">
        <f ca="1">IFERROR(__xludf.DUMMYFUNCTION("""COMPUTED_VALUE"""),"CUIDADOR DE IDOSO")</f>
        <v>CUIDADOR DE IDOSO</v>
      </c>
      <c r="Q21" s="55" t="str">
        <f ca="1">IFERROR(__xludf.DUMMYFUNCTION("""COMPUTED_VALUE"""),"FIC")</f>
        <v>FIC</v>
      </c>
      <c r="R21" s="55">
        <f ca="1">IFERROR(__xludf.DUMMYFUNCTION("""COMPUTED_VALUE"""),160)</f>
        <v>160</v>
      </c>
      <c r="S21" s="55" t="str">
        <f ca="1">IFERROR(__xludf.DUMMYFUNCTION("""COMPUTED_VALUE"""),"NOITE")</f>
        <v>NOITE</v>
      </c>
      <c r="T21" s="57">
        <f ca="1">IFERROR(__xludf.DUMMYFUNCTION("""COMPUTED_VALUE"""),45691)</f>
        <v>45691</v>
      </c>
      <c r="U21" s="57">
        <f ca="1">IFERROR(__xludf.DUMMYFUNCTION("""COMPUTED_VALUE"""),45770)</f>
        <v>45770</v>
      </c>
      <c r="V21" s="55"/>
      <c r="W21" s="55"/>
      <c r="X21" s="55"/>
      <c r="Y21" s="55" t="str">
        <f ca="1">IFERROR(__xludf.DUMMYFUNCTION("""COMPUTED_VALUE"""),"EM OFERTA")</f>
        <v>EM OFERTA</v>
      </c>
      <c r="Z21" s="55"/>
      <c r="AA21" s="55"/>
      <c r="AB21" s="55"/>
      <c r="AC21" s="55"/>
      <c r="AD21" s="55"/>
      <c r="AE21" s="55"/>
      <c r="AF21" s="55"/>
      <c r="AG21" s="55"/>
      <c r="AH21" s="55" t="str">
        <f ca="1">IFERROR(__xludf.DUMMYFUNCTION("""COMPUTED_VALUE"""),"-")</f>
        <v>-</v>
      </c>
      <c r="AI21" s="55" t="str">
        <f ca="1">IFERROR(__xludf.DUMMYFUNCTION("""COMPUTED_VALUE"""),"JOHN LENNON SARAIVA DE SOUSA")</f>
        <v>JOHN LENNON SARAIVA DE SOUSA</v>
      </c>
      <c r="AJ21" s="55" t="str">
        <f ca="1">IFERROR(__xludf.DUMMYFUNCTION("""COMPUTED_VALUE"""),"-")</f>
        <v>-</v>
      </c>
      <c r="AK21" s="55" t="str">
        <f ca="1">IFERROR(__xludf.DUMMYFUNCTION("""COMPUTED_VALUE"""),"-")</f>
        <v>-</v>
      </c>
      <c r="AL21" s="55" t="str">
        <f ca="1">IFERROR(__xludf.DUMMYFUNCTION("""COMPUTED_VALUE"""),"SEFORA LUANA EVANGELISTA DE ANDRADE")</f>
        <v>SEFORA LUANA EVANGELISTA DE ANDRADE</v>
      </c>
      <c r="AM21" s="55">
        <f ca="1">IFERROR(__xludf.DUMMYFUNCTION("""COMPUTED_VALUE"""),2025)</f>
        <v>2025</v>
      </c>
      <c r="AN21" s="55"/>
    </row>
    <row r="22" spans="1:40" ht="15.75" customHeight="1" x14ac:dyDescent="0.35">
      <c r="A22" s="55" t="str">
        <f t="shared" ca="1" si="0"/>
        <v xml:space="preserve"> CAJAZEIRAS/EMEIEF ANTONIO DE SOUZA DIAS/PRODUTOR AGROPECUARIO/NOITE</v>
      </c>
      <c r="B22" s="55" t="str">
        <f ca="1">IFERROR(__xludf.DUMMYFUNCTION("""COMPUTED_VALUE"""),"00000001385")</f>
        <v>00000001385</v>
      </c>
      <c r="C22" s="55" t="str">
        <f ca="1">IFERROR(__xludf.DUMMYFUNCTION("""COMPUTED_VALUE"""),"T-PRODUTOR AGROPECUARIO/00000001385")</f>
        <v>T-PRODUTOR AGROPECUARIO/00000001385</v>
      </c>
      <c r="D22" s="56" t="str">
        <f ca="1">IFERROR(__xludf.DUMMYFUNCTION("""COMPUTED_VALUE"""),"https://docs.google.com/spreadsheets/d/1tDFntjgWdblyHA3IvfgUvWDFpFA9aBKhoqKlvR9-jy8/edit?usp=drivesdk")</f>
        <v>https://docs.google.com/spreadsheets/d/1tDFntjgWdblyHA3IvfgUvWDFpFA9aBKhoqKlvR9-jy8/edit?usp=drivesdk</v>
      </c>
      <c r="E22" s="55" t="str">
        <f ca="1">IFERROR(__xludf.DUMMYFUNCTION("""COMPUTED_VALUE"""),"17 - PARAIBATEC FIC")</f>
        <v>17 - PARAIBATEC FIC</v>
      </c>
      <c r="F22" s="55" t="str">
        <f ca="1">IFERROR(__xludf.DUMMYFUNCTION("""COMPUTED_VALUE"""),"PARAIBATEC FIC")</f>
        <v>PARAIBATEC FIC</v>
      </c>
      <c r="G22" s="55" t="str">
        <f ca="1">IFERROR(__xludf.DUMMYFUNCTION("""COMPUTED_VALUE"""),"01 - PARAIBATEC")</f>
        <v>01 - PARAIBATEC</v>
      </c>
      <c r="H22" s="55" t="str">
        <f ca="1">IFERROR(__xludf.DUMMYFUNCTION("""COMPUTED_VALUE"""),"PARAIBATEC")</f>
        <v>PARAIBATEC</v>
      </c>
      <c r="I22" s="55" t="str">
        <f ca="1">IFERROR(__xludf.DUMMYFUNCTION("""COMPUTED_VALUE"""),"498 - EMEIEF ANTONIO DE SOUZA DIAS")</f>
        <v>498 - EMEIEF ANTONIO DE SOUZA DIAS</v>
      </c>
      <c r="J22" s="55" t="str">
        <f ca="1">IFERROR(__xludf.DUMMYFUNCTION("""COMPUTED_VALUE""")," CAJAZEIRAS")</f>
        <v xml:space="preserve"> CAJAZEIRAS</v>
      </c>
      <c r="K22" s="55"/>
      <c r="L22" s="55"/>
      <c r="M22" s="55" t="str">
        <f ca="1">IFERROR(__xludf.DUMMYFUNCTION("""COMPUTED_VALUE"""),"EMEIEF ANTONIO DE SOUZA DIAS")</f>
        <v>EMEIEF ANTONIO DE SOUZA DIAS</v>
      </c>
      <c r="N22" s="55">
        <f ca="1">IFERROR(__xludf.DUMMYFUNCTION("""COMPUTED_VALUE"""),221124)</f>
        <v>221124</v>
      </c>
      <c r="O22" s="55" t="str">
        <f ca="1">IFERROR(__xludf.DUMMYFUNCTION("""COMPUTED_VALUE"""),"RECURSOS NATURAIS")</f>
        <v>RECURSOS NATURAIS</v>
      </c>
      <c r="P22" s="55" t="str">
        <f ca="1">IFERROR(__xludf.DUMMYFUNCTION("""COMPUTED_VALUE"""),"PRODUTOR AGROPECUARIO")</f>
        <v>PRODUTOR AGROPECUARIO</v>
      </c>
      <c r="Q22" s="55" t="str">
        <f ca="1">IFERROR(__xludf.DUMMYFUNCTION("""COMPUTED_VALUE"""),"FIC")</f>
        <v>FIC</v>
      </c>
      <c r="R22" s="55">
        <f ca="1">IFERROR(__xludf.DUMMYFUNCTION("""COMPUTED_VALUE"""),250)</f>
        <v>250</v>
      </c>
      <c r="S22" s="55" t="str">
        <f ca="1">IFERROR(__xludf.DUMMYFUNCTION("""COMPUTED_VALUE"""),"NOITE")</f>
        <v>NOITE</v>
      </c>
      <c r="T22" s="57">
        <f ca="1">IFERROR(__xludf.DUMMYFUNCTION("""COMPUTED_VALUE"""),45691)</f>
        <v>45691</v>
      </c>
      <c r="U22" s="57">
        <f ca="1">IFERROR(__xludf.DUMMYFUNCTION("""COMPUTED_VALUE"""),45894)</f>
        <v>45894</v>
      </c>
      <c r="V22" s="55"/>
      <c r="W22" s="55"/>
      <c r="X22" s="55"/>
      <c r="Y22" s="55" t="str">
        <f ca="1">IFERROR(__xludf.DUMMYFUNCTION("""COMPUTED_VALUE"""),"EM OFERTA")</f>
        <v>EM OFERTA</v>
      </c>
      <c r="Z22" s="55"/>
      <c r="AA22" s="55"/>
      <c r="AB22" s="55"/>
      <c r="AC22" s="55"/>
      <c r="AD22" s="55"/>
      <c r="AE22" s="55"/>
      <c r="AF22" s="55"/>
      <c r="AG22" s="55"/>
      <c r="AH22" s="55" t="str">
        <f ca="1">IFERROR(__xludf.DUMMYFUNCTION("""COMPUTED_VALUE"""),"-")</f>
        <v>-</v>
      </c>
      <c r="AI22" s="55" t="str">
        <f ca="1">IFERROR(__xludf.DUMMYFUNCTION("""COMPUTED_VALUE"""),"MARIA BERTIANY DANTAS FELIX")</f>
        <v>MARIA BERTIANY DANTAS FELIX</v>
      </c>
      <c r="AJ22" s="55" t="str">
        <f ca="1">IFERROR(__xludf.DUMMYFUNCTION("""COMPUTED_VALUE"""),"-")</f>
        <v>-</v>
      </c>
      <c r="AK22" s="55" t="str">
        <f ca="1">IFERROR(__xludf.DUMMYFUNCTION("""COMPUTED_VALUE"""),"-")</f>
        <v>-</v>
      </c>
      <c r="AL22" s="55" t="str">
        <f ca="1">IFERROR(__xludf.DUMMYFUNCTION("""COMPUTED_VALUE"""),"AGDA NARA TAVARES BANDEIRA")</f>
        <v>AGDA NARA TAVARES BANDEIRA</v>
      </c>
      <c r="AM22" s="55">
        <f ca="1">IFERROR(__xludf.DUMMYFUNCTION("""COMPUTED_VALUE"""),2025)</f>
        <v>2025</v>
      </c>
      <c r="AN22" s="55"/>
    </row>
    <row r="23" spans="1:40" ht="15.75" customHeight="1" x14ac:dyDescent="0.35">
      <c r="A23" s="55" t="str">
        <f t="shared" ca="1" si="0"/>
        <v xml:space="preserve"> CAJAZEIRINHAS/CENTRO PROFISSIONALIZANTE DE GERACAO DE RENDA GILMARCOS SANTANA DUTRA/PREPARADOR DE DOCES E CONSERVAS/TARDE</v>
      </c>
      <c r="B23" s="55" t="str">
        <f ca="1">IFERROR(__xludf.DUMMYFUNCTION("""COMPUTED_VALUE"""),"00000001386")</f>
        <v>00000001386</v>
      </c>
      <c r="C23" s="55" t="str">
        <f ca="1">IFERROR(__xludf.DUMMYFUNCTION("""COMPUTED_VALUE"""),"T-PREPARADOR DE DOCES E CONSERVAS/00000001386")</f>
        <v>T-PREPARADOR DE DOCES E CONSERVAS/00000001386</v>
      </c>
      <c r="D23" s="56" t="str">
        <f ca="1">IFERROR(__xludf.DUMMYFUNCTION("""COMPUTED_VALUE"""),"https://docs.google.com/spreadsheets/d/1Q7lTOqLQj7HalAZIngT9KejhtK-t0-VEOBoqrB8M404/edit?usp=drivesdk")</f>
        <v>https://docs.google.com/spreadsheets/d/1Q7lTOqLQj7HalAZIngT9KejhtK-t0-VEOBoqrB8M404/edit?usp=drivesdk</v>
      </c>
      <c r="E23" s="55" t="str">
        <f ca="1">IFERROR(__xludf.DUMMYFUNCTION("""COMPUTED_VALUE"""),"17 - PARAIBATEC FIC")</f>
        <v>17 - PARAIBATEC FIC</v>
      </c>
      <c r="F23" s="55" t="str">
        <f ca="1">IFERROR(__xludf.DUMMYFUNCTION("""COMPUTED_VALUE"""),"PARAIBATEC FIC")</f>
        <v>PARAIBATEC FIC</v>
      </c>
      <c r="G23" s="55" t="str">
        <f ca="1">IFERROR(__xludf.DUMMYFUNCTION("""COMPUTED_VALUE"""),"01 - PARAIBATEC")</f>
        <v>01 - PARAIBATEC</v>
      </c>
      <c r="H23" s="55" t="str">
        <f ca="1">IFERROR(__xludf.DUMMYFUNCTION("""COMPUTED_VALUE"""),"PARAIBATEC")</f>
        <v>PARAIBATEC</v>
      </c>
      <c r="I23" s="55" t="str">
        <f ca="1">IFERROR(__xludf.DUMMYFUNCTION("""COMPUTED_VALUE"""),"499 - CENTRO PROFISSIONALIZANTE DE GERACAO DE RENDA GILMARCOS SANTANA DUTRA")</f>
        <v>499 - CENTRO PROFISSIONALIZANTE DE GERACAO DE RENDA GILMARCOS SANTANA DUTRA</v>
      </c>
      <c r="J23" s="55" t="str">
        <f ca="1">IFERROR(__xludf.DUMMYFUNCTION("""COMPUTED_VALUE""")," CAJAZEIRINHAS")</f>
        <v xml:space="preserve"> CAJAZEIRINHAS</v>
      </c>
      <c r="K23" s="55"/>
      <c r="L23" s="55"/>
      <c r="M23" s="55" t="str">
        <f ca="1">IFERROR(__xludf.DUMMYFUNCTION("""COMPUTED_VALUE"""),"CENTRO PROFISSIONALIZANTE DE GERACAO DE RENDA GILMARCOS SANTANA DUTRA")</f>
        <v>CENTRO PROFISSIONALIZANTE DE GERACAO DE RENDA GILMARCOS SANTANA DUTRA</v>
      </c>
      <c r="N23" s="55">
        <f ca="1">IFERROR(__xludf.DUMMYFUNCTION("""COMPUTED_VALUE"""),221136)</f>
        <v>221136</v>
      </c>
      <c r="O23" s="55" t="str">
        <f ca="1">IFERROR(__xludf.DUMMYFUNCTION("""COMPUTED_VALUE"""),"PRODUÇAO ALIMENTICIA")</f>
        <v>PRODUÇAO ALIMENTICIA</v>
      </c>
      <c r="P23" s="55" t="str">
        <f ca="1">IFERROR(__xludf.DUMMYFUNCTION("""COMPUTED_VALUE"""),"PREPARADOR DE DOCES E CONSERVAS")</f>
        <v>PREPARADOR DE DOCES E CONSERVAS</v>
      </c>
      <c r="Q23" s="55" t="str">
        <f ca="1">IFERROR(__xludf.DUMMYFUNCTION("""COMPUTED_VALUE"""),"FIC")</f>
        <v>FIC</v>
      </c>
      <c r="R23" s="55">
        <f ca="1">IFERROR(__xludf.DUMMYFUNCTION("""COMPUTED_VALUE"""),200)</f>
        <v>200</v>
      </c>
      <c r="S23" s="55" t="str">
        <f ca="1">IFERROR(__xludf.DUMMYFUNCTION("""COMPUTED_VALUE"""),"TARDE")</f>
        <v>TARDE</v>
      </c>
      <c r="T23" s="57">
        <f ca="1">IFERROR(__xludf.DUMMYFUNCTION("""COMPUTED_VALUE"""),45691)</f>
        <v>45691</v>
      </c>
      <c r="U23" s="57">
        <f ca="1">IFERROR(__xludf.DUMMYFUNCTION("""COMPUTED_VALUE"""),45824)</f>
        <v>45824</v>
      </c>
      <c r="V23" s="55"/>
      <c r="W23" s="55"/>
      <c r="X23" s="55"/>
      <c r="Y23" s="55" t="str">
        <f ca="1">IFERROR(__xludf.DUMMYFUNCTION("""COMPUTED_VALUE"""),"EM OFERTA")</f>
        <v>EM OFERTA</v>
      </c>
      <c r="Z23" s="55"/>
      <c r="AA23" s="55"/>
      <c r="AB23" s="55"/>
      <c r="AC23" s="55"/>
      <c r="AD23" s="55"/>
      <c r="AE23" s="55"/>
      <c r="AF23" s="55"/>
      <c r="AG23" s="55"/>
      <c r="AH23" s="55" t="str">
        <f ca="1">IFERROR(__xludf.DUMMYFUNCTION("""COMPUTED_VALUE"""),"-")</f>
        <v>-</v>
      </c>
      <c r="AI23" s="55" t="str">
        <f ca="1">IFERROR(__xludf.DUMMYFUNCTION("""COMPUTED_VALUE"""),"RAILSON FERNANDES DA SILVA")</f>
        <v>RAILSON FERNANDES DA SILVA</v>
      </c>
      <c r="AJ23" s="55" t="str">
        <f ca="1">IFERROR(__xludf.DUMMYFUNCTION("""COMPUTED_VALUE"""),"-")</f>
        <v>-</v>
      </c>
      <c r="AK23" s="55" t="str">
        <f ca="1">IFERROR(__xludf.DUMMYFUNCTION("""COMPUTED_VALUE"""),"-")</f>
        <v>-</v>
      </c>
      <c r="AL23" s="55" t="str">
        <f ca="1">IFERROR(__xludf.DUMMYFUNCTION("""COMPUTED_VALUE"""),"INGRID RAMALHO MARQUES")</f>
        <v>INGRID RAMALHO MARQUES</v>
      </c>
      <c r="AM23" s="55">
        <f ca="1">IFERROR(__xludf.DUMMYFUNCTION("""COMPUTED_VALUE"""),2025)</f>
        <v>2025</v>
      </c>
      <c r="AN23" s="55"/>
    </row>
    <row r="24" spans="1:40" ht="15.75" customHeight="1" x14ac:dyDescent="0.35">
      <c r="A24" s="55" t="str">
        <f t="shared" ca="1" si="0"/>
        <v xml:space="preserve"> CAJAZEIRINHAS/ECI MARIA SOLEDADE ASSIS FREITAS/INSPETOR ESCOLAR/NOITE</v>
      </c>
      <c r="B24" s="55" t="str">
        <f ca="1">IFERROR(__xludf.DUMMYFUNCTION("""COMPUTED_VALUE"""),"00000001387")</f>
        <v>00000001387</v>
      </c>
      <c r="C24" s="55" t="str">
        <f ca="1">IFERROR(__xludf.DUMMYFUNCTION("""COMPUTED_VALUE"""),"T-INSPETOR ESCOLAR/00000001387")</f>
        <v>T-INSPETOR ESCOLAR/00000001387</v>
      </c>
      <c r="D24" s="56" t="str">
        <f ca="1">IFERROR(__xludf.DUMMYFUNCTION("""COMPUTED_VALUE"""),"https://docs.google.com/spreadsheets/d/1traOHBIzmGWJfWdV1vUSXZ-ZI_NBT_0pCYEChfAgs7s/edit?usp=drivesdk")</f>
        <v>https://docs.google.com/spreadsheets/d/1traOHBIzmGWJfWdV1vUSXZ-ZI_NBT_0pCYEChfAgs7s/edit?usp=drivesdk</v>
      </c>
      <c r="E24" s="55" t="str">
        <f ca="1">IFERROR(__xludf.DUMMYFUNCTION("""COMPUTED_VALUE"""),"17 - PARAIBATEC FIC")</f>
        <v>17 - PARAIBATEC FIC</v>
      </c>
      <c r="F24" s="55" t="str">
        <f ca="1">IFERROR(__xludf.DUMMYFUNCTION("""COMPUTED_VALUE"""),"PARAIBATEC FIC")</f>
        <v>PARAIBATEC FIC</v>
      </c>
      <c r="G24" s="55" t="str">
        <f ca="1">IFERROR(__xludf.DUMMYFUNCTION("""COMPUTED_VALUE"""),"01 - PARAIBATEC")</f>
        <v>01 - PARAIBATEC</v>
      </c>
      <c r="H24" s="55" t="str">
        <f ca="1">IFERROR(__xludf.DUMMYFUNCTION("""COMPUTED_VALUE"""),"PARAIBATEC")</f>
        <v>PARAIBATEC</v>
      </c>
      <c r="I24" s="55" t="str">
        <f ca="1">IFERROR(__xludf.DUMMYFUNCTION("""COMPUTED_VALUE"""),"500 - ECI MARIA SOLEDADE ASSIS FREITAS")</f>
        <v>500 - ECI MARIA SOLEDADE ASSIS FREITAS</v>
      </c>
      <c r="J24" s="55" t="str">
        <f ca="1">IFERROR(__xludf.DUMMYFUNCTION("""COMPUTED_VALUE""")," CAJAZEIRINHAS")</f>
        <v xml:space="preserve"> CAJAZEIRINHAS</v>
      </c>
      <c r="K24" s="55"/>
      <c r="L24" s="55"/>
      <c r="M24" s="55" t="str">
        <f ca="1">IFERROR(__xludf.DUMMYFUNCTION("""COMPUTED_VALUE"""),"ECI MARIA SOLEDADE ASSIS FREITAS")</f>
        <v>ECI MARIA SOLEDADE ASSIS FREITAS</v>
      </c>
      <c r="N24" s="55">
        <f ca="1">IFERROR(__xludf.DUMMYFUNCTION("""COMPUTED_VALUE"""),278101)</f>
        <v>278101</v>
      </c>
      <c r="O24" s="55" t="str">
        <f ca="1">IFERROR(__xludf.DUMMYFUNCTION("""COMPUTED_VALUE"""),"DESENVOLVIMENTO EDUCACIONAL E SOCIAL")</f>
        <v>DESENVOLVIMENTO EDUCACIONAL E SOCIAL</v>
      </c>
      <c r="P24" s="55" t="str">
        <f ca="1">IFERROR(__xludf.DUMMYFUNCTION("""COMPUTED_VALUE"""),"INSPETOR ESCOLAR")</f>
        <v>INSPETOR ESCOLAR</v>
      </c>
      <c r="Q24" s="55" t="str">
        <f ca="1">IFERROR(__xludf.DUMMYFUNCTION("""COMPUTED_VALUE"""),"FIC")</f>
        <v>FIC</v>
      </c>
      <c r="R24" s="55">
        <f ca="1">IFERROR(__xludf.DUMMYFUNCTION("""COMPUTED_VALUE"""),160)</f>
        <v>160</v>
      </c>
      <c r="S24" s="55" t="str">
        <f ca="1">IFERROR(__xludf.DUMMYFUNCTION("""COMPUTED_VALUE"""),"NOITE")</f>
        <v>NOITE</v>
      </c>
      <c r="T24" s="57">
        <f ca="1">IFERROR(__xludf.DUMMYFUNCTION("""COMPUTED_VALUE"""),45692)</f>
        <v>45692</v>
      </c>
      <c r="U24" s="57">
        <f ca="1">IFERROR(__xludf.DUMMYFUNCTION("""COMPUTED_VALUE"""),45825)</f>
        <v>45825</v>
      </c>
      <c r="V24" s="55"/>
      <c r="W24" s="55"/>
      <c r="X24" s="55"/>
      <c r="Y24" s="55" t="str">
        <f ca="1">IFERROR(__xludf.DUMMYFUNCTION("""COMPUTED_VALUE"""),"EM OFERTA")</f>
        <v>EM OFERTA</v>
      </c>
      <c r="Z24" s="55"/>
      <c r="AA24" s="55"/>
      <c r="AB24" s="55"/>
      <c r="AC24" s="55"/>
      <c r="AD24" s="55"/>
      <c r="AE24" s="55"/>
      <c r="AF24" s="55"/>
      <c r="AG24" s="55"/>
      <c r="AH24" s="55" t="str">
        <f ca="1">IFERROR(__xludf.DUMMYFUNCTION("""COMPUTED_VALUE"""),"-")</f>
        <v>-</v>
      </c>
      <c r="AI24" s="55" t="str">
        <f ca="1">IFERROR(__xludf.DUMMYFUNCTION("""COMPUTED_VALUE"""),"JOCERLAN LEITE DA SILVA")</f>
        <v>JOCERLAN LEITE DA SILVA</v>
      </c>
      <c r="AJ24" s="55" t="str">
        <f ca="1">IFERROR(__xludf.DUMMYFUNCTION("""COMPUTED_VALUE"""),"-")</f>
        <v>-</v>
      </c>
      <c r="AK24" s="55" t="str">
        <f ca="1">IFERROR(__xludf.DUMMYFUNCTION("""COMPUTED_VALUE"""),"-")</f>
        <v>-</v>
      </c>
      <c r="AL24" s="55" t="str">
        <f ca="1">IFERROR(__xludf.DUMMYFUNCTION("""COMPUTED_VALUE"""),"DANNIELY BARBOSA DE LIMA JORGE LEITE")</f>
        <v>DANNIELY BARBOSA DE LIMA JORGE LEITE</v>
      </c>
      <c r="AM24" s="55">
        <f ca="1">IFERROR(__xludf.DUMMYFUNCTION("""COMPUTED_VALUE"""),2025)</f>
        <v>2025</v>
      </c>
      <c r="AN24" s="55"/>
    </row>
    <row r="25" spans="1:40" ht="15.75" customHeight="1" x14ac:dyDescent="0.35">
      <c r="A25" s="55" t="str">
        <f t="shared" ca="1" si="0"/>
        <v xml:space="preserve"> CAPIM/ECI. E. JOSE WILSON A. MELO/OPERADOR DE COMPUTADOR/NOITE</v>
      </c>
      <c r="B25" s="55" t="str">
        <f ca="1">IFERROR(__xludf.DUMMYFUNCTION("""COMPUTED_VALUE"""),"00000001388")</f>
        <v>00000001388</v>
      </c>
      <c r="C25" s="55" t="str">
        <f ca="1">IFERROR(__xludf.DUMMYFUNCTION("""COMPUTED_VALUE"""),"T-OPERADOR DE COMPUTADOR/00000001388")</f>
        <v>T-OPERADOR DE COMPUTADOR/00000001388</v>
      </c>
      <c r="D25" s="56" t="str">
        <f ca="1">IFERROR(__xludf.DUMMYFUNCTION("""COMPUTED_VALUE"""),"https://docs.google.com/spreadsheets/d/1yeTelbccxCtZNZ2tpfavKhFWEEHhunlAvhT1rWG22sU/edit?usp=drivesdk")</f>
        <v>https://docs.google.com/spreadsheets/d/1yeTelbccxCtZNZ2tpfavKhFWEEHhunlAvhT1rWG22sU/edit?usp=drivesdk</v>
      </c>
      <c r="E25" s="55" t="str">
        <f ca="1">IFERROR(__xludf.DUMMYFUNCTION("""COMPUTED_VALUE"""),"17 - PARAIBATEC FIC")</f>
        <v>17 - PARAIBATEC FIC</v>
      </c>
      <c r="F25" s="55" t="str">
        <f ca="1">IFERROR(__xludf.DUMMYFUNCTION("""COMPUTED_VALUE"""),"PARAIBATEC FIC")</f>
        <v>PARAIBATEC FIC</v>
      </c>
      <c r="G25" s="55" t="str">
        <f ca="1">IFERROR(__xludf.DUMMYFUNCTION("""COMPUTED_VALUE"""),"01 - PARAIBATEC")</f>
        <v>01 - PARAIBATEC</v>
      </c>
      <c r="H25" s="55" t="str">
        <f ca="1">IFERROR(__xludf.DUMMYFUNCTION("""COMPUTED_VALUE"""),"PARAIBATEC")</f>
        <v>PARAIBATEC</v>
      </c>
      <c r="I25" s="55" t="str">
        <f ca="1">IFERROR(__xludf.DUMMYFUNCTION("""COMPUTED_VALUE"""),"471 - ECI. E. JOSE WILSON A. MELO")</f>
        <v>471 - ECI. E. JOSE WILSON A. MELO</v>
      </c>
      <c r="J25" s="55" t="str">
        <f ca="1">IFERROR(__xludf.DUMMYFUNCTION("""COMPUTED_VALUE""")," CAPIM")</f>
        <v xml:space="preserve"> CAPIM</v>
      </c>
      <c r="K25" s="55"/>
      <c r="L25" s="55"/>
      <c r="M25" s="55" t="str">
        <f ca="1">IFERROR(__xludf.DUMMYFUNCTION("""COMPUTED_VALUE"""),"ECI. E. JOSE WILSON A. MELO")</f>
        <v>ECI. E. JOSE WILSON A. MELO</v>
      </c>
      <c r="N25" s="55">
        <f ca="1">IFERROR(__xludf.DUMMYFUNCTION("""COMPUTED_VALUE"""),221153)</f>
        <v>221153</v>
      </c>
      <c r="O25" s="55" t="str">
        <f ca="1">IFERROR(__xludf.DUMMYFUNCTION("""COMPUTED_VALUE"""),"INFORMAÇAO E COMUNICAÇAO")</f>
        <v>INFORMAÇAO E COMUNICAÇAO</v>
      </c>
      <c r="P25" s="55" t="str">
        <f ca="1">IFERROR(__xludf.DUMMYFUNCTION("""COMPUTED_VALUE"""),"OPERADOR DE COMPUTADOR")</f>
        <v>OPERADOR DE COMPUTADOR</v>
      </c>
      <c r="Q25" s="55" t="str">
        <f ca="1">IFERROR(__xludf.DUMMYFUNCTION("""COMPUTED_VALUE"""),"FIC")</f>
        <v>FIC</v>
      </c>
      <c r="R25" s="55">
        <f ca="1">IFERROR(__xludf.DUMMYFUNCTION("""COMPUTED_VALUE"""),160)</f>
        <v>160</v>
      </c>
      <c r="S25" s="55" t="str">
        <f ca="1">IFERROR(__xludf.DUMMYFUNCTION("""COMPUTED_VALUE"""),"NOITE")</f>
        <v>NOITE</v>
      </c>
      <c r="T25" s="57"/>
      <c r="U25" s="57"/>
      <c r="V25" s="55"/>
      <c r="W25" s="55"/>
      <c r="X25" s="55"/>
      <c r="Y25" s="55" t="str">
        <f ca="1">IFERROR(__xludf.DUMMYFUNCTION("""COMPUTED_VALUE"""),"EM OFERTA")</f>
        <v>EM OFERTA</v>
      </c>
      <c r="Z25" s="55"/>
      <c r="AA25" s="55"/>
      <c r="AB25" s="55"/>
      <c r="AC25" s="55"/>
      <c r="AD25" s="55"/>
      <c r="AE25" s="55"/>
      <c r="AF25" s="55"/>
      <c r="AG25" s="55"/>
      <c r="AH25" s="55" t="str">
        <f ca="1">IFERROR(__xludf.DUMMYFUNCTION("""COMPUTED_VALUE"""),"-")</f>
        <v>-</v>
      </c>
      <c r="AI25" s="55" t="str">
        <f ca="1">IFERROR(__xludf.DUMMYFUNCTION("""COMPUTED_VALUE"""),"MARIA DE FATIMA GOMES BECO")</f>
        <v>MARIA DE FATIMA GOMES BECO</v>
      </c>
      <c r="AJ25" s="55" t="str">
        <f ca="1">IFERROR(__xludf.DUMMYFUNCTION("""COMPUTED_VALUE"""),"-")</f>
        <v>-</v>
      </c>
      <c r="AK25" s="55" t="str">
        <f ca="1">IFERROR(__xludf.DUMMYFUNCTION("""COMPUTED_VALUE"""),"-")</f>
        <v>-</v>
      </c>
      <c r="AL25" s="55" t="str">
        <f ca="1">IFERROR(__xludf.DUMMYFUNCTION("""COMPUTED_VALUE"""),"ROGERIO BARBOSA BATISTA")</f>
        <v>ROGERIO BARBOSA BATISTA</v>
      </c>
      <c r="AM25" s="55">
        <f ca="1">IFERROR(__xludf.DUMMYFUNCTION("""COMPUTED_VALUE"""),2025)</f>
        <v>2025</v>
      </c>
      <c r="AN25" s="55"/>
    </row>
    <row r="26" spans="1:40" ht="15.75" customHeight="1" x14ac:dyDescent="0.35">
      <c r="A26" s="55" t="str">
        <f t="shared" ca="1" si="0"/>
        <v xml:space="preserve"> CAPIM/ESCOLA MUNICIPAL DEP. JOAO FERNANDES DE LIMA/CONFEITEIRO/NOITE</v>
      </c>
      <c r="B26" s="55" t="str">
        <f ca="1">IFERROR(__xludf.DUMMYFUNCTION("""COMPUTED_VALUE"""),"00000001389")</f>
        <v>00000001389</v>
      </c>
      <c r="C26" s="55" t="str">
        <f ca="1">IFERROR(__xludf.DUMMYFUNCTION("""COMPUTED_VALUE"""),"T-CONFEITEIRO/00000001389")</f>
        <v>T-CONFEITEIRO/00000001389</v>
      </c>
      <c r="D26" s="56" t="str">
        <f ca="1">IFERROR(__xludf.DUMMYFUNCTION("""COMPUTED_VALUE"""),"https://docs.google.com/spreadsheets/d/1KNPni632Nmd_Wsi2t688FZOcBFfp_-L4j3pu6KqQPRQ/edit?usp=drivesdk")</f>
        <v>https://docs.google.com/spreadsheets/d/1KNPni632Nmd_Wsi2t688FZOcBFfp_-L4j3pu6KqQPRQ/edit?usp=drivesdk</v>
      </c>
      <c r="E26" s="55" t="str">
        <f ca="1">IFERROR(__xludf.DUMMYFUNCTION("""COMPUTED_VALUE"""),"17 - PARAIBATEC FIC")</f>
        <v>17 - PARAIBATEC FIC</v>
      </c>
      <c r="F26" s="55" t="str">
        <f ca="1">IFERROR(__xludf.DUMMYFUNCTION("""COMPUTED_VALUE"""),"PARAIBATEC FIC")</f>
        <v>PARAIBATEC FIC</v>
      </c>
      <c r="G26" s="55" t="str">
        <f ca="1">IFERROR(__xludf.DUMMYFUNCTION("""COMPUTED_VALUE"""),"01 - PARAIBATEC")</f>
        <v>01 - PARAIBATEC</v>
      </c>
      <c r="H26" s="55" t="str">
        <f ca="1">IFERROR(__xludf.DUMMYFUNCTION("""COMPUTED_VALUE"""),"PARAIBATEC")</f>
        <v>PARAIBATEC</v>
      </c>
      <c r="I26" s="55" t="str">
        <f ca="1">IFERROR(__xludf.DUMMYFUNCTION("""COMPUTED_VALUE"""),"472 - ESCOLA MUNICIPAL DEP. JOAO FERNANDES DE LIMA")</f>
        <v>472 - ESCOLA MUNICIPAL DEP. JOAO FERNANDES DE LIMA</v>
      </c>
      <c r="J26" s="55" t="str">
        <f ca="1">IFERROR(__xludf.DUMMYFUNCTION("""COMPUTED_VALUE""")," CAPIM")</f>
        <v xml:space="preserve"> CAPIM</v>
      </c>
      <c r="K26" s="55"/>
      <c r="L26" s="55"/>
      <c r="M26" s="55" t="str">
        <f ca="1">IFERROR(__xludf.DUMMYFUNCTION("""COMPUTED_VALUE"""),"ESCOLA MUNICIPAL DEP. JOAO FERNANDES DE LIMA")</f>
        <v>ESCOLA MUNICIPAL DEP. JOAO FERNANDES DE LIMA</v>
      </c>
      <c r="N26" s="55">
        <f ca="1">IFERROR(__xludf.DUMMYFUNCTION("""COMPUTED_VALUE"""),221072)</f>
        <v>221072</v>
      </c>
      <c r="O26" s="55" t="str">
        <f ca="1">IFERROR(__xludf.DUMMYFUNCTION("""COMPUTED_VALUE"""),"PRODUÇAO ALIMENTICIA")</f>
        <v>PRODUÇAO ALIMENTICIA</v>
      </c>
      <c r="P26" s="55" t="str">
        <f ca="1">IFERROR(__xludf.DUMMYFUNCTION("""COMPUTED_VALUE"""),"CONFEITEIRO")</f>
        <v>CONFEITEIRO</v>
      </c>
      <c r="Q26" s="55" t="str">
        <f ca="1">IFERROR(__xludf.DUMMYFUNCTION("""COMPUTED_VALUE"""),"FIC")</f>
        <v>FIC</v>
      </c>
      <c r="R26" s="55">
        <f ca="1">IFERROR(__xludf.DUMMYFUNCTION("""COMPUTED_VALUE"""),200)</f>
        <v>200</v>
      </c>
      <c r="S26" s="55" t="str">
        <f ca="1">IFERROR(__xludf.DUMMYFUNCTION("""COMPUTED_VALUE"""),"NOITE")</f>
        <v>NOITE</v>
      </c>
      <c r="T26" s="57">
        <f ca="1">IFERROR(__xludf.DUMMYFUNCTION("""COMPUTED_VALUE"""),45692)</f>
        <v>45692</v>
      </c>
      <c r="U26" s="57">
        <f ca="1">IFERROR(__xludf.DUMMYFUNCTION("""COMPUTED_VALUE"""),45854)</f>
        <v>45854</v>
      </c>
      <c r="V26" s="55"/>
      <c r="W26" s="55"/>
      <c r="X26" s="55"/>
      <c r="Y26" s="55" t="str">
        <f ca="1">IFERROR(__xludf.DUMMYFUNCTION("""COMPUTED_VALUE"""),"EM OFERTA")</f>
        <v>EM OFERTA</v>
      </c>
      <c r="Z26" s="55"/>
      <c r="AA26" s="55"/>
      <c r="AB26" s="55"/>
      <c r="AC26" s="55"/>
      <c r="AD26" s="55"/>
      <c r="AE26" s="55"/>
      <c r="AF26" s="55"/>
      <c r="AG26" s="55"/>
      <c r="AH26" s="55" t="str">
        <f ca="1">IFERROR(__xludf.DUMMYFUNCTION("""COMPUTED_VALUE"""),"-")</f>
        <v>-</v>
      </c>
      <c r="AI26" s="55" t="str">
        <f ca="1">IFERROR(__xludf.DUMMYFUNCTION("""COMPUTED_VALUE"""),"SEVERINO FRANÇA DA SILVA")</f>
        <v>SEVERINO FRANÇA DA SILVA</v>
      </c>
      <c r="AJ26" s="55" t="str">
        <f ca="1">IFERROR(__xludf.DUMMYFUNCTION("""COMPUTED_VALUE"""),"-")</f>
        <v>-</v>
      </c>
      <c r="AK26" s="55" t="str">
        <f ca="1">IFERROR(__xludf.DUMMYFUNCTION("""COMPUTED_VALUE"""),"-")</f>
        <v>-</v>
      </c>
      <c r="AL26" s="55" t="str">
        <f ca="1">IFERROR(__xludf.DUMMYFUNCTION("""COMPUTED_VALUE"""),"RAFAEL SANTOS DE ARAUJO PADILHA")</f>
        <v>RAFAEL SANTOS DE ARAUJO PADILHA</v>
      </c>
      <c r="AM26" s="55">
        <f ca="1">IFERROR(__xludf.DUMMYFUNCTION("""COMPUTED_VALUE"""),2025)</f>
        <v>2025</v>
      </c>
      <c r="AN26" s="55"/>
    </row>
    <row r="27" spans="1:40" ht="15.75" customHeight="1" x14ac:dyDescent="0.35">
      <c r="A27" s="55" t="str">
        <f t="shared" ca="1" si="0"/>
        <v xml:space="preserve"> CARRAPATEIRA/EMEF ANTONIO GALDINO DA SILVA/CUIDADOR DE IDOSO/NOITE</v>
      </c>
      <c r="B27" s="55" t="str">
        <f ca="1">IFERROR(__xludf.DUMMYFUNCTION("""COMPUTED_VALUE"""),"00000001390")</f>
        <v>00000001390</v>
      </c>
      <c r="C27" s="55" t="str">
        <f ca="1">IFERROR(__xludf.DUMMYFUNCTION("""COMPUTED_VALUE"""),"T-CUIDADOR DE IDOSO/00000001390")</f>
        <v>T-CUIDADOR DE IDOSO/00000001390</v>
      </c>
      <c r="D27" s="56" t="str">
        <f ca="1">IFERROR(__xludf.DUMMYFUNCTION("""COMPUTED_VALUE"""),"https://docs.google.com/spreadsheets/d/1x1huiCxKTKKDbq5c8f1AYGu5FEcGddxGn8YEuH8O8I0/edit?usp=drivesdk")</f>
        <v>https://docs.google.com/spreadsheets/d/1x1huiCxKTKKDbq5c8f1AYGu5FEcGddxGn8YEuH8O8I0/edit?usp=drivesdk</v>
      </c>
      <c r="E27" s="55" t="str">
        <f ca="1">IFERROR(__xludf.DUMMYFUNCTION("""COMPUTED_VALUE"""),"17 - PARAIBATEC FIC")</f>
        <v>17 - PARAIBATEC FIC</v>
      </c>
      <c r="F27" s="55" t="str">
        <f ca="1">IFERROR(__xludf.DUMMYFUNCTION("""COMPUTED_VALUE"""),"PARAIBATEC FIC")</f>
        <v>PARAIBATEC FIC</v>
      </c>
      <c r="G27" s="55" t="str">
        <f ca="1">IFERROR(__xludf.DUMMYFUNCTION("""COMPUTED_VALUE"""),"01 - PARAIBATEC")</f>
        <v>01 - PARAIBATEC</v>
      </c>
      <c r="H27" s="55" t="str">
        <f ca="1">IFERROR(__xludf.DUMMYFUNCTION("""COMPUTED_VALUE"""),"PARAIBATEC")</f>
        <v>PARAIBATEC</v>
      </c>
      <c r="I27" s="55" t="str">
        <f ca="1">IFERROR(__xludf.DUMMYFUNCTION("""COMPUTED_VALUE"""),"501 - EMEF ANTONIO GALDINO DA SILVA")</f>
        <v>501 - EMEF ANTONIO GALDINO DA SILVA</v>
      </c>
      <c r="J27" s="55" t="str">
        <f ca="1">IFERROR(__xludf.DUMMYFUNCTION("""COMPUTED_VALUE""")," CARRAPATEIRA")</f>
        <v xml:space="preserve"> CARRAPATEIRA</v>
      </c>
      <c r="K27" s="55"/>
      <c r="L27" s="55"/>
      <c r="M27" s="55" t="str">
        <f ca="1">IFERROR(__xludf.DUMMYFUNCTION("""COMPUTED_VALUE"""),"EMEF ANTONIO GALDINO DA SILVA")</f>
        <v>EMEF ANTONIO GALDINO DA SILVA</v>
      </c>
      <c r="N27" s="55">
        <f ca="1">IFERROR(__xludf.DUMMYFUNCTION("""COMPUTED_VALUE"""),221539)</f>
        <v>221539</v>
      </c>
      <c r="O27" s="55" t="str">
        <f ca="1">IFERROR(__xludf.DUMMYFUNCTION("""COMPUTED_VALUE"""),"AMBIENTE E SAUDE")</f>
        <v>AMBIENTE E SAUDE</v>
      </c>
      <c r="P27" s="55" t="str">
        <f ca="1">IFERROR(__xludf.DUMMYFUNCTION("""COMPUTED_VALUE"""),"CUIDADOR DE IDOSO")</f>
        <v>CUIDADOR DE IDOSO</v>
      </c>
      <c r="Q27" s="55" t="str">
        <f ca="1">IFERROR(__xludf.DUMMYFUNCTION("""COMPUTED_VALUE"""),"FIC")</f>
        <v>FIC</v>
      </c>
      <c r="R27" s="55">
        <f ca="1">IFERROR(__xludf.DUMMYFUNCTION("""COMPUTED_VALUE"""),160)</f>
        <v>160</v>
      </c>
      <c r="S27" s="55" t="str">
        <f ca="1">IFERROR(__xludf.DUMMYFUNCTION("""COMPUTED_VALUE"""),"NOITE")</f>
        <v>NOITE</v>
      </c>
      <c r="T27" s="57">
        <f ca="1">IFERROR(__xludf.DUMMYFUNCTION("""COMPUTED_VALUE"""),45691)</f>
        <v>45691</v>
      </c>
      <c r="U27" s="57">
        <f ca="1">IFERROR(__xludf.DUMMYFUNCTION("""COMPUTED_VALUE"""),45770)</f>
        <v>45770</v>
      </c>
      <c r="V27" s="55"/>
      <c r="W27" s="55"/>
      <c r="X27" s="55"/>
      <c r="Y27" s="55" t="str">
        <f ca="1">IFERROR(__xludf.DUMMYFUNCTION("""COMPUTED_VALUE"""),"EM OFERTA")</f>
        <v>EM OFERTA</v>
      </c>
      <c r="Z27" s="55"/>
      <c r="AA27" s="55"/>
      <c r="AB27" s="55"/>
      <c r="AC27" s="55"/>
      <c r="AD27" s="55"/>
      <c r="AE27" s="55"/>
      <c r="AF27" s="55"/>
      <c r="AG27" s="55"/>
      <c r="AH27" s="55" t="str">
        <f ca="1">IFERROR(__xludf.DUMMYFUNCTION("""COMPUTED_VALUE"""),"-")</f>
        <v>-</v>
      </c>
      <c r="AI27" s="55" t="str">
        <f ca="1">IFERROR(__xludf.DUMMYFUNCTION("""COMPUTED_VALUE"""),"JOSEANY VIEIRA DE ARAUJO")</f>
        <v>JOSEANY VIEIRA DE ARAUJO</v>
      </c>
      <c r="AJ27" s="55" t="str">
        <f ca="1">IFERROR(__xludf.DUMMYFUNCTION("""COMPUTED_VALUE"""),"-")</f>
        <v>-</v>
      </c>
      <c r="AK27" s="55" t="str">
        <f ca="1">IFERROR(__xludf.DUMMYFUNCTION("""COMPUTED_VALUE"""),"-")</f>
        <v>-</v>
      </c>
      <c r="AL27" s="55" t="str">
        <f ca="1">IFERROR(__xludf.DUMMYFUNCTION("""COMPUTED_VALUE"""),"DANIEL TAVARES DA SILVA")</f>
        <v>DANIEL TAVARES DA SILVA</v>
      </c>
      <c r="AM27" s="55">
        <f ca="1">IFERROR(__xludf.DUMMYFUNCTION("""COMPUTED_VALUE"""),2025)</f>
        <v>2025</v>
      </c>
      <c r="AN27" s="55"/>
    </row>
    <row r="28" spans="1:40" ht="15.75" customHeight="1" x14ac:dyDescent="0.35">
      <c r="A28" s="55" t="str">
        <f t="shared" ca="1" si="0"/>
        <v xml:space="preserve"> CATINGUEIRA/ECIT INACIO DA CATINGUEIRA/PORTEIRO E VIGIA/NOITE</v>
      </c>
      <c r="B28" s="55" t="str">
        <f ca="1">IFERROR(__xludf.DUMMYFUNCTION("""COMPUTED_VALUE"""),"00000001391")</f>
        <v>00000001391</v>
      </c>
      <c r="C28" s="55" t="str">
        <f ca="1">IFERROR(__xludf.DUMMYFUNCTION("""COMPUTED_VALUE"""),"T-PORTEIRO E VIGIA/00000001391")</f>
        <v>T-PORTEIRO E VIGIA/00000001391</v>
      </c>
      <c r="D28" s="56" t="str">
        <f ca="1">IFERROR(__xludf.DUMMYFUNCTION("""COMPUTED_VALUE"""),"https://docs.google.com/spreadsheets/d/1sLHLheq2tqahRbaDCeQrFIZr0UB9JsUNLRl8veSrdrs/edit?usp=drivesdk")</f>
        <v>https://docs.google.com/spreadsheets/d/1sLHLheq2tqahRbaDCeQrFIZr0UB9JsUNLRl8veSrdrs/edit?usp=drivesdk</v>
      </c>
      <c r="E28" s="55" t="str">
        <f ca="1">IFERROR(__xludf.DUMMYFUNCTION("""COMPUTED_VALUE"""),"17 - PARAIBATEC FIC")</f>
        <v>17 - PARAIBATEC FIC</v>
      </c>
      <c r="F28" s="55" t="str">
        <f ca="1">IFERROR(__xludf.DUMMYFUNCTION("""COMPUTED_VALUE"""),"PARAIBATEC FIC")</f>
        <v>PARAIBATEC FIC</v>
      </c>
      <c r="G28" s="55" t="str">
        <f ca="1">IFERROR(__xludf.DUMMYFUNCTION("""COMPUTED_VALUE"""),"01 - PARAIBATEC")</f>
        <v>01 - PARAIBATEC</v>
      </c>
      <c r="H28" s="55" t="str">
        <f ca="1">IFERROR(__xludf.DUMMYFUNCTION("""COMPUTED_VALUE"""),"PARAIBATEC")</f>
        <v>PARAIBATEC</v>
      </c>
      <c r="I28" s="55" t="str">
        <f ca="1">IFERROR(__xludf.DUMMYFUNCTION("""COMPUTED_VALUE"""),"502 - ECIT INACIO DA CATINGUEIRA")</f>
        <v>502 - ECIT INACIO DA CATINGUEIRA</v>
      </c>
      <c r="J28" s="55" t="str">
        <f ca="1">IFERROR(__xludf.DUMMYFUNCTION("""COMPUTED_VALUE""")," CATINGUEIRA")</f>
        <v xml:space="preserve"> CATINGUEIRA</v>
      </c>
      <c r="K28" s="55"/>
      <c r="L28" s="55"/>
      <c r="M28" s="55" t="str">
        <f ca="1">IFERROR(__xludf.DUMMYFUNCTION("""COMPUTED_VALUE"""),"ECIT INACIO DA CATINGUEIRA")</f>
        <v>ECIT INACIO DA CATINGUEIRA</v>
      </c>
      <c r="N28" s="55">
        <f ca="1">IFERROR(__xludf.DUMMYFUNCTION("""COMPUTED_VALUE"""),221456)</f>
        <v>221456</v>
      </c>
      <c r="O28" s="55" t="str">
        <f ca="1">IFERROR(__xludf.DUMMYFUNCTION("""COMPUTED_VALUE"""),"INFRAESTRUTURA")</f>
        <v>INFRAESTRUTURA</v>
      </c>
      <c r="P28" s="55" t="str">
        <f ca="1">IFERROR(__xludf.DUMMYFUNCTION("""COMPUTED_VALUE"""),"PORTEIRO E VIGIA")</f>
        <v>PORTEIRO E VIGIA</v>
      </c>
      <c r="Q28" s="55" t="str">
        <f ca="1">IFERROR(__xludf.DUMMYFUNCTION("""COMPUTED_VALUE"""),"FIC")</f>
        <v>FIC</v>
      </c>
      <c r="R28" s="55">
        <f ca="1">IFERROR(__xludf.DUMMYFUNCTION("""COMPUTED_VALUE"""),160)</f>
        <v>160</v>
      </c>
      <c r="S28" s="55" t="str">
        <f ca="1">IFERROR(__xludf.DUMMYFUNCTION("""COMPUTED_VALUE"""),"NOITE")</f>
        <v>NOITE</v>
      </c>
      <c r="T28" s="57">
        <f ca="1">IFERROR(__xludf.DUMMYFUNCTION("""COMPUTED_VALUE"""),45692)</f>
        <v>45692</v>
      </c>
      <c r="U28" s="57">
        <f ca="1">IFERROR(__xludf.DUMMYFUNCTION("""COMPUTED_VALUE"""),45793)</f>
        <v>45793</v>
      </c>
      <c r="V28" s="55"/>
      <c r="W28" s="55"/>
      <c r="X28" s="55"/>
      <c r="Y28" s="55" t="str">
        <f ca="1">IFERROR(__xludf.DUMMYFUNCTION("""COMPUTED_VALUE"""),"EM OFERTA")</f>
        <v>EM OFERTA</v>
      </c>
      <c r="Z28" s="55"/>
      <c r="AA28" s="55"/>
      <c r="AB28" s="55"/>
      <c r="AC28" s="55"/>
      <c r="AD28" s="55"/>
      <c r="AE28" s="55"/>
      <c r="AF28" s="55"/>
      <c r="AG28" s="55"/>
      <c r="AH28" s="55" t="str">
        <f ca="1">IFERROR(__xludf.DUMMYFUNCTION("""COMPUTED_VALUE"""),"-")</f>
        <v>-</v>
      </c>
      <c r="AI28" s="55" t="str">
        <f ca="1">IFERROR(__xludf.DUMMYFUNCTION("""COMPUTED_VALUE"""),"MARIA DE FATIMA DE SOUZA GUILHERME")</f>
        <v>MARIA DE FATIMA DE SOUZA GUILHERME</v>
      </c>
      <c r="AJ28" s="55" t="str">
        <f ca="1">IFERROR(__xludf.DUMMYFUNCTION("""COMPUTED_VALUE"""),"-")</f>
        <v>-</v>
      </c>
      <c r="AK28" s="55" t="str">
        <f ca="1">IFERROR(__xludf.DUMMYFUNCTION("""COMPUTED_VALUE"""),"-")</f>
        <v>-</v>
      </c>
      <c r="AL28" s="55" t="str">
        <f ca="1">IFERROR(__xludf.DUMMYFUNCTION("""COMPUTED_VALUE"""),"THYAGO FREIRE MONTEIRO")</f>
        <v>THYAGO FREIRE MONTEIRO</v>
      </c>
      <c r="AM28" s="55">
        <f ca="1">IFERROR(__xludf.DUMMYFUNCTION("""COMPUTED_VALUE"""),2025)</f>
        <v>2025</v>
      </c>
      <c r="AN28" s="55"/>
    </row>
    <row r="29" spans="1:40" ht="15.75" customHeight="1" x14ac:dyDescent="0.35">
      <c r="A29" s="55" t="str">
        <f t="shared" ca="1" si="0"/>
        <v xml:space="preserve"> CONDADO/ECIT DR. TRAJANO PIRES DA NOBREGA/RECEPCIONISTA EM SERVICOS DE SAUDE/NOITE</v>
      </c>
      <c r="B29" s="55" t="str">
        <f ca="1">IFERROR(__xludf.DUMMYFUNCTION("""COMPUTED_VALUE"""),"00000001392")</f>
        <v>00000001392</v>
      </c>
      <c r="C29" s="55" t="str">
        <f ca="1">IFERROR(__xludf.DUMMYFUNCTION("""COMPUTED_VALUE"""),"T-RECEPCIONISTA EM SERVICOS DE SAUDE/00000001392")</f>
        <v>T-RECEPCIONISTA EM SERVICOS DE SAUDE/00000001392</v>
      </c>
      <c r="D29" s="56" t="str">
        <f ca="1">IFERROR(__xludf.DUMMYFUNCTION("""COMPUTED_VALUE"""),"https://docs.google.com/spreadsheets/d/1wbnQhGsofuFAY-uQz_RFCV2KYEHy8N8CPpLvCawmG70/edit?usp=drivesdk")</f>
        <v>https://docs.google.com/spreadsheets/d/1wbnQhGsofuFAY-uQz_RFCV2KYEHy8N8CPpLvCawmG70/edit?usp=drivesdk</v>
      </c>
      <c r="E29" s="55" t="str">
        <f ca="1">IFERROR(__xludf.DUMMYFUNCTION("""COMPUTED_VALUE"""),"17 - PARAIBATEC FIC")</f>
        <v>17 - PARAIBATEC FIC</v>
      </c>
      <c r="F29" s="55" t="str">
        <f ca="1">IFERROR(__xludf.DUMMYFUNCTION("""COMPUTED_VALUE"""),"PARAIBATEC FIC")</f>
        <v>PARAIBATEC FIC</v>
      </c>
      <c r="G29" s="55" t="str">
        <f ca="1">IFERROR(__xludf.DUMMYFUNCTION("""COMPUTED_VALUE"""),"01 - PARAIBATEC")</f>
        <v>01 - PARAIBATEC</v>
      </c>
      <c r="H29" s="55" t="str">
        <f ca="1">IFERROR(__xludf.DUMMYFUNCTION("""COMPUTED_VALUE"""),"PARAIBATEC")</f>
        <v>PARAIBATEC</v>
      </c>
      <c r="I29" s="55" t="str">
        <f ca="1">IFERROR(__xludf.DUMMYFUNCTION("""COMPUTED_VALUE"""),"503 - ECIT DR. TRAJANO PIRES DA NOBREGA")</f>
        <v>503 - ECIT DR. TRAJANO PIRES DA NOBREGA</v>
      </c>
      <c r="J29" s="55" t="str">
        <f ca="1">IFERROR(__xludf.DUMMYFUNCTION("""COMPUTED_VALUE""")," CONDADO")</f>
        <v xml:space="preserve"> CONDADO</v>
      </c>
      <c r="K29" s="55"/>
      <c r="L29" s="55"/>
      <c r="M29" s="55" t="str">
        <f ca="1">IFERROR(__xludf.DUMMYFUNCTION("""COMPUTED_VALUE"""),"ECIT DR. TRAJANO PIRES DA NOBREGA")</f>
        <v>ECIT DR. TRAJANO PIRES DA NOBREGA</v>
      </c>
      <c r="N29" s="55">
        <f ca="1">IFERROR(__xludf.DUMMYFUNCTION("""COMPUTED_VALUE"""),221536)</f>
        <v>221536</v>
      </c>
      <c r="O29" s="55" t="str">
        <f ca="1">IFERROR(__xludf.DUMMYFUNCTION("""COMPUTED_VALUE"""),"AMBIENTE E SAUDE")</f>
        <v>AMBIENTE E SAUDE</v>
      </c>
      <c r="P29" s="55" t="str">
        <f ca="1">IFERROR(__xludf.DUMMYFUNCTION("""COMPUTED_VALUE"""),"RECEPCIONISTA EM SERVICOS DE SAUDE")</f>
        <v>RECEPCIONISTA EM SERVICOS DE SAUDE</v>
      </c>
      <c r="Q29" s="55" t="str">
        <f ca="1">IFERROR(__xludf.DUMMYFUNCTION("""COMPUTED_VALUE"""),"FIC")</f>
        <v>FIC</v>
      </c>
      <c r="R29" s="55">
        <f ca="1">IFERROR(__xludf.DUMMYFUNCTION("""COMPUTED_VALUE"""),240)</f>
        <v>240</v>
      </c>
      <c r="S29" s="55" t="str">
        <f ca="1">IFERROR(__xludf.DUMMYFUNCTION("""COMPUTED_VALUE"""),"NOITE")</f>
        <v>NOITE</v>
      </c>
      <c r="T29" s="57">
        <f ca="1">IFERROR(__xludf.DUMMYFUNCTION("""COMPUTED_VALUE"""),45701)</f>
        <v>45701</v>
      </c>
      <c r="U29" s="57">
        <f ca="1">IFERROR(__xludf.DUMMYFUNCTION("""COMPUTED_VALUE"""),45819)</f>
        <v>45819</v>
      </c>
      <c r="V29" s="55"/>
      <c r="W29" s="55"/>
      <c r="X29" s="55"/>
      <c r="Y29" s="55" t="str">
        <f ca="1">IFERROR(__xludf.DUMMYFUNCTION("""COMPUTED_VALUE"""),"EM OFERTA")</f>
        <v>EM OFERTA</v>
      </c>
      <c r="Z29" s="55"/>
      <c r="AA29" s="55"/>
      <c r="AB29" s="55"/>
      <c r="AC29" s="55"/>
      <c r="AD29" s="55"/>
      <c r="AE29" s="55"/>
      <c r="AF29" s="55"/>
      <c r="AG29" s="55"/>
      <c r="AH29" s="55" t="str">
        <f ca="1">IFERROR(__xludf.DUMMYFUNCTION("""COMPUTED_VALUE"""),"-")</f>
        <v>-</v>
      </c>
      <c r="AI29" s="55" t="str">
        <f ca="1">IFERROR(__xludf.DUMMYFUNCTION("""COMPUTED_VALUE"""),"ANIKERLY RACHEL LIMA SOUSA GONÇALVES")</f>
        <v>ANIKERLY RACHEL LIMA SOUSA GONÇALVES</v>
      </c>
      <c r="AJ29" s="55" t="str">
        <f ca="1">IFERROR(__xludf.DUMMYFUNCTION("""COMPUTED_VALUE"""),"-")</f>
        <v>-</v>
      </c>
      <c r="AK29" s="55" t="str">
        <f ca="1">IFERROR(__xludf.DUMMYFUNCTION("""COMPUTED_VALUE"""),"-")</f>
        <v>-</v>
      </c>
      <c r="AL29" s="55" t="str">
        <f ca="1">IFERROR(__xludf.DUMMYFUNCTION("""COMPUTED_VALUE"""),"PAULO ANASTACIO LIRA FILHO")</f>
        <v>PAULO ANASTACIO LIRA FILHO</v>
      </c>
      <c r="AM29" s="55">
        <f ca="1">IFERROR(__xludf.DUMMYFUNCTION("""COMPUTED_VALUE"""),2025)</f>
        <v>2025</v>
      </c>
      <c r="AN29" s="55"/>
    </row>
    <row r="30" spans="1:40" ht="15.75" customHeight="1" x14ac:dyDescent="0.35">
      <c r="A30" s="55" t="str">
        <f t="shared" ca="1" si="0"/>
        <v xml:space="preserve"> CONDE/SEDEC EMEF GOV PEDRO GONDIM/ASSISTENTE ADMINISTRATIVO/NOITE</v>
      </c>
      <c r="B30" s="55" t="str">
        <f ca="1">IFERROR(__xludf.DUMMYFUNCTION("""COMPUTED_VALUE"""),"00000001393")</f>
        <v>00000001393</v>
      </c>
      <c r="C30" s="55" t="str">
        <f ca="1">IFERROR(__xludf.DUMMYFUNCTION("""COMPUTED_VALUE"""),"T-ASSISTENTE ADMINISTRATIVO/00000001393")</f>
        <v>T-ASSISTENTE ADMINISTRATIVO/00000001393</v>
      </c>
      <c r="D30" s="56" t="str">
        <f ca="1">IFERROR(__xludf.DUMMYFUNCTION("""COMPUTED_VALUE"""),"https://docs.google.com/spreadsheets/d/181N4FHLC_Ct2QfI5zh-lwIigV6X0O_VG-DDpayUIHeU/edit?usp=drivesdk")</f>
        <v>https://docs.google.com/spreadsheets/d/181N4FHLC_Ct2QfI5zh-lwIigV6X0O_VG-DDpayUIHeU/edit?usp=drivesdk</v>
      </c>
      <c r="E30" s="55" t="str">
        <f ca="1">IFERROR(__xludf.DUMMYFUNCTION("""COMPUTED_VALUE"""),"17 - PARAIBATEC FIC")</f>
        <v>17 - PARAIBATEC FIC</v>
      </c>
      <c r="F30" s="55" t="str">
        <f ca="1">IFERROR(__xludf.DUMMYFUNCTION("""COMPUTED_VALUE"""),"PARAIBATEC FIC")</f>
        <v>PARAIBATEC FIC</v>
      </c>
      <c r="G30" s="55" t="str">
        <f ca="1">IFERROR(__xludf.DUMMYFUNCTION("""COMPUTED_VALUE"""),"01 - PARAIBATEC")</f>
        <v>01 - PARAIBATEC</v>
      </c>
      <c r="H30" s="55" t="str">
        <f ca="1">IFERROR(__xludf.DUMMYFUNCTION("""COMPUTED_VALUE"""),"PARAIBATEC")</f>
        <v>PARAIBATEC</v>
      </c>
      <c r="I30" s="55" t="str">
        <f ca="1">IFERROR(__xludf.DUMMYFUNCTION("""COMPUTED_VALUE"""),"504 - SEDEC EMEF GOV PEDRO GONDIM")</f>
        <v>504 - SEDEC EMEF GOV PEDRO GONDIM</v>
      </c>
      <c r="J30" s="55" t="str">
        <f ca="1">IFERROR(__xludf.DUMMYFUNCTION("""COMPUTED_VALUE""")," CONDE")</f>
        <v xml:space="preserve"> CONDE</v>
      </c>
      <c r="K30" s="55"/>
      <c r="L30" s="55"/>
      <c r="M30" s="55" t="str">
        <f ca="1">IFERROR(__xludf.DUMMYFUNCTION("""COMPUTED_VALUE"""),"SEDEC EMEF GOV PEDRO GONDIM")</f>
        <v>SEDEC EMEF GOV PEDRO GONDIM</v>
      </c>
      <c r="N30" s="55">
        <f ca="1">IFERROR(__xludf.DUMMYFUNCTION("""COMPUTED_VALUE"""),221012)</f>
        <v>221012</v>
      </c>
      <c r="O30" s="55" t="str">
        <f ca="1">IFERROR(__xludf.DUMMYFUNCTION("""COMPUTED_VALUE"""),"GESTAO E NEGOCIOS")</f>
        <v>GESTAO E NEGOCIOS</v>
      </c>
      <c r="P30" s="55" t="str">
        <f ca="1">IFERROR(__xludf.DUMMYFUNCTION("""COMPUTED_VALUE"""),"ASSISTENTE ADMINISTRATIVO")</f>
        <v>ASSISTENTE ADMINISTRATIVO</v>
      </c>
      <c r="Q30" s="55" t="str">
        <f ca="1">IFERROR(__xludf.DUMMYFUNCTION("""COMPUTED_VALUE"""),"FIC")</f>
        <v>FIC</v>
      </c>
      <c r="R30" s="55">
        <f ca="1">IFERROR(__xludf.DUMMYFUNCTION("""COMPUTED_VALUE"""),160)</f>
        <v>160</v>
      </c>
      <c r="S30" s="55" t="str">
        <f ca="1">IFERROR(__xludf.DUMMYFUNCTION("""COMPUTED_VALUE"""),"NOITE")</f>
        <v>NOITE</v>
      </c>
      <c r="T30" s="57">
        <f ca="1">IFERROR(__xludf.DUMMYFUNCTION("""COMPUTED_VALUE"""),45691)</f>
        <v>45691</v>
      </c>
      <c r="U30" s="57">
        <f ca="1">IFERROR(__xludf.DUMMYFUNCTION("""COMPUTED_VALUE"""),45406)</f>
        <v>45406</v>
      </c>
      <c r="V30" s="55" t="str">
        <f ca="1">IFERROR(__xludf.DUMMYFUNCTION("""COMPUTED_VALUE""")," ")</f>
        <v xml:space="preserve"> </v>
      </c>
      <c r="W30" s="55"/>
      <c r="X30" s="55"/>
      <c r="Y30" s="55" t="str">
        <f ca="1">IFERROR(__xludf.DUMMYFUNCTION("""COMPUTED_VALUE"""),"EM OFERTA")</f>
        <v>EM OFERTA</v>
      </c>
      <c r="Z30" s="55"/>
      <c r="AA30" s="55"/>
      <c r="AB30" s="55"/>
      <c r="AC30" s="55"/>
      <c r="AD30" s="55"/>
      <c r="AE30" s="55"/>
      <c r="AF30" s="55"/>
      <c r="AG30" s="55"/>
      <c r="AH30" s="55" t="str">
        <f ca="1">IFERROR(__xludf.DUMMYFUNCTION("""COMPUTED_VALUE"""),"-")</f>
        <v>-</v>
      </c>
      <c r="AI30" s="55" t="str">
        <f ca="1">IFERROR(__xludf.DUMMYFUNCTION("""COMPUTED_VALUE"""),"MANOEL NILDO OIVEIRA DE LIMA")</f>
        <v>MANOEL NILDO OIVEIRA DE LIMA</v>
      </c>
      <c r="AJ30" s="55" t="str">
        <f ca="1">IFERROR(__xludf.DUMMYFUNCTION("""COMPUTED_VALUE"""),"-")</f>
        <v>-</v>
      </c>
      <c r="AK30" s="55" t="str">
        <f ca="1">IFERROR(__xludf.DUMMYFUNCTION("""COMPUTED_VALUE"""),"-")</f>
        <v>-</v>
      </c>
      <c r="AL30" s="55" t="str">
        <f ca="1">IFERROR(__xludf.DUMMYFUNCTION("""COMPUTED_VALUE"""),"ANA CARLA PONTES DA SILVA")</f>
        <v>ANA CARLA PONTES DA SILVA</v>
      </c>
      <c r="AM30" s="55">
        <f ca="1">IFERROR(__xludf.DUMMYFUNCTION("""COMPUTED_VALUE"""),2025)</f>
        <v>2025</v>
      </c>
      <c r="AN30" s="55"/>
    </row>
    <row r="31" spans="1:40" ht="15.75" customHeight="1" x14ac:dyDescent="0.35">
      <c r="A31" s="55" t="str">
        <f t="shared" ca="1" si="0"/>
        <v xml:space="preserve"> CONGO/CENTRO DE REFERENCIA DE ASSISTENCIA SOCIAL/AGRICULTOR FAMILIAR/NOITE</v>
      </c>
      <c r="B31" s="55" t="str">
        <f ca="1">IFERROR(__xludf.DUMMYFUNCTION("""COMPUTED_VALUE"""),"00000001394")</f>
        <v>00000001394</v>
      </c>
      <c r="C31" s="55" t="str">
        <f ca="1">IFERROR(__xludf.DUMMYFUNCTION("""COMPUTED_VALUE"""),"T-AGRICULTOR FAMILIAR/00000001394")</f>
        <v>T-AGRICULTOR FAMILIAR/00000001394</v>
      </c>
      <c r="D31" s="56" t="str">
        <f ca="1">IFERROR(__xludf.DUMMYFUNCTION("""COMPUTED_VALUE"""),"https://docs.google.com/spreadsheets/d/1lH31CzHYXfzde9MVY3-o_QafmrCJiuhnVg31nfflNqs/edit?usp=drivesdk")</f>
        <v>https://docs.google.com/spreadsheets/d/1lH31CzHYXfzde9MVY3-o_QafmrCJiuhnVg31nfflNqs/edit?usp=drivesdk</v>
      </c>
      <c r="E31" s="55" t="str">
        <f ca="1">IFERROR(__xludf.DUMMYFUNCTION("""COMPUTED_VALUE"""),"17 - PARAIBATEC FIC")</f>
        <v>17 - PARAIBATEC FIC</v>
      </c>
      <c r="F31" s="55" t="str">
        <f ca="1">IFERROR(__xludf.DUMMYFUNCTION("""COMPUTED_VALUE"""),"PARAIBATEC FIC")</f>
        <v>PARAIBATEC FIC</v>
      </c>
      <c r="G31" s="55" t="str">
        <f ca="1">IFERROR(__xludf.DUMMYFUNCTION("""COMPUTED_VALUE"""),"01 - PARAIBATEC")</f>
        <v>01 - PARAIBATEC</v>
      </c>
      <c r="H31" s="55" t="str">
        <f ca="1">IFERROR(__xludf.DUMMYFUNCTION("""COMPUTED_VALUE"""),"PARAIBATEC")</f>
        <v>PARAIBATEC</v>
      </c>
      <c r="I31" s="55" t="str">
        <f ca="1">IFERROR(__xludf.DUMMYFUNCTION("""COMPUTED_VALUE"""),"505 - CENTRO DE REFERENCIA DE ASSISTENCIA SOCIAL")</f>
        <v>505 - CENTRO DE REFERENCIA DE ASSISTENCIA SOCIAL</v>
      </c>
      <c r="J31" s="55" t="str">
        <f ca="1">IFERROR(__xludf.DUMMYFUNCTION("""COMPUTED_VALUE""")," CONGO")</f>
        <v xml:space="preserve"> CONGO</v>
      </c>
      <c r="K31" s="55"/>
      <c r="L31" s="55"/>
      <c r="M31" s="55" t="str">
        <f ca="1">IFERROR(__xludf.DUMMYFUNCTION("""COMPUTED_VALUE"""),"CENTRO DE REFERENCIA DE ASSISTENCIA SOCIAL")</f>
        <v>CENTRO DE REFERENCIA DE ASSISTENCIA SOCIAL</v>
      </c>
      <c r="N31" s="55">
        <f ca="1">IFERROR(__xludf.DUMMYFUNCTION("""COMPUTED_VALUE"""),221289)</f>
        <v>221289</v>
      </c>
      <c r="O31" s="55" t="str">
        <f ca="1">IFERROR(__xludf.DUMMYFUNCTION("""COMPUTED_VALUE"""),"RECURSOS NATURAIS")</f>
        <v>RECURSOS NATURAIS</v>
      </c>
      <c r="P31" s="55" t="str">
        <f ca="1">IFERROR(__xludf.DUMMYFUNCTION("""COMPUTED_VALUE"""),"AGRICULTOR FAMILIAR")</f>
        <v>AGRICULTOR FAMILIAR</v>
      </c>
      <c r="Q31" s="55" t="str">
        <f ca="1">IFERROR(__xludf.DUMMYFUNCTION("""COMPUTED_VALUE"""),"FIC")</f>
        <v>FIC</v>
      </c>
      <c r="R31" s="55">
        <f ca="1">IFERROR(__xludf.DUMMYFUNCTION("""COMPUTED_VALUE"""),200)</f>
        <v>200</v>
      </c>
      <c r="S31" s="55" t="str">
        <f ca="1">IFERROR(__xludf.DUMMYFUNCTION("""COMPUTED_VALUE"""),"NOITE")</f>
        <v>NOITE</v>
      </c>
      <c r="T31" s="57">
        <f ca="1">IFERROR(__xludf.DUMMYFUNCTION("""COMPUTED_VALUE"""),45712)</f>
        <v>45712</v>
      </c>
      <c r="U31" s="57">
        <f ca="1">IFERROR(__xludf.DUMMYFUNCTION("""COMPUTED_VALUE"""),45811)</f>
        <v>45811</v>
      </c>
      <c r="V31" s="55"/>
      <c r="W31" s="55"/>
      <c r="X31" s="55"/>
      <c r="Y31" s="55" t="str">
        <f ca="1">IFERROR(__xludf.DUMMYFUNCTION("""COMPUTED_VALUE"""),"EM OFERTA")</f>
        <v>EM OFERTA</v>
      </c>
      <c r="Z31" s="55"/>
      <c r="AA31" s="55"/>
      <c r="AB31" s="55"/>
      <c r="AC31" s="55"/>
      <c r="AD31" s="55"/>
      <c r="AE31" s="55"/>
      <c r="AF31" s="55"/>
      <c r="AG31" s="55"/>
      <c r="AH31" s="55" t="str">
        <f ca="1">IFERROR(__xludf.DUMMYFUNCTION("""COMPUTED_VALUE"""),"-")</f>
        <v>-</v>
      </c>
      <c r="AI31" s="55" t="str">
        <f ca="1">IFERROR(__xludf.DUMMYFUNCTION("""COMPUTED_VALUE"""),"ANA RITA JORDAO PEREIRA")</f>
        <v>ANA RITA JORDAO PEREIRA</v>
      </c>
      <c r="AJ31" s="55" t="str">
        <f ca="1">IFERROR(__xludf.DUMMYFUNCTION("""COMPUTED_VALUE"""),"-")</f>
        <v>-</v>
      </c>
      <c r="AK31" s="55" t="str">
        <f ca="1">IFERROR(__xludf.DUMMYFUNCTION("""COMPUTED_VALUE"""),"-")</f>
        <v>-</v>
      </c>
      <c r="AL31" s="55" t="str">
        <f ca="1">IFERROR(__xludf.DUMMYFUNCTION("""COMPUTED_VALUE"""),"TALES DE OLIVEIRA ARAUJO")</f>
        <v>TALES DE OLIVEIRA ARAUJO</v>
      </c>
      <c r="AM31" s="55">
        <f ca="1">IFERROR(__xludf.DUMMYFUNCTION("""COMPUTED_VALUE"""),2025)</f>
        <v>2025</v>
      </c>
      <c r="AN31" s="55"/>
    </row>
    <row r="32" spans="1:40" ht="15.75" customHeight="1" x14ac:dyDescent="0.35">
      <c r="A32" s="55" t="str">
        <f t="shared" ca="1" si="0"/>
        <v xml:space="preserve"> COREMAS/ECIT ADVOGADO NOBEL VITA/VENDEDOR/TARDE</v>
      </c>
      <c r="B32" s="55" t="str">
        <f ca="1">IFERROR(__xludf.DUMMYFUNCTION("""COMPUTED_VALUE"""),"00000001395")</f>
        <v>00000001395</v>
      </c>
      <c r="C32" s="55" t="str">
        <f ca="1">IFERROR(__xludf.DUMMYFUNCTION("""COMPUTED_VALUE"""),"T-VENDEDOR/00000001395")</f>
        <v>T-VENDEDOR/00000001395</v>
      </c>
      <c r="D32" s="56" t="str">
        <f ca="1">IFERROR(__xludf.DUMMYFUNCTION("""COMPUTED_VALUE"""),"https://docs.google.com/spreadsheets/d/1jd_qlxxwe8YSuvG-HRQO-9EItqyW2sgzM1IVApGyUvw/edit?usp=drivesdk")</f>
        <v>https://docs.google.com/spreadsheets/d/1jd_qlxxwe8YSuvG-HRQO-9EItqyW2sgzM1IVApGyUvw/edit?usp=drivesdk</v>
      </c>
      <c r="E32" s="55" t="str">
        <f ca="1">IFERROR(__xludf.DUMMYFUNCTION("""COMPUTED_VALUE"""),"17 - PARAIBATEC FIC")</f>
        <v>17 - PARAIBATEC FIC</v>
      </c>
      <c r="F32" s="55" t="str">
        <f ca="1">IFERROR(__xludf.DUMMYFUNCTION("""COMPUTED_VALUE"""),"PARAIBATEC FIC")</f>
        <v>PARAIBATEC FIC</v>
      </c>
      <c r="G32" s="55" t="str">
        <f ca="1">IFERROR(__xludf.DUMMYFUNCTION("""COMPUTED_VALUE"""),"01 - PARAIBATEC")</f>
        <v>01 - PARAIBATEC</v>
      </c>
      <c r="H32" s="55" t="str">
        <f ca="1">IFERROR(__xludf.DUMMYFUNCTION("""COMPUTED_VALUE"""),"PARAIBATEC")</f>
        <v>PARAIBATEC</v>
      </c>
      <c r="I32" s="55" t="str">
        <f ca="1">IFERROR(__xludf.DUMMYFUNCTION("""COMPUTED_VALUE"""),"506 - ECIT ADVOGADO NOBEL VITA")</f>
        <v>506 - ECIT ADVOGADO NOBEL VITA</v>
      </c>
      <c r="J32" s="55" t="str">
        <f ca="1">IFERROR(__xludf.DUMMYFUNCTION("""COMPUTED_VALUE""")," COREMAS")</f>
        <v xml:space="preserve"> COREMAS</v>
      </c>
      <c r="K32" s="55"/>
      <c r="L32" s="55"/>
      <c r="M32" s="55" t="str">
        <f ca="1">IFERROR(__xludf.DUMMYFUNCTION("""COMPUTED_VALUE"""),"ECIT ADVOGADO NOBEL VITA")</f>
        <v>ECIT ADVOGADO NOBEL VITA</v>
      </c>
      <c r="N32" s="55">
        <f ca="1">IFERROR(__xludf.DUMMYFUNCTION("""COMPUTED_VALUE"""),221051)</f>
        <v>221051</v>
      </c>
      <c r="O32" s="55" t="str">
        <f ca="1">IFERROR(__xludf.DUMMYFUNCTION("""COMPUTED_VALUE"""),"GESTAO E NEGOCIOS")</f>
        <v>GESTAO E NEGOCIOS</v>
      </c>
      <c r="P32" s="55" t="str">
        <f ca="1">IFERROR(__xludf.DUMMYFUNCTION("""COMPUTED_VALUE"""),"VENDEDOR")</f>
        <v>VENDEDOR</v>
      </c>
      <c r="Q32" s="55" t="str">
        <f ca="1">IFERROR(__xludf.DUMMYFUNCTION("""COMPUTED_VALUE"""),"FIC")</f>
        <v>FIC</v>
      </c>
      <c r="R32" s="55">
        <f ca="1">IFERROR(__xludf.DUMMYFUNCTION("""COMPUTED_VALUE"""),160)</f>
        <v>160</v>
      </c>
      <c r="S32" s="55" t="str">
        <f ca="1">IFERROR(__xludf.DUMMYFUNCTION("""COMPUTED_VALUE"""),"TARDE")</f>
        <v>TARDE</v>
      </c>
      <c r="T32" s="57">
        <f ca="1">IFERROR(__xludf.DUMMYFUNCTION("""COMPUTED_VALUE"""),45693)</f>
        <v>45693</v>
      </c>
      <c r="U32" s="57">
        <f ca="1">IFERROR(__xludf.DUMMYFUNCTION("""COMPUTED_VALUE"""),45826)</f>
        <v>45826</v>
      </c>
      <c r="V32" s="55"/>
      <c r="W32" s="55"/>
      <c r="X32" s="55"/>
      <c r="Y32" s="55" t="str">
        <f ca="1">IFERROR(__xludf.DUMMYFUNCTION("""COMPUTED_VALUE"""),"EM OFERTA")</f>
        <v>EM OFERTA</v>
      </c>
      <c r="Z32" s="55"/>
      <c r="AA32" s="55"/>
      <c r="AB32" s="55"/>
      <c r="AC32" s="55"/>
      <c r="AD32" s="55"/>
      <c r="AE32" s="55"/>
      <c r="AF32" s="55"/>
      <c r="AG32" s="55"/>
      <c r="AH32" s="55" t="str">
        <f ca="1">IFERROR(__xludf.DUMMYFUNCTION("""COMPUTED_VALUE"""),"-")</f>
        <v>-</v>
      </c>
      <c r="AI32" s="55" t="str">
        <f ca="1">IFERROR(__xludf.DUMMYFUNCTION("""COMPUTED_VALUE"""),"CLAUDIANA CRISTINA GOMES")</f>
        <v>CLAUDIANA CRISTINA GOMES</v>
      </c>
      <c r="AJ32" s="55" t="str">
        <f ca="1">IFERROR(__xludf.DUMMYFUNCTION("""COMPUTED_VALUE"""),"-")</f>
        <v>-</v>
      </c>
      <c r="AK32" s="55" t="str">
        <f ca="1">IFERROR(__xludf.DUMMYFUNCTION("""COMPUTED_VALUE"""),"-")</f>
        <v>-</v>
      </c>
      <c r="AL32" s="55" t="str">
        <f ca="1">IFERROR(__xludf.DUMMYFUNCTION("""COMPUTED_VALUE"""),"BRENDA SOARES LUIZ DE SOUZA MARQUES")</f>
        <v>BRENDA SOARES LUIZ DE SOUZA MARQUES</v>
      </c>
      <c r="AM32" s="55">
        <f ca="1">IFERROR(__xludf.DUMMYFUNCTION("""COMPUTED_VALUE"""),2025)</f>
        <v>2025</v>
      </c>
      <c r="AN32" s="55"/>
    </row>
    <row r="33" spans="1:40" ht="15.75" customHeight="1" x14ac:dyDescent="0.35">
      <c r="A33" s="55" t="str">
        <f t="shared" ca="1" si="0"/>
        <v xml:space="preserve"> CRUZ DO ESPÍRITO SANTO/ESCOLA RENATO RIBEIRO COUTINHO/BALCONISTA DE FARMACIA/NOITE</v>
      </c>
      <c r="B33" s="55" t="str">
        <f ca="1">IFERROR(__xludf.DUMMYFUNCTION("""COMPUTED_VALUE"""),"00000001396")</f>
        <v>00000001396</v>
      </c>
      <c r="C33" s="55" t="str">
        <f ca="1">IFERROR(__xludf.DUMMYFUNCTION("""COMPUTED_VALUE"""),"T-BALCONISTA DE FARMACIA/00000001396")</f>
        <v>T-BALCONISTA DE FARMACIA/00000001396</v>
      </c>
      <c r="D33" s="56" t="str">
        <f ca="1">IFERROR(__xludf.DUMMYFUNCTION("""COMPUTED_VALUE"""),"https://docs.google.com/spreadsheets/d/1O-k6wdIDlkMJpNJkFQYYgFDZzl1Dqoku044f3eGjH4A/edit?usp=drivesdk")</f>
        <v>https://docs.google.com/spreadsheets/d/1O-k6wdIDlkMJpNJkFQYYgFDZzl1Dqoku044f3eGjH4A/edit?usp=drivesdk</v>
      </c>
      <c r="E33" s="55" t="str">
        <f ca="1">IFERROR(__xludf.DUMMYFUNCTION("""COMPUTED_VALUE"""),"17 - PARAIBATEC FIC")</f>
        <v>17 - PARAIBATEC FIC</v>
      </c>
      <c r="F33" s="55" t="str">
        <f ca="1">IFERROR(__xludf.DUMMYFUNCTION("""COMPUTED_VALUE"""),"PARAIBATEC FIC")</f>
        <v>PARAIBATEC FIC</v>
      </c>
      <c r="G33" s="55" t="str">
        <f ca="1">IFERROR(__xludf.DUMMYFUNCTION("""COMPUTED_VALUE"""),"01 - PARAIBATEC")</f>
        <v>01 - PARAIBATEC</v>
      </c>
      <c r="H33" s="55" t="str">
        <f ca="1">IFERROR(__xludf.DUMMYFUNCTION("""COMPUTED_VALUE"""),"PARAIBATEC")</f>
        <v>PARAIBATEC</v>
      </c>
      <c r="I33" s="55" t="str">
        <f ca="1">IFERROR(__xludf.DUMMYFUNCTION("""COMPUTED_VALUE"""),"507 - ESCOLA RENATO RIBEIRO COUTINHO")</f>
        <v>507 - ESCOLA RENATO RIBEIRO COUTINHO</v>
      </c>
      <c r="J33" s="55" t="str">
        <f ca="1">IFERROR(__xludf.DUMMYFUNCTION("""COMPUTED_VALUE""")," CRUZ DO ESPÍRITO SANTO")</f>
        <v xml:space="preserve"> CRUZ DO ESPÍRITO SANTO</v>
      </c>
      <c r="K33" s="55"/>
      <c r="L33" s="55"/>
      <c r="M33" s="55" t="str">
        <f ca="1">IFERROR(__xludf.DUMMYFUNCTION("""COMPUTED_VALUE"""),"ESCOLA RENATO RIBEIRO COUTINHO")</f>
        <v>ESCOLA RENATO RIBEIRO COUTINHO</v>
      </c>
      <c r="N33" s="55">
        <f ca="1">IFERROR(__xludf.DUMMYFUNCTION("""COMPUTED_VALUE"""),221541)</f>
        <v>221541</v>
      </c>
      <c r="O33" s="55" t="str">
        <f ca="1">IFERROR(__xludf.DUMMYFUNCTION("""COMPUTED_VALUE"""),"AMBIENTE E SAUDE")</f>
        <v>AMBIENTE E SAUDE</v>
      </c>
      <c r="P33" s="55" t="str">
        <f ca="1">IFERROR(__xludf.DUMMYFUNCTION("""COMPUTED_VALUE"""),"BALCONISTA DE FARMACIA")</f>
        <v>BALCONISTA DE FARMACIA</v>
      </c>
      <c r="Q33" s="55" t="str">
        <f ca="1">IFERROR(__xludf.DUMMYFUNCTION("""COMPUTED_VALUE"""),"FIC")</f>
        <v>FIC</v>
      </c>
      <c r="R33" s="55">
        <f ca="1">IFERROR(__xludf.DUMMYFUNCTION("""COMPUTED_VALUE"""),240)</f>
        <v>240</v>
      </c>
      <c r="S33" s="55" t="str">
        <f ca="1">IFERROR(__xludf.DUMMYFUNCTION("""COMPUTED_VALUE"""),"NOITE")</f>
        <v>NOITE</v>
      </c>
      <c r="T33" s="57">
        <f ca="1">IFERROR(__xludf.DUMMYFUNCTION("""COMPUTED_VALUE"""),45705)</f>
        <v>45705</v>
      </c>
      <c r="U33" s="57">
        <f ca="1">IFERROR(__xludf.DUMMYFUNCTION("""COMPUTED_VALUE"""),45823)</f>
        <v>45823</v>
      </c>
      <c r="V33" s="55"/>
      <c r="W33" s="55"/>
      <c r="X33" s="55"/>
      <c r="Y33" s="55" t="str">
        <f ca="1">IFERROR(__xludf.DUMMYFUNCTION("""COMPUTED_VALUE"""),"EM OFERTA")</f>
        <v>EM OFERTA</v>
      </c>
      <c r="Z33" s="55"/>
      <c r="AA33" s="55"/>
      <c r="AB33" s="55"/>
      <c r="AC33" s="55"/>
      <c r="AD33" s="55"/>
      <c r="AE33" s="55"/>
      <c r="AF33" s="55"/>
      <c r="AG33" s="55"/>
      <c r="AH33" s="55" t="str">
        <f ca="1">IFERROR(__xludf.DUMMYFUNCTION("""COMPUTED_VALUE"""),"-")</f>
        <v>-</v>
      </c>
      <c r="AI33" s="55" t="str">
        <f ca="1">IFERROR(__xludf.DUMMYFUNCTION("""COMPUTED_VALUE"""),"GEISYANE LAURINDO DE SOUZA")</f>
        <v>GEISYANE LAURINDO DE SOUZA</v>
      </c>
      <c r="AJ33" s="55" t="str">
        <f ca="1">IFERROR(__xludf.DUMMYFUNCTION("""COMPUTED_VALUE"""),"-")</f>
        <v>-</v>
      </c>
      <c r="AK33" s="55" t="str">
        <f ca="1">IFERROR(__xludf.DUMMYFUNCTION("""COMPUTED_VALUE"""),"-")</f>
        <v>-</v>
      </c>
      <c r="AL33" s="55" t="str">
        <f ca="1">IFERROR(__xludf.DUMMYFUNCTION("""COMPUTED_VALUE"""),"RODRIGO DE SOUZA NASCIMENTO")</f>
        <v>RODRIGO DE SOUZA NASCIMENTO</v>
      </c>
      <c r="AM33" s="55">
        <f ca="1">IFERROR(__xludf.DUMMYFUNCTION("""COMPUTED_VALUE"""),2025)</f>
        <v>2025</v>
      </c>
      <c r="AN33" s="55"/>
    </row>
    <row r="34" spans="1:40" ht="15.75" customHeight="1" x14ac:dyDescent="0.35">
      <c r="A34" s="55" t="str">
        <f t="shared" ca="1" si="0"/>
        <v xml:space="preserve"> CUITÉ/EMEF. ELCA CARVALHO DA FONSECA/AUXILIAR DE AGROPECUARIA/NOITE</v>
      </c>
      <c r="B34" s="55" t="str">
        <f ca="1">IFERROR(__xludf.DUMMYFUNCTION("""COMPUTED_VALUE"""),"00000001397")</f>
        <v>00000001397</v>
      </c>
      <c r="C34" s="55" t="str">
        <f ca="1">IFERROR(__xludf.DUMMYFUNCTION("""COMPUTED_VALUE"""),"T-AUXILIAR DE AGROPECUARIA/00000001397")</f>
        <v>T-AUXILIAR DE AGROPECUARIA/00000001397</v>
      </c>
      <c r="D34" s="56" t="str">
        <f ca="1">IFERROR(__xludf.DUMMYFUNCTION("""COMPUTED_VALUE"""),"https://docs.google.com/spreadsheets/d/11gzgV_AMbaWUtpA83IaVkdS2cA2e-8PmDtzwkrD9FqE/edit?usp=drivesdk")</f>
        <v>https://docs.google.com/spreadsheets/d/11gzgV_AMbaWUtpA83IaVkdS2cA2e-8PmDtzwkrD9FqE/edit?usp=drivesdk</v>
      </c>
      <c r="E34" s="55" t="str">
        <f ca="1">IFERROR(__xludf.DUMMYFUNCTION("""COMPUTED_VALUE"""),"17 - PARAIBATEC FIC")</f>
        <v>17 - PARAIBATEC FIC</v>
      </c>
      <c r="F34" s="55" t="str">
        <f ca="1">IFERROR(__xludf.DUMMYFUNCTION("""COMPUTED_VALUE"""),"PARAIBATEC FIC")</f>
        <v>PARAIBATEC FIC</v>
      </c>
      <c r="G34" s="55" t="str">
        <f ca="1">IFERROR(__xludf.DUMMYFUNCTION("""COMPUTED_VALUE"""),"01 - PARAIBATEC")</f>
        <v>01 - PARAIBATEC</v>
      </c>
      <c r="H34" s="55" t="str">
        <f ca="1">IFERROR(__xludf.DUMMYFUNCTION("""COMPUTED_VALUE"""),"PARAIBATEC")</f>
        <v>PARAIBATEC</v>
      </c>
      <c r="I34" s="55" t="str">
        <f ca="1">IFERROR(__xludf.DUMMYFUNCTION("""COMPUTED_VALUE"""),"508 - EMEF. ELCA CARVALHO DA FONSECA")</f>
        <v>508 - EMEF. ELCA CARVALHO DA FONSECA</v>
      </c>
      <c r="J34" s="55" t="str">
        <f ca="1">IFERROR(__xludf.DUMMYFUNCTION("""COMPUTED_VALUE""")," CUITÉ")</f>
        <v xml:space="preserve"> CUITÉ</v>
      </c>
      <c r="K34" s="55"/>
      <c r="L34" s="55"/>
      <c r="M34" s="55" t="str">
        <f ca="1">IFERROR(__xludf.DUMMYFUNCTION("""COMPUTED_VALUE"""),"EMEF. ELCA CARVALHO DA FONSECA")</f>
        <v>EMEF. ELCA CARVALHO DA FONSECA</v>
      </c>
      <c r="N34" s="55">
        <f ca="1">IFERROR(__xludf.DUMMYFUNCTION("""COMPUTED_VALUE"""),221290)</f>
        <v>221290</v>
      </c>
      <c r="O34" s="55" t="str">
        <f ca="1">IFERROR(__xludf.DUMMYFUNCTION("""COMPUTED_VALUE"""),"RECURSOS NATURAIS")</f>
        <v>RECURSOS NATURAIS</v>
      </c>
      <c r="P34" s="55" t="str">
        <f ca="1">IFERROR(__xludf.DUMMYFUNCTION("""COMPUTED_VALUE"""),"AUXILIAR DE AGROPECUARIA")</f>
        <v>AUXILIAR DE AGROPECUARIA</v>
      </c>
      <c r="Q34" s="55" t="str">
        <f ca="1">IFERROR(__xludf.DUMMYFUNCTION("""COMPUTED_VALUE"""),"FIC")</f>
        <v>FIC</v>
      </c>
      <c r="R34" s="55">
        <f ca="1">IFERROR(__xludf.DUMMYFUNCTION("""COMPUTED_VALUE"""),200)</f>
        <v>200</v>
      </c>
      <c r="S34" s="55" t="str">
        <f ca="1">IFERROR(__xludf.DUMMYFUNCTION("""COMPUTED_VALUE"""),"NOITE")</f>
        <v>NOITE</v>
      </c>
      <c r="T34" s="57">
        <f ca="1">IFERROR(__xludf.DUMMYFUNCTION("""COMPUTED_VALUE"""),45727)</f>
        <v>45727</v>
      </c>
      <c r="U34" s="57">
        <f ca="1">IFERROR(__xludf.DUMMYFUNCTION("""COMPUTED_VALUE"""),45845)</f>
        <v>45845</v>
      </c>
      <c r="V34" s="55"/>
      <c r="W34" s="55"/>
      <c r="X34" s="55"/>
      <c r="Y34" s="55" t="str">
        <f ca="1">IFERROR(__xludf.DUMMYFUNCTION("""COMPUTED_VALUE"""),"EM OFERTA")</f>
        <v>EM OFERTA</v>
      </c>
      <c r="Z34" s="55"/>
      <c r="AA34" s="55"/>
      <c r="AB34" s="55"/>
      <c r="AC34" s="55"/>
      <c r="AD34" s="55"/>
      <c r="AE34" s="55"/>
      <c r="AF34" s="55"/>
      <c r="AG34" s="55"/>
      <c r="AH34" s="55" t="str">
        <f ca="1">IFERROR(__xludf.DUMMYFUNCTION("""COMPUTED_VALUE"""),"-")</f>
        <v>-</v>
      </c>
      <c r="AI34" s="55" t="str">
        <f ca="1">IFERROR(__xludf.DUMMYFUNCTION("""COMPUTED_VALUE"""),"JOSE RAFAEL DA SILVA DANTAS")</f>
        <v>JOSE RAFAEL DA SILVA DANTAS</v>
      </c>
      <c r="AJ34" s="55" t="str">
        <f ca="1">IFERROR(__xludf.DUMMYFUNCTION("""COMPUTED_VALUE"""),"-")</f>
        <v>-</v>
      </c>
      <c r="AK34" s="55" t="str">
        <f ca="1">IFERROR(__xludf.DUMMYFUNCTION("""COMPUTED_VALUE"""),"-")</f>
        <v>-</v>
      </c>
      <c r="AL34" s="55" t="str">
        <f ca="1">IFERROR(__xludf.DUMMYFUNCTION("""COMPUTED_VALUE"""),"MARIO DIAS RIBEIRO")</f>
        <v>MARIO DIAS RIBEIRO</v>
      </c>
      <c r="AM34" s="55">
        <f ca="1">IFERROR(__xludf.DUMMYFUNCTION("""COMPUTED_VALUE"""),2025)</f>
        <v>2025</v>
      </c>
      <c r="AN34" s="55"/>
    </row>
    <row r="35" spans="1:40" ht="15.75" customHeight="1" x14ac:dyDescent="0.35">
      <c r="A35" s="55" t="str">
        <f t="shared" ca="1" si="0"/>
        <v xml:space="preserve"> CUITÉ/EMEF. ELCA CARVALHO DA FONSECA/AUXILIAR PEDAGOGICO/NOITE</v>
      </c>
      <c r="B35" s="55" t="str">
        <f ca="1">IFERROR(__xludf.DUMMYFUNCTION("""COMPUTED_VALUE"""),"00000001398")</f>
        <v>00000001398</v>
      </c>
      <c r="C35" s="55" t="str">
        <f ca="1">IFERROR(__xludf.DUMMYFUNCTION("""COMPUTED_VALUE"""),"T-AUXILIAR PEDAGOGICO/00000001398")</f>
        <v>T-AUXILIAR PEDAGOGICO/00000001398</v>
      </c>
      <c r="D35" s="56" t="str">
        <f ca="1">IFERROR(__xludf.DUMMYFUNCTION("""COMPUTED_VALUE"""),"https://docs.google.com/spreadsheets/d/1aWusT47ZNlwAtE3zq8oK8IUAvPaSHapq77hmOFJiZ3I/edit?usp=drivesdk")</f>
        <v>https://docs.google.com/spreadsheets/d/1aWusT47ZNlwAtE3zq8oK8IUAvPaSHapq77hmOFJiZ3I/edit?usp=drivesdk</v>
      </c>
      <c r="E35" s="55" t="str">
        <f ca="1">IFERROR(__xludf.DUMMYFUNCTION("""COMPUTED_VALUE"""),"17 - PARAIBATEC FIC")</f>
        <v>17 - PARAIBATEC FIC</v>
      </c>
      <c r="F35" s="55" t="str">
        <f ca="1">IFERROR(__xludf.DUMMYFUNCTION("""COMPUTED_VALUE"""),"PARAIBATEC FIC")</f>
        <v>PARAIBATEC FIC</v>
      </c>
      <c r="G35" s="55" t="str">
        <f ca="1">IFERROR(__xludf.DUMMYFUNCTION("""COMPUTED_VALUE"""),"01 - PARAIBATEC")</f>
        <v>01 - PARAIBATEC</v>
      </c>
      <c r="H35" s="55" t="str">
        <f ca="1">IFERROR(__xludf.DUMMYFUNCTION("""COMPUTED_VALUE"""),"PARAIBATEC")</f>
        <v>PARAIBATEC</v>
      </c>
      <c r="I35" s="55" t="str">
        <f ca="1">IFERROR(__xludf.DUMMYFUNCTION("""COMPUTED_VALUE"""),"508 - EMEF. ELCA CARVALHO DA FONSECA")</f>
        <v>508 - EMEF. ELCA CARVALHO DA FONSECA</v>
      </c>
      <c r="J35" s="55" t="str">
        <f ca="1">IFERROR(__xludf.DUMMYFUNCTION("""COMPUTED_VALUE""")," CUITÉ")</f>
        <v xml:space="preserve"> CUITÉ</v>
      </c>
      <c r="K35" s="55"/>
      <c r="L35" s="55"/>
      <c r="M35" s="55" t="str">
        <f ca="1">IFERROR(__xludf.DUMMYFUNCTION("""COMPUTED_VALUE"""),"EMEF. ELCA CARVALHO DA FONSECA")</f>
        <v>EMEF. ELCA CARVALHO DA FONSECA</v>
      </c>
      <c r="N35" s="55">
        <f ca="1">IFERROR(__xludf.DUMMYFUNCTION("""COMPUTED_VALUE"""),273098)</f>
        <v>273098</v>
      </c>
      <c r="O35" s="55" t="str">
        <f ca="1">IFERROR(__xludf.DUMMYFUNCTION("""COMPUTED_VALUE"""),"DESENVOLVIMENTO EDUCACIONAL E SOCIAL")</f>
        <v>DESENVOLVIMENTO EDUCACIONAL E SOCIAL</v>
      </c>
      <c r="P35" s="55" t="str">
        <f ca="1">IFERROR(__xludf.DUMMYFUNCTION("""COMPUTED_VALUE"""),"AUXILIAR PEDAGOGICO")</f>
        <v>AUXILIAR PEDAGOGICO</v>
      </c>
      <c r="Q35" s="55" t="str">
        <f ca="1">IFERROR(__xludf.DUMMYFUNCTION("""COMPUTED_VALUE"""),"FIC")</f>
        <v>FIC</v>
      </c>
      <c r="R35" s="55">
        <f ca="1">IFERROR(__xludf.DUMMYFUNCTION("""COMPUTED_VALUE"""),200)</f>
        <v>200</v>
      </c>
      <c r="S35" s="55" t="str">
        <f ca="1">IFERROR(__xludf.DUMMYFUNCTION("""COMPUTED_VALUE"""),"NOITE")</f>
        <v>NOITE</v>
      </c>
      <c r="T35" s="57">
        <f ca="1">IFERROR(__xludf.DUMMYFUNCTION("""COMPUTED_VALUE"""),45733)</f>
        <v>45733</v>
      </c>
      <c r="U35" s="57">
        <f ca="1">IFERROR(__xludf.DUMMYFUNCTION("""COMPUTED_VALUE"""),45854)</f>
        <v>45854</v>
      </c>
      <c r="V35" s="55"/>
      <c r="W35" s="55"/>
      <c r="X35" s="55"/>
      <c r="Y35" s="55" t="str">
        <f ca="1">IFERROR(__xludf.DUMMYFUNCTION("""COMPUTED_VALUE"""),"EM OFERTA")</f>
        <v>EM OFERTA</v>
      </c>
      <c r="Z35" s="55"/>
      <c r="AA35" s="55"/>
      <c r="AB35" s="55"/>
      <c r="AC35" s="55"/>
      <c r="AD35" s="55"/>
      <c r="AE35" s="55"/>
      <c r="AF35" s="55"/>
      <c r="AG35" s="55"/>
      <c r="AH35" s="55" t="str">
        <f ca="1">IFERROR(__xludf.DUMMYFUNCTION("""COMPUTED_VALUE"""),"-")</f>
        <v>-</v>
      </c>
      <c r="AI35" s="55" t="str">
        <f ca="1">IFERROR(__xludf.DUMMYFUNCTION("""COMPUTED_VALUE"""),"JOSE RAFAEL DA SILVA DANTAS")</f>
        <v>JOSE RAFAEL DA SILVA DANTAS</v>
      </c>
      <c r="AJ35" s="55" t="str">
        <f ca="1">IFERROR(__xludf.DUMMYFUNCTION("""COMPUTED_VALUE"""),"-")</f>
        <v>-</v>
      </c>
      <c r="AK35" s="55" t="str">
        <f ca="1">IFERROR(__xludf.DUMMYFUNCTION("""COMPUTED_VALUE"""),"-")</f>
        <v>-</v>
      </c>
      <c r="AL35" s="55" t="str">
        <f ca="1">IFERROR(__xludf.DUMMYFUNCTION("""COMPUTED_VALUE"""),"MAYARA ISLAINE PESSOA DE SOUZA")</f>
        <v>MAYARA ISLAINE PESSOA DE SOUZA</v>
      </c>
      <c r="AM35" s="55">
        <f ca="1">IFERROR(__xludf.DUMMYFUNCTION("""COMPUTED_VALUE"""),2025)</f>
        <v>2025</v>
      </c>
      <c r="AN35" s="55"/>
    </row>
    <row r="36" spans="1:40" ht="15.75" customHeight="1" x14ac:dyDescent="0.35">
      <c r="A36" s="55" t="str">
        <f t="shared" ca="1" si="0"/>
        <v xml:space="preserve"> CUITEGI/SINDICATO DOS TRABALHADORES RURAIS DE CUITEGI/ASSISTENTE ESCOLAR/MANHA</v>
      </c>
      <c r="B36" s="55" t="str">
        <f ca="1">IFERROR(__xludf.DUMMYFUNCTION("""COMPUTED_VALUE"""),"00000001399")</f>
        <v>00000001399</v>
      </c>
      <c r="C36" s="55" t="str">
        <f ca="1">IFERROR(__xludf.DUMMYFUNCTION("""COMPUTED_VALUE"""),"T-ASSISTENTE ESCOLAR/00000001399")</f>
        <v>T-ASSISTENTE ESCOLAR/00000001399</v>
      </c>
      <c r="D36" s="56" t="str">
        <f ca="1">IFERROR(__xludf.DUMMYFUNCTION("""COMPUTED_VALUE"""),"https://docs.google.com/spreadsheets/d/1X78-qzp81SZc3zUQ6Jjc7k8uHQAC8ZV94VFVo-eg3fg/edit?usp=drivesdk")</f>
        <v>https://docs.google.com/spreadsheets/d/1X78-qzp81SZc3zUQ6Jjc7k8uHQAC8ZV94VFVo-eg3fg/edit?usp=drivesdk</v>
      </c>
      <c r="E36" s="55" t="str">
        <f ca="1">IFERROR(__xludf.DUMMYFUNCTION("""COMPUTED_VALUE"""),"17 - PARAIBATEC FIC")</f>
        <v>17 - PARAIBATEC FIC</v>
      </c>
      <c r="F36" s="55" t="str">
        <f ca="1">IFERROR(__xludf.DUMMYFUNCTION("""COMPUTED_VALUE"""),"PARAIBATEC FIC")</f>
        <v>PARAIBATEC FIC</v>
      </c>
      <c r="G36" s="55" t="str">
        <f ca="1">IFERROR(__xludf.DUMMYFUNCTION("""COMPUTED_VALUE"""),"01 - PARAIBATEC")</f>
        <v>01 - PARAIBATEC</v>
      </c>
      <c r="H36" s="55" t="str">
        <f ca="1">IFERROR(__xludf.DUMMYFUNCTION("""COMPUTED_VALUE"""),"PARAIBATEC")</f>
        <v>PARAIBATEC</v>
      </c>
      <c r="I36" s="55" t="str">
        <f ca="1">IFERROR(__xludf.DUMMYFUNCTION("""COMPUTED_VALUE"""),"473 - SINDICATO DOS TRABALHADORES RURAIS DE CUITEGI")</f>
        <v>473 - SINDICATO DOS TRABALHADORES RURAIS DE CUITEGI</v>
      </c>
      <c r="J36" s="55" t="str">
        <f ca="1">IFERROR(__xludf.DUMMYFUNCTION("""COMPUTED_VALUE""")," CUITEGI")</f>
        <v xml:space="preserve"> CUITEGI</v>
      </c>
      <c r="K36" s="55"/>
      <c r="L36" s="55"/>
      <c r="M36" s="55" t="str">
        <f ca="1">IFERROR(__xludf.DUMMYFUNCTION("""COMPUTED_VALUE"""),"SINDICATO DOS TRABALHADORES RURAIS DE CUITEGI")</f>
        <v>SINDICATO DOS TRABALHADORES RURAIS DE CUITEGI</v>
      </c>
      <c r="N36" s="55">
        <f ca="1">IFERROR(__xludf.DUMMYFUNCTION("""COMPUTED_VALUE"""),221334)</f>
        <v>221334</v>
      </c>
      <c r="O36" s="55" t="str">
        <f ca="1">IFERROR(__xludf.DUMMYFUNCTION("""COMPUTED_VALUE"""),"DESENVOLVIMENTO EDUCACIONAL E SOCIAL")</f>
        <v>DESENVOLVIMENTO EDUCACIONAL E SOCIAL</v>
      </c>
      <c r="P36" s="55" t="str">
        <f ca="1">IFERROR(__xludf.DUMMYFUNCTION("""COMPUTED_VALUE"""),"ASSISTENTE ESCOLAR")</f>
        <v>ASSISTENTE ESCOLAR</v>
      </c>
      <c r="Q36" s="55" t="str">
        <f ca="1">IFERROR(__xludf.DUMMYFUNCTION("""COMPUTED_VALUE"""),"FIC")</f>
        <v>FIC</v>
      </c>
      <c r="R36" s="55">
        <f ca="1">IFERROR(__xludf.DUMMYFUNCTION("""COMPUTED_VALUE"""),160)</f>
        <v>160</v>
      </c>
      <c r="S36" s="55" t="str">
        <f ca="1">IFERROR(__xludf.DUMMYFUNCTION("""COMPUTED_VALUE"""),"MANHA")</f>
        <v>MANHA</v>
      </c>
      <c r="T36" s="57">
        <f ca="1">IFERROR(__xludf.DUMMYFUNCTION("""COMPUTED_VALUE"""),45693)</f>
        <v>45693</v>
      </c>
      <c r="U36" s="57">
        <f ca="1">IFERROR(__xludf.DUMMYFUNCTION("""COMPUTED_VALUE"""),45826)</f>
        <v>45826</v>
      </c>
      <c r="V36" s="55"/>
      <c r="W36" s="55"/>
      <c r="X36" s="55"/>
      <c r="Y36" s="55" t="str">
        <f ca="1">IFERROR(__xludf.DUMMYFUNCTION("""COMPUTED_VALUE"""),"EM OFERTA")</f>
        <v>EM OFERTA</v>
      </c>
      <c r="Z36" s="55"/>
      <c r="AA36" s="55"/>
      <c r="AB36" s="55"/>
      <c r="AC36" s="55"/>
      <c r="AD36" s="55"/>
      <c r="AE36" s="55"/>
      <c r="AF36" s="55"/>
      <c r="AG36" s="55"/>
      <c r="AH36" s="55" t="str">
        <f ca="1">IFERROR(__xludf.DUMMYFUNCTION("""COMPUTED_VALUE"""),"-")</f>
        <v>-</v>
      </c>
      <c r="AI36" s="55" t="str">
        <f ca="1">IFERROR(__xludf.DUMMYFUNCTION("""COMPUTED_VALUE"""),"ROZIL DA SILVA GOMES")</f>
        <v>ROZIL DA SILVA GOMES</v>
      </c>
      <c r="AJ36" s="55" t="str">
        <f ca="1">IFERROR(__xludf.DUMMYFUNCTION("""COMPUTED_VALUE"""),"-")</f>
        <v>-</v>
      </c>
      <c r="AK36" s="55" t="str">
        <f ca="1">IFERROR(__xludf.DUMMYFUNCTION("""COMPUTED_VALUE"""),"-")</f>
        <v>-</v>
      </c>
      <c r="AL36" s="55" t="str">
        <f ca="1">IFERROR(__xludf.DUMMYFUNCTION("""COMPUTED_VALUE"""),"MARIA HELENA SOARES DE LIMA")</f>
        <v>MARIA HELENA SOARES DE LIMA</v>
      </c>
      <c r="AM36" s="55">
        <f ca="1">IFERROR(__xludf.DUMMYFUNCTION("""COMPUTED_VALUE"""),2025)</f>
        <v>2025</v>
      </c>
      <c r="AN36" s="55"/>
    </row>
    <row r="37" spans="1:40" ht="14" x14ac:dyDescent="0.35">
      <c r="A37" s="55" t="str">
        <f t="shared" ca="1" si="0"/>
        <v xml:space="preserve"> CURRAL DE CIMA/ECIT HENRIQUE FERNANDES DE FARIAS/ASSISTENTE ADMINISTRATIVO/NOITE</v>
      </c>
      <c r="B37" s="55" t="str">
        <f ca="1">IFERROR(__xludf.DUMMYFUNCTION("""COMPUTED_VALUE"""),"00000001400")</f>
        <v>00000001400</v>
      </c>
      <c r="C37" s="55" t="str">
        <f ca="1">IFERROR(__xludf.DUMMYFUNCTION("""COMPUTED_VALUE"""),"T-ASSISTENTE ADMINISTRATIVO/00000001400")</f>
        <v>T-ASSISTENTE ADMINISTRATIVO/00000001400</v>
      </c>
      <c r="D37" s="56" t="str">
        <f ca="1">IFERROR(__xludf.DUMMYFUNCTION("""COMPUTED_VALUE"""),"https://docs.google.com/spreadsheets/d/1LklL3roRcRt5BuB9lzFnPeWhbsde159x5VHNHZUCDS8/edit?usp=drivesdk")</f>
        <v>https://docs.google.com/spreadsheets/d/1LklL3roRcRt5BuB9lzFnPeWhbsde159x5VHNHZUCDS8/edit?usp=drivesdk</v>
      </c>
      <c r="E37" s="55" t="str">
        <f ca="1">IFERROR(__xludf.DUMMYFUNCTION("""COMPUTED_VALUE"""),"17 - PARAIBATEC FIC")</f>
        <v>17 - PARAIBATEC FIC</v>
      </c>
      <c r="F37" s="55" t="str">
        <f ca="1">IFERROR(__xludf.DUMMYFUNCTION("""COMPUTED_VALUE"""),"PARAIBATEC FIC")</f>
        <v>PARAIBATEC FIC</v>
      </c>
      <c r="G37" s="55" t="str">
        <f ca="1">IFERROR(__xludf.DUMMYFUNCTION("""COMPUTED_VALUE"""),"01 - PARAIBATEC")</f>
        <v>01 - PARAIBATEC</v>
      </c>
      <c r="H37" s="55" t="str">
        <f ca="1">IFERROR(__xludf.DUMMYFUNCTION("""COMPUTED_VALUE"""),"PARAIBATEC")</f>
        <v>PARAIBATEC</v>
      </c>
      <c r="I37" s="55" t="str">
        <f ca="1">IFERROR(__xludf.DUMMYFUNCTION("""COMPUTED_VALUE"""),"045 - ECIT HENRIQUE FERNANDES DE FARIAS")</f>
        <v>045 - ECIT HENRIQUE FERNANDES DE FARIAS</v>
      </c>
      <c r="J37" s="55" t="str">
        <f ca="1">IFERROR(__xludf.DUMMYFUNCTION("""COMPUTED_VALUE""")," CURRAL DE CIMA")</f>
        <v xml:space="preserve"> CURRAL DE CIMA</v>
      </c>
      <c r="K37" s="55"/>
      <c r="L37" s="55"/>
      <c r="M37" s="55" t="str">
        <f ca="1">IFERROR(__xludf.DUMMYFUNCTION("""COMPUTED_VALUE"""),"ECIT HENRIQUE FERNANDES DE FARIAS")</f>
        <v>ECIT HENRIQUE FERNANDES DE FARIAS</v>
      </c>
      <c r="N37" s="55">
        <f ca="1">IFERROR(__xludf.DUMMYFUNCTION("""COMPUTED_VALUE"""),221012)</f>
        <v>221012</v>
      </c>
      <c r="O37" s="55" t="str">
        <f ca="1">IFERROR(__xludf.DUMMYFUNCTION("""COMPUTED_VALUE"""),"GESTAO E NEGOCIOS")</f>
        <v>GESTAO E NEGOCIOS</v>
      </c>
      <c r="P37" s="55" t="str">
        <f ca="1">IFERROR(__xludf.DUMMYFUNCTION("""COMPUTED_VALUE"""),"ASSISTENTE ADMINISTRATIVO")</f>
        <v>ASSISTENTE ADMINISTRATIVO</v>
      </c>
      <c r="Q37" s="55" t="str">
        <f ca="1">IFERROR(__xludf.DUMMYFUNCTION("""COMPUTED_VALUE"""),"FIC")</f>
        <v>FIC</v>
      </c>
      <c r="R37" s="55">
        <f ca="1">IFERROR(__xludf.DUMMYFUNCTION("""COMPUTED_VALUE"""),160)</f>
        <v>160</v>
      </c>
      <c r="S37" s="55" t="str">
        <f ca="1">IFERROR(__xludf.DUMMYFUNCTION("""COMPUTED_VALUE"""),"NOITE")</f>
        <v>NOITE</v>
      </c>
      <c r="T37" s="57">
        <f ca="1">IFERROR(__xludf.DUMMYFUNCTION("""COMPUTED_VALUE"""),45691)</f>
        <v>45691</v>
      </c>
      <c r="U37" s="57">
        <f ca="1">IFERROR(__xludf.DUMMYFUNCTION("""COMPUTED_VALUE"""),45824)</f>
        <v>45824</v>
      </c>
      <c r="V37" s="55"/>
      <c r="W37" s="55"/>
      <c r="X37" s="55"/>
      <c r="Y37" s="55" t="str">
        <f ca="1">IFERROR(__xludf.DUMMYFUNCTION("""COMPUTED_VALUE"""),"EM OFERTA")</f>
        <v>EM OFERTA</v>
      </c>
      <c r="Z37" s="55"/>
      <c r="AA37" s="55"/>
      <c r="AB37" s="55"/>
      <c r="AC37" s="55"/>
      <c r="AD37" s="55"/>
      <c r="AE37" s="55"/>
      <c r="AF37" s="55"/>
      <c r="AG37" s="55"/>
      <c r="AH37" s="55" t="str">
        <f ca="1">IFERROR(__xludf.DUMMYFUNCTION("""COMPUTED_VALUE"""),"-")</f>
        <v>-</v>
      </c>
      <c r="AI37" s="55" t="str">
        <f ca="1">IFERROR(__xludf.DUMMYFUNCTION("""COMPUTED_VALUE"""),"SILVANA ARAUJO SOBRINHO")</f>
        <v>SILVANA ARAUJO SOBRINHO</v>
      </c>
      <c r="AJ37" s="55" t="str">
        <f ca="1">IFERROR(__xludf.DUMMYFUNCTION("""COMPUTED_VALUE"""),"-")</f>
        <v>-</v>
      </c>
      <c r="AK37" s="55" t="str">
        <f ca="1">IFERROR(__xludf.DUMMYFUNCTION("""COMPUTED_VALUE"""),"-")</f>
        <v>-</v>
      </c>
      <c r="AL37" s="55" t="str">
        <f ca="1">IFERROR(__xludf.DUMMYFUNCTION("""COMPUTED_VALUE"""),"JOSE WILLIAN GOMES DA SILVA")</f>
        <v>JOSE WILLIAN GOMES DA SILVA</v>
      </c>
      <c r="AM37" s="55">
        <f ca="1">IFERROR(__xludf.DUMMYFUNCTION("""COMPUTED_VALUE"""),2025)</f>
        <v>2025</v>
      </c>
      <c r="AN37" s="55"/>
    </row>
    <row r="38" spans="1:40" ht="14" x14ac:dyDescent="0.35">
      <c r="A38" s="55" t="str">
        <f t="shared" ca="1" si="0"/>
        <v xml:space="preserve"> CURRAL DE CIMA/ECIT HENRIQUE FERNANDES DE FARIAS/AUXILIAR PEDAGOGICO/NOITE</v>
      </c>
      <c r="B38" s="55" t="str">
        <f ca="1">IFERROR(__xludf.DUMMYFUNCTION("""COMPUTED_VALUE"""),"00000001401")</f>
        <v>00000001401</v>
      </c>
      <c r="C38" s="55" t="str">
        <f ca="1">IFERROR(__xludf.DUMMYFUNCTION("""COMPUTED_VALUE"""),"T-AUXILIAR PEDAGOGICO/00000001401")</f>
        <v>T-AUXILIAR PEDAGOGICO/00000001401</v>
      </c>
      <c r="D38" s="56" t="str">
        <f ca="1">IFERROR(__xludf.DUMMYFUNCTION("""COMPUTED_VALUE"""),"https://docs.google.com/spreadsheets/d/1GLQDlnCgBPf7q31zXK3-bzUn7LlanEQjLCQ2XMr8Lps/edit?usp=drivesdk")</f>
        <v>https://docs.google.com/spreadsheets/d/1GLQDlnCgBPf7q31zXK3-bzUn7LlanEQjLCQ2XMr8Lps/edit?usp=drivesdk</v>
      </c>
      <c r="E38" s="55" t="str">
        <f ca="1">IFERROR(__xludf.DUMMYFUNCTION("""COMPUTED_VALUE"""),"17 - PARAIBATEC FIC")</f>
        <v>17 - PARAIBATEC FIC</v>
      </c>
      <c r="F38" s="55" t="str">
        <f ca="1">IFERROR(__xludf.DUMMYFUNCTION("""COMPUTED_VALUE"""),"PARAIBATEC FIC")</f>
        <v>PARAIBATEC FIC</v>
      </c>
      <c r="G38" s="55" t="str">
        <f ca="1">IFERROR(__xludf.DUMMYFUNCTION("""COMPUTED_VALUE"""),"01 - PARAIBATEC")</f>
        <v>01 - PARAIBATEC</v>
      </c>
      <c r="H38" s="55" t="str">
        <f ca="1">IFERROR(__xludf.DUMMYFUNCTION("""COMPUTED_VALUE"""),"PARAIBATEC")</f>
        <v>PARAIBATEC</v>
      </c>
      <c r="I38" s="55" t="str">
        <f ca="1">IFERROR(__xludf.DUMMYFUNCTION("""COMPUTED_VALUE"""),"045 - ECIT HENRIQUE FERNANDES DE FARIAS")</f>
        <v>045 - ECIT HENRIQUE FERNANDES DE FARIAS</v>
      </c>
      <c r="J38" s="55" t="str">
        <f ca="1">IFERROR(__xludf.DUMMYFUNCTION("""COMPUTED_VALUE""")," CURRAL DE CIMA")</f>
        <v xml:space="preserve"> CURRAL DE CIMA</v>
      </c>
      <c r="K38" s="55"/>
      <c r="L38" s="55"/>
      <c r="M38" s="55" t="str">
        <f ca="1">IFERROR(__xludf.DUMMYFUNCTION("""COMPUTED_VALUE"""),"ECIT HENRIQUE FERNANDES DE FARIAS")</f>
        <v>ECIT HENRIQUE FERNANDES DE FARIAS</v>
      </c>
      <c r="N38" s="55">
        <f ca="1">IFERROR(__xludf.DUMMYFUNCTION("""COMPUTED_VALUE"""),273098)</f>
        <v>273098</v>
      </c>
      <c r="O38" s="55" t="str">
        <f ca="1">IFERROR(__xludf.DUMMYFUNCTION("""COMPUTED_VALUE"""),"DESENVOLVIMENTO EDUCACIONAL E SOCIAL")</f>
        <v>DESENVOLVIMENTO EDUCACIONAL E SOCIAL</v>
      </c>
      <c r="P38" s="55" t="str">
        <f ca="1">IFERROR(__xludf.DUMMYFUNCTION("""COMPUTED_VALUE"""),"AUXILIAR PEDAGOGICO")</f>
        <v>AUXILIAR PEDAGOGICO</v>
      </c>
      <c r="Q38" s="55" t="str">
        <f ca="1">IFERROR(__xludf.DUMMYFUNCTION("""COMPUTED_VALUE"""),"FIC")</f>
        <v>FIC</v>
      </c>
      <c r="R38" s="55">
        <f ca="1">IFERROR(__xludf.DUMMYFUNCTION("""COMPUTED_VALUE"""),200)</f>
        <v>200</v>
      </c>
      <c r="S38" s="55" t="str">
        <f ca="1">IFERROR(__xludf.DUMMYFUNCTION("""COMPUTED_VALUE"""),"NOITE")</f>
        <v>NOITE</v>
      </c>
      <c r="T38" s="57">
        <f ca="1">IFERROR(__xludf.DUMMYFUNCTION("""COMPUTED_VALUE"""),45691)</f>
        <v>45691</v>
      </c>
      <c r="U38" s="57">
        <f ca="1">IFERROR(__xludf.DUMMYFUNCTION("""COMPUTED_VALUE"""),45853)</f>
        <v>45853</v>
      </c>
      <c r="V38" s="55"/>
      <c r="W38" s="55"/>
      <c r="X38" s="55"/>
      <c r="Y38" s="55" t="str">
        <f ca="1">IFERROR(__xludf.DUMMYFUNCTION("""COMPUTED_VALUE"""),"EM OFERTA")</f>
        <v>EM OFERTA</v>
      </c>
      <c r="Z38" s="55"/>
      <c r="AA38" s="55"/>
      <c r="AB38" s="55"/>
      <c r="AC38" s="55"/>
      <c r="AD38" s="55"/>
      <c r="AE38" s="55"/>
      <c r="AF38" s="55"/>
      <c r="AG38" s="55"/>
      <c r="AH38" s="55" t="str">
        <f ca="1">IFERROR(__xludf.DUMMYFUNCTION("""COMPUTED_VALUE"""),"-")</f>
        <v>-</v>
      </c>
      <c r="AI38" s="55" t="str">
        <f ca="1">IFERROR(__xludf.DUMMYFUNCTION("""COMPUTED_VALUE"""),"SILVANA ARAUJO SOBRINHO")</f>
        <v>SILVANA ARAUJO SOBRINHO</v>
      </c>
      <c r="AJ38" s="55" t="str">
        <f ca="1">IFERROR(__xludf.DUMMYFUNCTION("""COMPUTED_VALUE"""),"-")</f>
        <v>-</v>
      </c>
      <c r="AK38" s="55" t="str">
        <f ca="1">IFERROR(__xludf.DUMMYFUNCTION("""COMPUTED_VALUE"""),"-")</f>
        <v>-</v>
      </c>
      <c r="AL38" s="55" t="str">
        <f ca="1">IFERROR(__xludf.DUMMYFUNCTION("""COMPUTED_VALUE"""),"FABIO VITOR DA SILVA")</f>
        <v>FABIO VITOR DA SILVA</v>
      </c>
      <c r="AM38" s="55">
        <f ca="1">IFERROR(__xludf.DUMMYFUNCTION("""COMPUTED_VALUE"""),2025)</f>
        <v>2025</v>
      </c>
      <c r="AN38" s="55"/>
    </row>
    <row r="39" spans="1:40" ht="14" x14ac:dyDescent="0.35">
      <c r="A39" s="55" t="str">
        <f t="shared" ca="1" si="0"/>
        <v xml:space="preserve"> CURRAL VELHO/ESCOLA MUNICIPAL ANTONIO GOMES DE CARVALHO/AUXILIAR PEDAGOGICO/NOITE</v>
      </c>
      <c r="B39" s="55" t="str">
        <f ca="1">IFERROR(__xludf.DUMMYFUNCTION("""COMPUTED_VALUE"""),"00000001402")</f>
        <v>00000001402</v>
      </c>
      <c r="C39" s="55" t="str">
        <f ca="1">IFERROR(__xludf.DUMMYFUNCTION("""COMPUTED_VALUE"""),"T-AUXILIAR PEDAGOGICO/00000001402")</f>
        <v>T-AUXILIAR PEDAGOGICO/00000001402</v>
      </c>
      <c r="D39" s="56" t="str">
        <f ca="1">IFERROR(__xludf.DUMMYFUNCTION("""COMPUTED_VALUE"""),"https://docs.google.com/spreadsheets/d/1rOpb9RiNOfAZbyfCo7nZSU7ozPyhd3tajrdN54uwMC8/edit?usp=drivesdk")</f>
        <v>https://docs.google.com/spreadsheets/d/1rOpb9RiNOfAZbyfCo7nZSU7ozPyhd3tajrdN54uwMC8/edit?usp=drivesdk</v>
      </c>
      <c r="E39" s="55" t="str">
        <f ca="1">IFERROR(__xludf.DUMMYFUNCTION("""COMPUTED_VALUE"""),"17 - PARAIBATEC FIC")</f>
        <v>17 - PARAIBATEC FIC</v>
      </c>
      <c r="F39" s="55" t="str">
        <f ca="1">IFERROR(__xludf.DUMMYFUNCTION("""COMPUTED_VALUE"""),"PARAIBATEC FIC")</f>
        <v>PARAIBATEC FIC</v>
      </c>
      <c r="G39" s="55" t="str">
        <f ca="1">IFERROR(__xludf.DUMMYFUNCTION("""COMPUTED_VALUE"""),"01 - PARAIBATEC")</f>
        <v>01 - PARAIBATEC</v>
      </c>
      <c r="H39" s="55" t="str">
        <f ca="1">IFERROR(__xludf.DUMMYFUNCTION("""COMPUTED_VALUE"""),"PARAIBATEC")</f>
        <v>PARAIBATEC</v>
      </c>
      <c r="I39" s="55" t="str">
        <f ca="1">IFERROR(__xludf.DUMMYFUNCTION("""COMPUTED_VALUE"""),"509 - ESCOLA MUNICIPAL ANTONIO GOMES DE CARVALHO")</f>
        <v>509 - ESCOLA MUNICIPAL ANTONIO GOMES DE CARVALHO</v>
      </c>
      <c r="J39" s="55" t="str">
        <f ca="1">IFERROR(__xludf.DUMMYFUNCTION("""COMPUTED_VALUE""")," CURRAL VELHO")</f>
        <v xml:space="preserve"> CURRAL VELHO</v>
      </c>
      <c r="K39" s="55"/>
      <c r="L39" s="55"/>
      <c r="M39" s="55" t="str">
        <f ca="1">IFERROR(__xludf.DUMMYFUNCTION("""COMPUTED_VALUE"""),"ESCOLA MUNICIPAL ANTONIO GOMES DE CARVALHO")</f>
        <v>ESCOLA MUNICIPAL ANTONIO GOMES DE CARVALHO</v>
      </c>
      <c r="N39" s="55">
        <f ca="1">IFERROR(__xludf.DUMMYFUNCTION("""COMPUTED_VALUE"""),273098)</f>
        <v>273098</v>
      </c>
      <c r="O39" s="55" t="str">
        <f ca="1">IFERROR(__xludf.DUMMYFUNCTION("""COMPUTED_VALUE"""),"DESENVOLVIMENTO EDUCACIONAL E SOCIAL")</f>
        <v>DESENVOLVIMENTO EDUCACIONAL E SOCIAL</v>
      </c>
      <c r="P39" s="55" t="str">
        <f ca="1">IFERROR(__xludf.DUMMYFUNCTION("""COMPUTED_VALUE"""),"AUXILIAR PEDAGOGICO")</f>
        <v>AUXILIAR PEDAGOGICO</v>
      </c>
      <c r="Q39" s="55" t="str">
        <f ca="1">IFERROR(__xludf.DUMMYFUNCTION("""COMPUTED_VALUE"""),"FIC")</f>
        <v>FIC</v>
      </c>
      <c r="R39" s="55">
        <f ca="1">IFERROR(__xludf.DUMMYFUNCTION("""COMPUTED_VALUE"""),200)</f>
        <v>200</v>
      </c>
      <c r="S39" s="55" t="str">
        <f ca="1">IFERROR(__xludf.DUMMYFUNCTION("""COMPUTED_VALUE"""),"NOITE")</f>
        <v>NOITE</v>
      </c>
      <c r="T39" s="57">
        <f ca="1">IFERROR(__xludf.DUMMYFUNCTION("""COMPUTED_VALUE"""),45692)</f>
        <v>45692</v>
      </c>
      <c r="U39" s="57">
        <f ca="1">IFERROR(__xludf.DUMMYFUNCTION("""COMPUTED_VALUE"""),45854)</f>
        <v>45854</v>
      </c>
      <c r="V39" s="55"/>
      <c r="W39" s="55"/>
      <c r="X39" s="55"/>
      <c r="Y39" s="55" t="str">
        <f ca="1">IFERROR(__xludf.DUMMYFUNCTION("""COMPUTED_VALUE"""),"EM OFERTA")</f>
        <v>EM OFERTA</v>
      </c>
      <c r="Z39" s="55"/>
      <c r="AA39" s="55"/>
      <c r="AB39" s="55"/>
      <c r="AC39" s="55"/>
      <c r="AD39" s="55"/>
      <c r="AE39" s="55"/>
      <c r="AF39" s="55"/>
      <c r="AG39" s="55"/>
      <c r="AH39" s="55" t="str">
        <f ca="1">IFERROR(__xludf.DUMMYFUNCTION("""COMPUTED_VALUE"""),"-")</f>
        <v>-</v>
      </c>
      <c r="AI39" s="55" t="str">
        <f ca="1">IFERROR(__xludf.DUMMYFUNCTION("""COMPUTED_VALUE"""),"MARIA APARECIDA BATISTA BARBOSA")</f>
        <v>MARIA APARECIDA BATISTA BARBOSA</v>
      </c>
      <c r="AJ39" s="55" t="str">
        <f ca="1">IFERROR(__xludf.DUMMYFUNCTION("""COMPUTED_VALUE"""),"-")</f>
        <v>-</v>
      </c>
      <c r="AK39" s="55" t="str">
        <f ca="1">IFERROR(__xludf.DUMMYFUNCTION("""COMPUTED_VALUE"""),"-")</f>
        <v>-</v>
      </c>
      <c r="AL39" s="55" t="str">
        <f ca="1">IFERROR(__xludf.DUMMYFUNCTION("""COMPUTED_VALUE"""),"SERGIO RICARDO REZENDE FERREIRA")</f>
        <v>SERGIO RICARDO REZENDE FERREIRA</v>
      </c>
      <c r="AM39" s="55">
        <f ca="1">IFERROR(__xludf.DUMMYFUNCTION("""COMPUTED_VALUE"""),2025)</f>
        <v>2025</v>
      </c>
      <c r="AN39" s="55"/>
    </row>
    <row r="40" spans="1:40" ht="14" x14ac:dyDescent="0.35">
      <c r="A40" s="55" t="str">
        <f t="shared" ca="1" si="0"/>
        <v xml:space="preserve"> DAMIÃO/ESCOLA MUNICIPAL ALEXANDRE DINIZ DA PENHA/CAPRINOCULTOR/NOITE</v>
      </c>
      <c r="B40" s="55" t="str">
        <f ca="1">IFERROR(__xludf.DUMMYFUNCTION("""COMPUTED_VALUE"""),"00000001403")</f>
        <v>00000001403</v>
      </c>
      <c r="C40" s="55" t="str">
        <f ca="1">IFERROR(__xludf.DUMMYFUNCTION("""COMPUTED_VALUE"""),"T-CAPRINOCULTOR/00000001403")</f>
        <v>T-CAPRINOCULTOR/00000001403</v>
      </c>
      <c r="D40" s="56" t="str">
        <f ca="1">IFERROR(__xludf.DUMMYFUNCTION("""COMPUTED_VALUE"""),"https://docs.google.com/spreadsheets/d/1swPcQ91oYK-WQTcmqBtlED3EYP9xRXUADeSoxNV4xFY/edit?usp=drivesdk")</f>
        <v>https://docs.google.com/spreadsheets/d/1swPcQ91oYK-WQTcmqBtlED3EYP9xRXUADeSoxNV4xFY/edit?usp=drivesdk</v>
      </c>
      <c r="E40" s="55" t="str">
        <f ca="1">IFERROR(__xludf.DUMMYFUNCTION("""COMPUTED_VALUE"""),"17 - PARAIBATEC FIC")</f>
        <v>17 - PARAIBATEC FIC</v>
      </c>
      <c r="F40" s="55" t="str">
        <f ca="1">IFERROR(__xludf.DUMMYFUNCTION("""COMPUTED_VALUE"""),"PARAIBATEC FIC")</f>
        <v>PARAIBATEC FIC</v>
      </c>
      <c r="G40" s="55" t="str">
        <f ca="1">IFERROR(__xludf.DUMMYFUNCTION("""COMPUTED_VALUE"""),"01 - PARAIBATEC")</f>
        <v>01 - PARAIBATEC</v>
      </c>
      <c r="H40" s="55" t="str">
        <f ca="1">IFERROR(__xludf.DUMMYFUNCTION("""COMPUTED_VALUE"""),"PARAIBATEC")</f>
        <v>PARAIBATEC</v>
      </c>
      <c r="I40" s="55" t="str">
        <f ca="1">IFERROR(__xludf.DUMMYFUNCTION("""COMPUTED_VALUE"""),"510 - ESCOLA MUNICIPAL ALEXANDRE DINIZ DA PENHA")</f>
        <v>510 - ESCOLA MUNICIPAL ALEXANDRE DINIZ DA PENHA</v>
      </c>
      <c r="J40" s="55" t="str">
        <f ca="1">IFERROR(__xludf.DUMMYFUNCTION("""COMPUTED_VALUE""")," DAMIÃO")</f>
        <v xml:space="preserve"> DAMIÃO</v>
      </c>
      <c r="K40" s="55"/>
      <c r="L40" s="55"/>
      <c r="M40" s="55" t="str">
        <f ca="1">IFERROR(__xludf.DUMMYFUNCTION("""COMPUTED_VALUE"""),"ESCOLA MUNICIPAL ALEXANDRE DINIZ DA PENHA")</f>
        <v>ESCOLA MUNICIPAL ALEXANDRE DINIZ DA PENHA</v>
      </c>
      <c r="N40" s="55">
        <f ca="1">IFERROR(__xludf.DUMMYFUNCTION("""COMPUTED_VALUE"""),264122)</f>
        <v>264122</v>
      </c>
      <c r="O40" s="55" t="str">
        <f ca="1">IFERROR(__xludf.DUMMYFUNCTION("""COMPUTED_VALUE"""),"RECURSOS NATURAIS")</f>
        <v>RECURSOS NATURAIS</v>
      </c>
      <c r="P40" s="55" t="str">
        <f ca="1">IFERROR(__xludf.DUMMYFUNCTION("""COMPUTED_VALUE"""),"CAPRINOCULTOR")</f>
        <v>CAPRINOCULTOR</v>
      </c>
      <c r="Q40" s="55" t="str">
        <f ca="1">IFERROR(__xludf.DUMMYFUNCTION("""COMPUTED_VALUE"""),"FIC")</f>
        <v>FIC</v>
      </c>
      <c r="R40" s="55">
        <f ca="1">IFERROR(__xludf.DUMMYFUNCTION("""COMPUTED_VALUE"""),200)</f>
        <v>200</v>
      </c>
      <c r="S40" s="55" t="str">
        <f ca="1">IFERROR(__xludf.DUMMYFUNCTION("""COMPUTED_VALUE"""),"NOITE")</f>
        <v>NOITE</v>
      </c>
      <c r="T40" s="57">
        <f ca="1">IFERROR(__xludf.DUMMYFUNCTION("""COMPUTED_VALUE"""),45691)</f>
        <v>45691</v>
      </c>
      <c r="U40" s="57">
        <f ca="1">IFERROR(__xludf.DUMMYFUNCTION("""COMPUTED_VALUE"""),45812)</f>
        <v>45812</v>
      </c>
      <c r="V40" s="55"/>
      <c r="W40" s="55"/>
      <c r="X40" s="55"/>
      <c r="Y40" s="55" t="str">
        <f ca="1">IFERROR(__xludf.DUMMYFUNCTION("""COMPUTED_VALUE"""),"EM OFERTA")</f>
        <v>EM OFERTA</v>
      </c>
      <c r="Z40" s="55"/>
      <c r="AA40" s="55"/>
      <c r="AB40" s="55"/>
      <c r="AC40" s="55"/>
      <c r="AD40" s="55"/>
      <c r="AE40" s="55"/>
      <c r="AF40" s="55"/>
      <c r="AG40" s="55"/>
      <c r="AH40" s="55" t="str">
        <f ca="1">IFERROR(__xludf.DUMMYFUNCTION("""COMPUTED_VALUE"""),"-")</f>
        <v>-</v>
      </c>
      <c r="AI40" s="55" t="str">
        <f ca="1">IFERROR(__xludf.DUMMYFUNCTION("""COMPUTED_VALUE"""),"JOSE FRANÇA NASCIMENTO")</f>
        <v>JOSE FRANÇA NASCIMENTO</v>
      </c>
      <c r="AJ40" s="55" t="str">
        <f ca="1">IFERROR(__xludf.DUMMYFUNCTION("""COMPUTED_VALUE"""),"-")</f>
        <v>-</v>
      </c>
      <c r="AK40" s="55" t="str">
        <f ca="1">IFERROR(__xludf.DUMMYFUNCTION("""COMPUTED_VALUE"""),"-")</f>
        <v>-</v>
      </c>
      <c r="AL40" s="55" t="str">
        <f ca="1">IFERROR(__xludf.DUMMYFUNCTION("""COMPUTED_VALUE"""),"ALEX COSTA DOS SANTOS")</f>
        <v>ALEX COSTA DOS SANTOS</v>
      </c>
      <c r="AM40" s="55">
        <f ca="1">IFERROR(__xludf.DUMMYFUNCTION("""COMPUTED_VALUE"""),2025)</f>
        <v>2025</v>
      </c>
      <c r="AN40" s="55"/>
    </row>
    <row r="41" spans="1:40" ht="14" x14ac:dyDescent="0.35">
      <c r="A41" s="55" t="str">
        <f t="shared" ca="1" si="0"/>
        <v xml:space="preserve"> DIAMANTE/ESCOLA MUNICIPAL ARLINDO BATISTA PALITOT/AGRICULTOR ORGÂNICO/NOITE</v>
      </c>
      <c r="B41" s="55" t="str">
        <f ca="1">IFERROR(__xludf.DUMMYFUNCTION("""COMPUTED_VALUE"""),"00000001404")</f>
        <v>00000001404</v>
      </c>
      <c r="C41" s="55" t="str">
        <f ca="1">IFERROR(__xludf.DUMMYFUNCTION("""COMPUTED_VALUE"""),"T-AGRICULTOR ORGÂNICO/00000001404")</f>
        <v>T-AGRICULTOR ORGÂNICO/00000001404</v>
      </c>
      <c r="D41" s="56" t="str">
        <f ca="1">IFERROR(__xludf.DUMMYFUNCTION("""COMPUTED_VALUE"""),"https://docs.google.com/spreadsheets/d/1C0yLoC66PTzazCJLEKK5hJQCufYnqQJ4RKNjcu5Wmgc/edit?usp=drivesdk")</f>
        <v>https://docs.google.com/spreadsheets/d/1C0yLoC66PTzazCJLEKK5hJQCufYnqQJ4RKNjcu5Wmgc/edit?usp=drivesdk</v>
      </c>
      <c r="E41" s="55" t="str">
        <f ca="1">IFERROR(__xludf.DUMMYFUNCTION("""COMPUTED_VALUE"""),"17 - PARAIBATEC FIC")</f>
        <v>17 - PARAIBATEC FIC</v>
      </c>
      <c r="F41" s="55" t="str">
        <f ca="1">IFERROR(__xludf.DUMMYFUNCTION("""COMPUTED_VALUE"""),"PARAIBATEC FIC")</f>
        <v>PARAIBATEC FIC</v>
      </c>
      <c r="G41" s="55" t="str">
        <f ca="1">IFERROR(__xludf.DUMMYFUNCTION("""COMPUTED_VALUE"""),"01 - PARAIBATEC")</f>
        <v>01 - PARAIBATEC</v>
      </c>
      <c r="H41" s="55" t="str">
        <f ca="1">IFERROR(__xludf.DUMMYFUNCTION("""COMPUTED_VALUE"""),"PARAIBATEC")</f>
        <v>PARAIBATEC</v>
      </c>
      <c r="I41" s="55" t="str">
        <f ca="1">IFERROR(__xludf.DUMMYFUNCTION("""COMPUTED_VALUE"""),"511 - ESCOLA MUNICIPAL ARLINDO BATISTA PALITOT")</f>
        <v>511 - ESCOLA MUNICIPAL ARLINDO BATISTA PALITOT</v>
      </c>
      <c r="J41" s="55" t="str">
        <f ca="1">IFERROR(__xludf.DUMMYFUNCTION("""COMPUTED_VALUE""")," DIAMANTE")</f>
        <v xml:space="preserve"> DIAMANTE</v>
      </c>
      <c r="K41" s="55"/>
      <c r="L41" s="55"/>
      <c r="M41" s="55" t="str">
        <f ca="1">IFERROR(__xludf.DUMMYFUNCTION("""COMPUTED_VALUE"""),"ESCOLA MUNICIPAL ARLINDO BATISTA PALITOT")</f>
        <v>ESCOLA MUNICIPAL ARLINDO BATISTA PALITOT</v>
      </c>
      <c r="N41" s="55">
        <f ca="1">IFERROR(__xludf.DUMMYFUNCTION("""COMPUTED_VALUE"""),221106)</f>
        <v>221106</v>
      </c>
      <c r="O41" s="55" t="str">
        <f ca="1">IFERROR(__xludf.DUMMYFUNCTION("""COMPUTED_VALUE"""),"RECURSOS NATURAIS")</f>
        <v>RECURSOS NATURAIS</v>
      </c>
      <c r="P41" s="55" t="str">
        <f ca="1">IFERROR(__xludf.DUMMYFUNCTION("""COMPUTED_VALUE"""),"AGRICULTOR ORGÂNICO")</f>
        <v>AGRICULTOR ORGÂNICO</v>
      </c>
      <c r="Q41" s="55" t="str">
        <f ca="1">IFERROR(__xludf.DUMMYFUNCTION("""COMPUTED_VALUE"""),"FIC")</f>
        <v>FIC</v>
      </c>
      <c r="R41" s="55">
        <f ca="1">IFERROR(__xludf.DUMMYFUNCTION("""COMPUTED_VALUE"""),160)</f>
        <v>160</v>
      </c>
      <c r="S41" s="55" t="str">
        <f ca="1">IFERROR(__xludf.DUMMYFUNCTION("""COMPUTED_VALUE"""),"NOITE")</f>
        <v>NOITE</v>
      </c>
      <c r="T41" s="57">
        <f ca="1">IFERROR(__xludf.DUMMYFUNCTION("""COMPUTED_VALUE"""),45722)</f>
        <v>45722</v>
      </c>
      <c r="U41" s="57">
        <f ca="1">IFERROR(__xludf.DUMMYFUNCTION("""COMPUTED_VALUE"""),45849)</f>
        <v>45849</v>
      </c>
      <c r="V41" s="55"/>
      <c r="W41" s="55"/>
      <c r="X41" s="55"/>
      <c r="Y41" s="55" t="str">
        <f ca="1">IFERROR(__xludf.DUMMYFUNCTION("""COMPUTED_VALUE"""),"EM OFERTA")</f>
        <v>EM OFERTA</v>
      </c>
      <c r="Z41" s="55"/>
      <c r="AA41" s="55"/>
      <c r="AB41" s="55"/>
      <c r="AC41" s="55"/>
      <c r="AD41" s="55"/>
      <c r="AE41" s="55"/>
      <c r="AF41" s="55"/>
      <c r="AG41" s="55"/>
      <c r="AH41" s="55" t="str">
        <f ca="1">IFERROR(__xludf.DUMMYFUNCTION("""COMPUTED_VALUE"""),"-")</f>
        <v>-</v>
      </c>
      <c r="AI41" s="55" t="str">
        <f ca="1">IFERROR(__xludf.DUMMYFUNCTION("""COMPUTED_VALUE"""),"ROBERLANDIA DE ABRANTES GADELHA SILVA")</f>
        <v>ROBERLANDIA DE ABRANTES GADELHA SILVA</v>
      </c>
      <c r="AJ41" s="55" t="str">
        <f ca="1">IFERROR(__xludf.DUMMYFUNCTION("""COMPUTED_VALUE"""),"-")</f>
        <v>-</v>
      </c>
      <c r="AK41" s="55" t="str">
        <f ca="1">IFERROR(__xludf.DUMMYFUNCTION("""COMPUTED_VALUE"""),"-")</f>
        <v>-</v>
      </c>
      <c r="AL41" s="55" t="str">
        <f ca="1">IFERROR(__xludf.DUMMYFUNCTION("""COMPUTED_VALUE"""),"MARIA DA CONCEIÇAO LEITE DA SILVA")</f>
        <v>MARIA DA CONCEIÇAO LEITE DA SILVA</v>
      </c>
      <c r="AM41" s="55">
        <f ca="1">IFERROR(__xludf.DUMMYFUNCTION("""COMPUTED_VALUE"""),2025)</f>
        <v>2025</v>
      </c>
      <c r="AN41" s="55"/>
    </row>
    <row r="42" spans="1:40" ht="14" x14ac:dyDescent="0.35">
      <c r="A42" s="55" t="str">
        <f t="shared" ca="1" si="0"/>
        <v xml:space="preserve"> DONA INÊS/ESCOLA MUNICIPAL DE ENSINO FUNDAMENTAL SENADOR HUMBERTO LUCENA/AUXILIAR PEDAGOGICO/NOITE</v>
      </c>
      <c r="B42" s="55" t="str">
        <f ca="1">IFERROR(__xludf.DUMMYFUNCTION("""COMPUTED_VALUE"""),"00000001405")</f>
        <v>00000001405</v>
      </c>
      <c r="C42" s="55" t="str">
        <f ca="1">IFERROR(__xludf.DUMMYFUNCTION("""COMPUTED_VALUE"""),"T-AUXILIAR PEDAGOGICO/00000001405")</f>
        <v>T-AUXILIAR PEDAGOGICO/00000001405</v>
      </c>
      <c r="D42" s="56" t="str">
        <f ca="1">IFERROR(__xludf.DUMMYFUNCTION("""COMPUTED_VALUE"""),"https://docs.google.com/spreadsheets/d/1a3ujvQyKz2rcZ0VsHwrELEdxRBUAwTpAAF30xXAbcrU/edit?usp=drivesdk")</f>
        <v>https://docs.google.com/spreadsheets/d/1a3ujvQyKz2rcZ0VsHwrELEdxRBUAwTpAAF30xXAbcrU/edit?usp=drivesdk</v>
      </c>
      <c r="E42" s="55" t="str">
        <f ca="1">IFERROR(__xludf.DUMMYFUNCTION("""COMPUTED_VALUE"""),"17 - PARAIBATEC FIC")</f>
        <v>17 - PARAIBATEC FIC</v>
      </c>
      <c r="F42" s="55" t="str">
        <f ca="1">IFERROR(__xludf.DUMMYFUNCTION("""COMPUTED_VALUE"""),"PARAIBATEC FIC")</f>
        <v>PARAIBATEC FIC</v>
      </c>
      <c r="G42" s="55" t="str">
        <f ca="1">IFERROR(__xludf.DUMMYFUNCTION("""COMPUTED_VALUE"""),"01 - PARAIBATEC")</f>
        <v>01 - PARAIBATEC</v>
      </c>
      <c r="H42" s="55" t="str">
        <f ca="1">IFERROR(__xludf.DUMMYFUNCTION("""COMPUTED_VALUE"""),"PARAIBATEC")</f>
        <v>PARAIBATEC</v>
      </c>
      <c r="I42" s="55" t="str">
        <f ca="1">IFERROR(__xludf.DUMMYFUNCTION("""COMPUTED_VALUE"""),"512 - ESCOLA MUNICIPAL DE ENSINO FUNDAMENTAL SENADOR HUMBERTO LUCENA")</f>
        <v>512 - ESCOLA MUNICIPAL DE ENSINO FUNDAMENTAL SENADOR HUMBERTO LUCENA</v>
      </c>
      <c r="J42" s="55" t="str">
        <f ca="1">IFERROR(__xludf.DUMMYFUNCTION("""COMPUTED_VALUE""")," DONA INÊS")</f>
        <v xml:space="preserve"> DONA INÊS</v>
      </c>
      <c r="K42" s="55"/>
      <c r="L42" s="55"/>
      <c r="M42" s="55" t="str">
        <f ca="1">IFERROR(__xludf.DUMMYFUNCTION("""COMPUTED_VALUE"""),"ESCOLA MUNICIPAL DE ENSINO FUNDAMENTAL SENADOR HUMBERTO LUCENA")</f>
        <v>ESCOLA MUNICIPAL DE ENSINO FUNDAMENTAL SENADOR HUMBERTO LUCENA</v>
      </c>
      <c r="N42" s="55">
        <f ca="1">IFERROR(__xludf.DUMMYFUNCTION("""COMPUTED_VALUE"""),273098)</f>
        <v>273098</v>
      </c>
      <c r="O42" s="55" t="str">
        <f ca="1">IFERROR(__xludf.DUMMYFUNCTION("""COMPUTED_VALUE"""),"DESENVOLVIMENTO EDUCACIONAL E SOCIAL")</f>
        <v>DESENVOLVIMENTO EDUCACIONAL E SOCIAL</v>
      </c>
      <c r="P42" s="55" t="str">
        <f ca="1">IFERROR(__xludf.DUMMYFUNCTION("""COMPUTED_VALUE"""),"AUXILIAR PEDAGOGICO")</f>
        <v>AUXILIAR PEDAGOGICO</v>
      </c>
      <c r="Q42" s="55" t="str">
        <f ca="1">IFERROR(__xludf.DUMMYFUNCTION("""COMPUTED_VALUE"""),"FIC")</f>
        <v>FIC</v>
      </c>
      <c r="R42" s="55">
        <f ca="1">IFERROR(__xludf.DUMMYFUNCTION("""COMPUTED_VALUE"""),200)</f>
        <v>200</v>
      </c>
      <c r="S42" s="55" t="str">
        <f ca="1">IFERROR(__xludf.DUMMYFUNCTION("""COMPUTED_VALUE"""),"NOITE")</f>
        <v>NOITE</v>
      </c>
      <c r="T42" s="57">
        <f ca="1">IFERROR(__xludf.DUMMYFUNCTION("""COMPUTED_VALUE"""),45691)</f>
        <v>45691</v>
      </c>
      <c r="U42" s="57">
        <f ca="1">IFERROR(__xludf.DUMMYFUNCTION("""COMPUTED_VALUE"""),45792)</f>
        <v>45792</v>
      </c>
      <c r="V42" s="55"/>
      <c r="W42" s="55"/>
      <c r="X42" s="55"/>
      <c r="Y42" s="55" t="str">
        <f ca="1">IFERROR(__xludf.DUMMYFUNCTION("""COMPUTED_VALUE"""),"EM OFERTA")</f>
        <v>EM OFERTA</v>
      </c>
      <c r="Z42" s="55"/>
      <c r="AA42" s="55"/>
      <c r="AB42" s="55"/>
      <c r="AC42" s="55"/>
      <c r="AD42" s="55"/>
      <c r="AE42" s="55"/>
      <c r="AF42" s="55"/>
      <c r="AG42" s="55"/>
      <c r="AH42" s="55" t="str">
        <f ca="1">IFERROR(__xludf.DUMMYFUNCTION("""COMPUTED_VALUE"""),"-")</f>
        <v>-</v>
      </c>
      <c r="AI42" s="55" t="str">
        <f ca="1">IFERROR(__xludf.DUMMYFUNCTION("""COMPUTED_VALUE"""),"CARLOS GERALDO DE OLIVEIRA SOUSA")</f>
        <v>CARLOS GERALDO DE OLIVEIRA SOUSA</v>
      </c>
      <c r="AJ42" s="55" t="str">
        <f ca="1">IFERROR(__xludf.DUMMYFUNCTION("""COMPUTED_VALUE"""),"-")</f>
        <v>-</v>
      </c>
      <c r="AK42" s="55" t="str">
        <f ca="1">IFERROR(__xludf.DUMMYFUNCTION("""COMPUTED_VALUE"""),"-")</f>
        <v>-</v>
      </c>
      <c r="AL42" s="55" t="str">
        <f ca="1">IFERROR(__xludf.DUMMYFUNCTION("""COMPUTED_VALUE"""),"LENISE MARIA DA SILVA")</f>
        <v>LENISE MARIA DA SILVA</v>
      </c>
      <c r="AM42" s="55">
        <f ca="1">IFERROR(__xludf.DUMMYFUNCTION("""COMPUTED_VALUE"""),2025)</f>
        <v>2025</v>
      </c>
      <c r="AN42" s="55"/>
    </row>
    <row r="43" spans="1:40" ht="14" x14ac:dyDescent="0.35">
      <c r="A43" s="55" t="str">
        <f t="shared" ca="1" si="0"/>
        <v xml:space="preserve"> ESPERANÇA/ESCOLA DOM MANUEL PALMEIRA DA ROCHA/CONFEITEIRO/NOITE</v>
      </c>
      <c r="B43" s="55" t="str">
        <f ca="1">IFERROR(__xludf.DUMMYFUNCTION("""COMPUTED_VALUE"""),"00000001406")</f>
        <v>00000001406</v>
      </c>
      <c r="C43" s="55" t="str">
        <f ca="1">IFERROR(__xludf.DUMMYFUNCTION("""COMPUTED_VALUE"""),"T-CONFEITEIRO/00000001406")</f>
        <v>T-CONFEITEIRO/00000001406</v>
      </c>
      <c r="D43" s="56" t="str">
        <f ca="1">IFERROR(__xludf.DUMMYFUNCTION("""COMPUTED_VALUE"""),"https://docs.google.com/spreadsheets/d/1R06bjq7aLcNMIZjcD44myVOxxgFjNbaimnUiZTP1f1g/edit?usp=drivesdk")</f>
        <v>https://docs.google.com/spreadsheets/d/1R06bjq7aLcNMIZjcD44myVOxxgFjNbaimnUiZTP1f1g/edit?usp=drivesdk</v>
      </c>
      <c r="E43" s="55" t="str">
        <f ca="1">IFERROR(__xludf.DUMMYFUNCTION("""COMPUTED_VALUE"""),"17 - PARAIBATEC FIC")</f>
        <v>17 - PARAIBATEC FIC</v>
      </c>
      <c r="F43" s="55" t="str">
        <f ca="1">IFERROR(__xludf.DUMMYFUNCTION("""COMPUTED_VALUE"""),"PARAIBATEC FIC")</f>
        <v>PARAIBATEC FIC</v>
      </c>
      <c r="G43" s="55" t="str">
        <f ca="1">IFERROR(__xludf.DUMMYFUNCTION("""COMPUTED_VALUE"""),"01 - PARAIBATEC")</f>
        <v>01 - PARAIBATEC</v>
      </c>
      <c r="H43" s="55" t="str">
        <f ca="1">IFERROR(__xludf.DUMMYFUNCTION("""COMPUTED_VALUE"""),"PARAIBATEC")</f>
        <v>PARAIBATEC</v>
      </c>
      <c r="I43" s="55" t="str">
        <f ca="1">IFERROR(__xludf.DUMMYFUNCTION("""COMPUTED_VALUE"""),"366 - ESCOLA DOM MANUEL PALMEIRA DA ROCHA")</f>
        <v>366 - ESCOLA DOM MANUEL PALMEIRA DA ROCHA</v>
      </c>
      <c r="J43" s="55" t="str">
        <f ca="1">IFERROR(__xludf.DUMMYFUNCTION("""COMPUTED_VALUE""")," ESPERANÇA")</f>
        <v xml:space="preserve"> ESPERANÇA</v>
      </c>
      <c r="K43" s="55"/>
      <c r="L43" s="55"/>
      <c r="M43" s="55" t="str">
        <f ca="1">IFERROR(__xludf.DUMMYFUNCTION("""COMPUTED_VALUE"""),"ESCOLA DOM MANUEL PALMEIRA DA ROCHA")</f>
        <v>ESCOLA DOM MANUEL PALMEIRA DA ROCHA</v>
      </c>
      <c r="N43" s="55">
        <f ca="1">IFERROR(__xludf.DUMMYFUNCTION("""COMPUTED_VALUE"""),221072)</f>
        <v>221072</v>
      </c>
      <c r="O43" s="55" t="str">
        <f ca="1">IFERROR(__xludf.DUMMYFUNCTION("""COMPUTED_VALUE"""),"PRODUÇAO ALIMENTICIA")</f>
        <v>PRODUÇAO ALIMENTICIA</v>
      </c>
      <c r="P43" s="55" t="str">
        <f ca="1">IFERROR(__xludf.DUMMYFUNCTION("""COMPUTED_VALUE"""),"CONFEITEIRO")</f>
        <v>CONFEITEIRO</v>
      </c>
      <c r="Q43" s="55" t="str">
        <f ca="1">IFERROR(__xludf.DUMMYFUNCTION("""COMPUTED_VALUE"""),"FIC")</f>
        <v>FIC</v>
      </c>
      <c r="R43" s="55">
        <f ca="1">IFERROR(__xludf.DUMMYFUNCTION("""COMPUTED_VALUE"""),200)</f>
        <v>200</v>
      </c>
      <c r="S43" s="55" t="str">
        <f ca="1">IFERROR(__xludf.DUMMYFUNCTION("""COMPUTED_VALUE"""),"NOITE")</f>
        <v>NOITE</v>
      </c>
      <c r="T43" s="57">
        <f ca="1">IFERROR(__xludf.DUMMYFUNCTION("""COMPUTED_VALUE"""),45692)</f>
        <v>45692</v>
      </c>
      <c r="U43" s="57">
        <f ca="1">IFERROR(__xludf.DUMMYFUNCTION("""COMPUTED_VALUE"""),45848)</f>
        <v>45848</v>
      </c>
      <c r="V43" s="55"/>
      <c r="W43" s="55"/>
      <c r="X43" s="55"/>
      <c r="Y43" s="55" t="str">
        <f ca="1">IFERROR(__xludf.DUMMYFUNCTION("""COMPUTED_VALUE"""),"EM OFERTA")</f>
        <v>EM OFERTA</v>
      </c>
      <c r="Z43" s="55"/>
      <c r="AA43" s="55"/>
      <c r="AB43" s="55"/>
      <c r="AC43" s="55"/>
      <c r="AD43" s="55"/>
      <c r="AE43" s="55"/>
      <c r="AF43" s="55"/>
      <c r="AG43" s="55"/>
      <c r="AH43" s="55" t="str">
        <f ca="1">IFERROR(__xludf.DUMMYFUNCTION("""COMPUTED_VALUE"""),"-")</f>
        <v>-</v>
      </c>
      <c r="AI43" s="55" t="str">
        <f ca="1">IFERROR(__xludf.DUMMYFUNCTION("""COMPUTED_VALUE"""),"PAULO MAYOVTCH MARTINS")</f>
        <v>PAULO MAYOVTCH MARTINS</v>
      </c>
      <c r="AJ43" s="55" t="str">
        <f ca="1">IFERROR(__xludf.DUMMYFUNCTION("""COMPUTED_VALUE"""),"-")</f>
        <v>-</v>
      </c>
      <c r="AK43" s="55" t="str">
        <f ca="1">IFERROR(__xludf.DUMMYFUNCTION("""COMPUTED_VALUE"""),"-")</f>
        <v>-</v>
      </c>
      <c r="AL43" s="55" t="str">
        <f ca="1">IFERROR(__xludf.DUMMYFUNCTION("""COMPUTED_VALUE"""),"ALYSSON EMANUEL BATISTA DUARTE")</f>
        <v>ALYSSON EMANUEL BATISTA DUARTE</v>
      </c>
      <c r="AM43" s="55">
        <f ca="1">IFERROR(__xludf.DUMMYFUNCTION("""COMPUTED_VALUE"""),2025)</f>
        <v>2025</v>
      </c>
      <c r="AN43" s="55"/>
    </row>
    <row r="44" spans="1:40" ht="14" x14ac:dyDescent="0.35">
      <c r="A44" s="55" t="str">
        <f t="shared" ca="1" si="0"/>
        <v xml:space="preserve"> ESPERANÇA/ESCOLA DOM MANUEL PALMEIRA DA ROCHA/MECANICO DE MOTOCICLETAS/NOITE</v>
      </c>
      <c r="B44" s="55" t="str">
        <f ca="1">IFERROR(__xludf.DUMMYFUNCTION("""COMPUTED_VALUE"""),"00000001407")</f>
        <v>00000001407</v>
      </c>
      <c r="C44" s="55" t="str">
        <f ca="1">IFERROR(__xludf.DUMMYFUNCTION("""COMPUTED_VALUE"""),"T-MECANICO DE MOTOCICLETAS/00000001407")</f>
        <v>T-MECANICO DE MOTOCICLETAS/00000001407</v>
      </c>
      <c r="D44" s="56" t="str">
        <f ca="1">IFERROR(__xludf.DUMMYFUNCTION("""COMPUTED_VALUE"""),"https://docs.google.com/spreadsheets/d/1WAQc-X_12Yj7uXeKpKLjJqE1LD5qfUIg1oVgOnd2hAU/edit?usp=drivesdk")</f>
        <v>https://docs.google.com/spreadsheets/d/1WAQc-X_12Yj7uXeKpKLjJqE1LD5qfUIg1oVgOnd2hAU/edit?usp=drivesdk</v>
      </c>
      <c r="E44" s="55" t="str">
        <f ca="1">IFERROR(__xludf.DUMMYFUNCTION("""COMPUTED_VALUE"""),"17 - PARAIBATEC FIC")</f>
        <v>17 - PARAIBATEC FIC</v>
      </c>
      <c r="F44" s="55" t="str">
        <f ca="1">IFERROR(__xludf.DUMMYFUNCTION("""COMPUTED_VALUE"""),"PARAIBATEC FIC")</f>
        <v>PARAIBATEC FIC</v>
      </c>
      <c r="G44" s="55" t="str">
        <f ca="1">IFERROR(__xludf.DUMMYFUNCTION("""COMPUTED_VALUE"""),"01 - PARAIBATEC")</f>
        <v>01 - PARAIBATEC</v>
      </c>
      <c r="H44" s="55" t="str">
        <f ca="1">IFERROR(__xludf.DUMMYFUNCTION("""COMPUTED_VALUE"""),"PARAIBATEC")</f>
        <v>PARAIBATEC</v>
      </c>
      <c r="I44" s="55" t="str">
        <f ca="1">IFERROR(__xludf.DUMMYFUNCTION("""COMPUTED_VALUE"""),"366 - ESCOLA DOM MANUEL PALMEIRA DA ROCHA")</f>
        <v>366 - ESCOLA DOM MANUEL PALMEIRA DA ROCHA</v>
      </c>
      <c r="J44" s="55" t="str">
        <f ca="1">IFERROR(__xludf.DUMMYFUNCTION("""COMPUTED_VALUE""")," ESPERANÇA")</f>
        <v xml:space="preserve"> ESPERANÇA</v>
      </c>
      <c r="K44" s="55"/>
      <c r="L44" s="55"/>
      <c r="M44" s="55" t="str">
        <f ca="1">IFERROR(__xludf.DUMMYFUNCTION("""COMPUTED_VALUE"""),"ESCOLA DOM MANUEL PALMEIRA DA ROCHA")</f>
        <v>ESCOLA DOM MANUEL PALMEIRA DA ROCHA</v>
      </c>
      <c r="N44" s="55">
        <f ca="1">IFERROR(__xludf.DUMMYFUNCTION("""COMPUTED_VALUE"""),221349)</f>
        <v>221349</v>
      </c>
      <c r="O44" s="55" t="str">
        <f ca="1">IFERROR(__xludf.DUMMYFUNCTION("""COMPUTED_VALUE"""),"CONTROLE E PROCESSOS INDUSTRIAIS")</f>
        <v>CONTROLE E PROCESSOS INDUSTRIAIS</v>
      </c>
      <c r="P44" s="55" t="str">
        <f ca="1">IFERROR(__xludf.DUMMYFUNCTION("""COMPUTED_VALUE"""),"MECANICO DE MOTOCICLETAS")</f>
        <v>MECANICO DE MOTOCICLETAS</v>
      </c>
      <c r="Q44" s="55" t="str">
        <f ca="1">IFERROR(__xludf.DUMMYFUNCTION("""COMPUTED_VALUE"""),"FIC")</f>
        <v>FIC</v>
      </c>
      <c r="R44" s="55">
        <f ca="1">IFERROR(__xludf.DUMMYFUNCTION("""COMPUTED_VALUE"""),280)</f>
        <v>280</v>
      </c>
      <c r="S44" s="55" t="str">
        <f ca="1">IFERROR(__xludf.DUMMYFUNCTION("""COMPUTED_VALUE"""),"NOITE")</f>
        <v>NOITE</v>
      </c>
      <c r="T44" s="57">
        <f ca="1">IFERROR(__xludf.DUMMYFUNCTION("""COMPUTED_VALUE"""),45726)</f>
        <v>45726</v>
      </c>
      <c r="U44" s="57">
        <f ca="1">IFERROR(__xludf.DUMMYFUNCTION("""COMPUTED_VALUE"""),45868)</f>
        <v>45868</v>
      </c>
      <c r="V44" s="55"/>
      <c r="W44" s="55"/>
      <c r="X44" s="55"/>
      <c r="Y44" s="55" t="str">
        <f ca="1">IFERROR(__xludf.DUMMYFUNCTION("""COMPUTED_VALUE"""),"EM OFERTA")</f>
        <v>EM OFERTA</v>
      </c>
      <c r="Z44" s="55"/>
      <c r="AA44" s="55"/>
      <c r="AB44" s="55"/>
      <c r="AC44" s="55"/>
      <c r="AD44" s="55"/>
      <c r="AE44" s="55"/>
      <c r="AF44" s="55"/>
      <c r="AG44" s="55"/>
      <c r="AH44" s="55" t="str">
        <f ca="1">IFERROR(__xludf.DUMMYFUNCTION("""COMPUTED_VALUE"""),"-")</f>
        <v>-</v>
      </c>
      <c r="AI44" s="55" t="str">
        <f ca="1">IFERROR(__xludf.DUMMYFUNCTION("""COMPUTED_VALUE"""),"PAULO MAYOVTCH MARTINS")</f>
        <v>PAULO MAYOVTCH MARTINS</v>
      </c>
      <c r="AJ44" s="55" t="str">
        <f ca="1">IFERROR(__xludf.DUMMYFUNCTION("""COMPUTED_VALUE"""),"-")</f>
        <v>-</v>
      </c>
      <c r="AK44" s="55" t="str">
        <f ca="1">IFERROR(__xludf.DUMMYFUNCTION("""COMPUTED_VALUE"""),"-")</f>
        <v>-</v>
      </c>
      <c r="AL44" s="55" t="str">
        <f ca="1">IFERROR(__xludf.DUMMYFUNCTION("""COMPUTED_VALUE"""),"ALYSSON EMANUEL BATISTA DUARTE")</f>
        <v>ALYSSON EMANUEL BATISTA DUARTE</v>
      </c>
      <c r="AM44" s="55">
        <f ca="1">IFERROR(__xludf.DUMMYFUNCTION("""COMPUTED_VALUE"""),2025)</f>
        <v>2025</v>
      </c>
      <c r="AN44" s="55"/>
    </row>
    <row r="45" spans="1:40" ht="14" x14ac:dyDescent="0.35">
      <c r="A45" s="55" t="str">
        <f t="shared" ca="1" si="0"/>
        <v xml:space="preserve"> GADO BRAVO/EMEF PADRE GODOFREDO JOOSTEN/INSPETOR ESCOLAR/NOITE</v>
      </c>
      <c r="B45" s="55" t="str">
        <f ca="1">IFERROR(__xludf.DUMMYFUNCTION("""COMPUTED_VALUE"""),"00000001408")</f>
        <v>00000001408</v>
      </c>
      <c r="C45" s="55" t="str">
        <f ca="1">IFERROR(__xludf.DUMMYFUNCTION("""COMPUTED_VALUE"""),"T-INSPETOR ESCOLAR/00000001408")</f>
        <v>T-INSPETOR ESCOLAR/00000001408</v>
      </c>
      <c r="D45" s="56" t="str">
        <f ca="1">IFERROR(__xludf.DUMMYFUNCTION("""COMPUTED_VALUE"""),"https://docs.google.com/spreadsheets/d/14mShOqH8FUFuLgyCzKPAtEn-n1faCYjvxAP-vrHmFxw/edit?usp=drivesdk")</f>
        <v>https://docs.google.com/spreadsheets/d/14mShOqH8FUFuLgyCzKPAtEn-n1faCYjvxAP-vrHmFxw/edit?usp=drivesdk</v>
      </c>
      <c r="E45" s="55" t="str">
        <f ca="1">IFERROR(__xludf.DUMMYFUNCTION("""COMPUTED_VALUE"""),"17 - PARAIBATEC FIC")</f>
        <v>17 - PARAIBATEC FIC</v>
      </c>
      <c r="F45" s="55" t="str">
        <f ca="1">IFERROR(__xludf.DUMMYFUNCTION("""COMPUTED_VALUE"""),"PARAIBATEC FIC")</f>
        <v>PARAIBATEC FIC</v>
      </c>
      <c r="G45" s="55" t="str">
        <f ca="1">IFERROR(__xludf.DUMMYFUNCTION("""COMPUTED_VALUE"""),"01 - PARAIBATEC")</f>
        <v>01 - PARAIBATEC</v>
      </c>
      <c r="H45" s="55" t="str">
        <f ca="1">IFERROR(__xludf.DUMMYFUNCTION("""COMPUTED_VALUE"""),"PARAIBATEC")</f>
        <v>PARAIBATEC</v>
      </c>
      <c r="I45" s="55" t="str">
        <f ca="1">IFERROR(__xludf.DUMMYFUNCTION("""COMPUTED_VALUE"""),"513 - EMEF PADRE GODOFREDO JOOSTEN")</f>
        <v>513 - EMEF PADRE GODOFREDO JOOSTEN</v>
      </c>
      <c r="J45" s="55" t="str">
        <f ca="1">IFERROR(__xludf.DUMMYFUNCTION("""COMPUTED_VALUE""")," GADO BRAVO")</f>
        <v xml:space="preserve"> GADO BRAVO</v>
      </c>
      <c r="K45" s="55"/>
      <c r="L45" s="55"/>
      <c r="M45" s="55" t="str">
        <f ca="1">IFERROR(__xludf.DUMMYFUNCTION("""COMPUTED_VALUE"""),"EMEF PADRE GODOFREDO JOOSTEN")</f>
        <v>EMEF PADRE GODOFREDO JOOSTEN</v>
      </c>
      <c r="N45" s="55">
        <f ca="1">IFERROR(__xludf.DUMMYFUNCTION("""COMPUTED_VALUE"""),278101)</f>
        <v>278101</v>
      </c>
      <c r="O45" s="55" t="str">
        <f ca="1">IFERROR(__xludf.DUMMYFUNCTION("""COMPUTED_VALUE"""),"DESENVOLVIMENTO EDUCACIONAL E SOCIAL")</f>
        <v>DESENVOLVIMENTO EDUCACIONAL E SOCIAL</v>
      </c>
      <c r="P45" s="55" t="str">
        <f ca="1">IFERROR(__xludf.DUMMYFUNCTION("""COMPUTED_VALUE"""),"INSPETOR ESCOLAR")</f>
        <v>INSPETOR ESCOLAR</v>
      </c>
      <c r="Q45" s="55" t="str">
        <f ca="1">IFERROR(__xludf.DUMMYFUNCTION("""COMPUTED_VALUE"""),"FIC")</f>
        <v>FIC</v>
      </c>
      <c r="R45" s="55">
        <f ca="1">IFERROR(__xludf.DUMMYFUNCTION("""COMPUTED_VALUE"""),160)</f>
        <v>160</v>
      </c>
      <c r="S45" s="55" t="str">
        <f ca="1">IFERROR(__xludf.DUMMYFUNCTION("""COMPUTED_VALUE"""),"NOITE")</f>
        <v>NOITE</v>
      </c>
      <c r="T45" s="57">
        <f ca="1">IFERROR(__xludf.DUMMYFUNCTION("""COMPUTED_VALUE"""),45692)</f>
        <v>45692</v>
      </c>
      <c r="U45" s="57">
        <f ca="1">IFERROR(__xludf.DUMMYFUNCTION("""COMPUTED_VALUE"""),45820)</f>
        <v>45820</v>
      </c>
      <c r="V45" s="55"/>
      <c r="W45" s="55"/>
      <c r="X45" s="55"/>
      <c r="Y45" s="55" t="str">
        <f ca="1">IFERROR(__xludf.DUMMYFUNCTION("""COMPUTED_VALUE"""),"EM OFERTA")</f>
        <v>EM OFERTA</v>
      </c>
      <c r="Z45" s="55"/>
      <c r="AA45" s="55"/>
      <c r="AB45" s="55"/>
      <c r="AC45" s="55"/>
      <c r="AD45" s="55"/>
      <c r="AE45" s="55"/>
      <c r="AF45" s="55"/>
      <c r="AG45" s="55"/>
      <c r="AH45" s="55" t="str">
        <f ca="1">IFERROR(__xludf.DUMMYFUNCTION("""COMPUTED_VALUE"""),"-")</f>
        <v>-</v>
      </c>
      <c r="AI45" s="55" t="str">
        <f ca="1">IFERROR(__xludf.DUMMYFUNCTION("""COMPUTED_VALUE"""),"ANTONIO NILSON LUCIANO CAMELO")</f>
        <v>ANTONIO NILSON LUCIANO CAMELO</v>
      </c>
      <c r="AJ45" s="55" t="str">
        <f ca="1">IFERROR(__xludf.DUMMYFUNCTION("""COMPUTED_VALUE"""),"-")</f>
        <v>-</v>
      </c>
      <c r="AK45" s="55" t="str">
        <f ca="1">IFERROR(__xludf.DUMMYFUNCTION("""COMPUTED_VALUE"""),"-")</f>
        <v>-</v>
      </c>
      <c r="AL45" s="55" t="str">
        <f ca="1">IFERROR(__xludf.DUMMYFUNCTION("""COMPUTED_VALUE"""),"JANILSON BARBOSA DA SILVA")</f>
        <v>JANILSON BARBOSA DA SILVA</v>
      </c>
      <c r="AM45" s="55">
        <f ca="1">IFERROR(__xludf.DUMMYFUNCTION("""COMPUTED_VALUE"""),2025)</f>
        <v>2025</v>
      </c>
      <c r="AN45" s="55"/>
    </row>
    <row r="46" spans="1:40" ht="14" x14ac:dyDescent="0.35">
      <c r="A46" s="55" t="str">
        <f t="shared" ca="1" si="0"/>
        <v xml:space="preserve"> GURINHÉM/EMEF FAVIANO RIBEIRO COUTINHO/CUIDADOR DE IDOSO/NOITE</v>
      </c>
      <c r="B46" s="55" t="str">
        <f ca="1">IFERROR(__xludf.DUMMYFUNCTION("""COMPUTED_VALUE"""),"00000001409")</f>
        <v>00000001409</v>
      </c>
      <c r="C46" s="55" t="str">
        <f ca="1">IFERROR(__xludf.DUMMYFUNCTION("""COMPUTED_VALUE"""),"T-CUIDADOR DE IDOSO/00000001409")</f>
        <v>T-CUIDADOR DE IDOSO/00000001409</v>
      </c>
      <c r="D46" s="56" t="str">
        <f ca="1">IFERROR(__xludf.DUMMYFUNCTION("""COMPUTED_VALUE"""),"https://docs.google.com/spreadsheets/d/1hFt-2MJ_opfClFBxGKlQZR0zU718MEZ2SN83TjZaO9I/edit?usp=drivesdk")</f>
        <v>https://docs.google.com/spreadsheets/d/1hFt-2MJ_opfClFBxGKlQZR0zU718MEZ2SN83TjZaO9I/edit?usp=drivesdk</v>
      </c>
      <c r="E46" s="55" t="str">
        <f ca="1">IFERROR(__xludf.DUMMYFUNCTION("""COMPUTED_VALUE"""),"17 - PARAIBATEC FIC")</f>
        <v>17 - PARAIBATEC FIC</v>
      </c>
      <c r="F46" s="55" t="str">
        <f ca="1">IFERROR(__xludf.DUMMYFUNCTION("""COMPUTED_VALUE"""),"PARAIBATEC FIC")</f>
        <v>PARAIBATEC FIC</v>
      </c>
      <c r="G46" s="55" t="str">
        <f ca="1">IFERROR(__xludf.DUMMYFUNCTION("""COMPUTED_VALUE"""),"01 - PARAIBATEC")</f>
        <v>01 - PARAIBATEC</v>
      </c>
      <c r="H46" s="55" t="str">
        <f ca="1">IFERROR(__xludf.DUMMYFUNCTION("""COMPUTED_VALUE"""),"PARAIBATEC")</f>
        <v>PARAIBATEC</v>
      </c>
      <c r="I46" s="55" t="str">
        <f ca="1">IFERROR(__xludf.DUMMYFUNCTION("""COMPUTED_VALUE"""),"514 - EMEF FAVIANO RIBEIRO COUTINHO")</f>
        <v>514 - EMEF FAVIANO RIBEIRO COUTINHO</v>
      </c>
      <c r="J46" s="55" t="str">
        <f ca="1">IFERROR(__xludf.DUMMYFUNCTION("""COMPUTED_VALUE""")," GURINHÉM")</f>
        <v xml:space="preserve"> GURINHÉM</v>
      </c>
      <c r="K46" s="55"/>
      <c r="L46" s="55"/>
      <c r="M46" s="55" t="str">
        <f ca="1">IFERROR(__xludf.DUMMYFUNCTION("""COMPUTED_VALUE"""),"EMEF FAVIANO RIBEIRO COUTINHO")</f>
        <v>EMEF FAVIANO RIBEIRO COUTINHO</v>
      </c>
      <c r="N46" s="55">
        <f ca="1">IFERROR(__xludf.DUMMYFUNCTION("""COMPUTED_VALUE"""),221539)</f>
        <v>221539</v>
      </c>
      <c r="O46" s="55" t="str">
        <f ca="1">IFERROR(__xludf.DUMMYFUNCTION("""COMPUTED_VALUE"""),"AMBIENTE E SAUDE")</f>
        <v>AMBIENTE E SAUDE</v>
      </c>
      <c r="P46" s="55" t="str">
        <f ca="1">IFERROR(__xludf.DUMMYFUNCTION("""COMPUTED_VALUE"""),"CUIDADOR DE IDOSO")</f>
        <v>CUIDADOR DE IDOSO</v>
      </c>
      <c r="Q46" s="55" t="str">
        <f ca="1">IFERROR(__xludf.DUMMYFUNCTION("""COMPUTED_VALUE"""),"FIC")</f>
        <v>FIC</v>
      </c>
      <c r="R46" s="55">
        <f ca="1">IFERROR(__xludf.DUMMYFUNCTION("""COMPUTED_VALUE"""),160)</f>
        <v>160</v>
      </c>
      <c r="S46" s="55" t="str">
        <f ca="1">IFERROR(__xludf.DUMMYFUNCTION("""COMPUTED_VALUE"""),"NOITE")</f>
        <v>NOITE</v>
      </c>
      <c r="T46" s="57">
        <f ca="1">IFERROR(__xludf.DUMMYFUNCTION("""COMPUTED_VALUE"""),45692)</f>
        <v>45692</v>
      </c>
      <c r="U46" s="57">
        <f ca="1">IFERROR(__xludf.DUMMYFUNCTION("""COMPUTED_VALUE"""),45820)</f>
        <v>45820</v>
      </c>
      <c r="V46" s="55"/>
      <c r="W46" s="55"/>
      <c r="X46" s="55"/>
      <c r="Y46" s="55" t="str">
        <f ca="1">IFERROR(__xludf.DUMMYFUNCTION("""COMPUTED_VALUE"""),"EM OFERTA")</f>
        <v>EM OFERTA</v>
      </c>
      <c r="Z46" s="55"/>
      <c r="AA46" s="55"/>
      <c r="AB46" s="55"/>
      <c r="AC46" s="55"/>
      <c r="AD46" s="55"/>
      <c r="AE46" s="55"/>
      <c r="AF46" s="55"/>
      <c r="AG46" s="55"/>
      <c r="AH46" s="55" t="str">
        <f ca="1">IFERROR(__xludf.DUMMYFUNCTION("""COMPUTED_VALUE"""),"-")</f>
        <v>-</v>
      </c>
      <c r="AI46" s="55" t="str">
        <f ca="1">IFERROR(__xludf.DUMMYFUNCTION("""COMPUTED_VALUE"""),"ANGELA NADIA SOUZA PAIVA")</f>
        <v>ANGELA NADIA SOUZA PAIVA</v>
      </c>
      <c r="AJ46" s="55" t="str">
        <f ca="1">IFERROR(__xludf.DUMMYFUNCTION("""COMPUTED_VALUE"""),"-")</f>
        <v>-</v>
      </c>
      <c r="AK46" s="55" t="str">
        <f ca="1">IFERROR(__xludf.DUMMYFUNCTION("""COMPUTED_VALUE"""),"-")</f>
        <v>-</v>
      </c>
      <c r="AL46" s="55" t="str">
        <f ca="1">IFERROR(__xludf.DUMMYFUNCTION("""COMPUTED_VALUE"""),"THIAGO IGOR MEDEIROS DO NASCIMENTO")</f>
        <v>THIAGO IGOR MEDEIROS DO NASCIMENTO</v>
      </c>
      <c r="AM46" s="55">
        <f ca="1">IFERROR(__xludf.DUMMYFUNCTION("""COMPUTED_VALUE"""),2025)</f>
        <v>2025</v>
      </c>
      <c r="AN46" s="55"/>
    </row>
    <row r="47" spans="1:40" ht="14" x14ac:dyDescent="0.35">
      <c r="A47" s="55" t="str">
        <f t="shared" ca="1" si="0"/>
        <v xml:space="preserve"> GURINHÉM/GRUPO ESCOLAR MUNICIPAL ANALIA ARRUDA DA SILVA/AVICULTOR/NOITE</v>
      </c>
      <c r="B47" s="55" t="str">
        <f ca="1">IFERROR(__xludf.DUMMYFUNCTION("""COMPUTED_VALUE"""),"00000001410")</f>
        <v>00000001410</v>
      </c>
      <c r="C47" s="55" t="str">
        <f ca="1">IFERROR(__xludf.DUMMYFUNCTION("""COMPUTED_VALUE"""),"T-AVICULTOR/00000001410")</f>
        <v>T-AVICULTOR/00000001410</v>
      </c>
      <c r="D47" s="56" t="str">
        <f ca="1">IFERROR(__xludf.DUMMYFUNCTION("""COMPUTED_VALUE"""),"https://docs.google.com/spreadsheets/d/1NrSFNWMsiiSjWa6byPkwkJop46_Ay_v89b1RYKngIBw/edit?usp=drivesdk")</f>
        <v>https://docs.google.com/spreadsheets/d/1NrSFNWMsiiSjWa6byPkwkJop46_Ay_v89b1RYKngIBw/edit?usp=drivesdk</v>
      </c>
      <c r="E47" s="55" t="str">
        <f ca="1">IFERROR(__xludf.DUMMYFUNCTION("""COMPUTED_VALUE"""),"17 - PARAIBATEC FIC")</f>
        <v>17 - PARAIBATEC FIC</v>
      </c>
      <c r="F47" s="55" t="str">
        <f ca="1">IFERROR(__xludf.DUMMYFUNCTION("""COMPUTED_VALUE"""),"PARAIBATEC FIC")</f>
        <v>PARAIBATEC FIC</v>
      </c>
      <c r="G47" s="55" t="str">
        <f ca="1">IFERROR(__xludf.DUMMYFUNCTION("""COMPUTED_VALUE"""),"01 - PARAIBATEC")</f>
        <v>01 - PARAIBATEC</v>
      </c>
      <c r="H47" s="55" t="str">
        <f ca="1">IFERROR(__xludf.DUMMYFUNCTION("""COMPUTED_VALUE"""),"PARAIBATEC")</f>
        <v>PARAIBATEC</v>
      </c>
      <c r="I47" s="55" t="str">
        <f ca="1">IFERROR(__xludf.DUMMYFUNCTION("""COMPUTED_VALUE"""),"515 - GRUPO ESCOLAR MUNICIPAL ANALIA ARRUDA DA SILVA")</f>
        <v>515 - GRUPO ESCOLAR MUNICIPAL ANALIA ARRUDA DA SILVA</v>
      </c>
      <c r="J47" s="55" t="str">
        <f ca="1">IFERROR(__xludf.DUMMYFUNCTION("""COMPUTED_VALUE""")," GURINHÉM")</f>
        <v xml:space="preserve"> GURINHÉM</v>
      </c>
      <c r="K47" s="55"/>
      <c r="L47" s="55"/>
      <c r="M47" s="55" t="str">
        <f ca="1">IFERROR(__xludf.DUMMYFUNCTION("""COMPUTED_VALUE"""),"GRUPO ESCOLAR MUNICIPAL ANALIA ARRUDA DA SILVA")</f>
        <v>GRUPO ESCOLAR MUNICIPAL ANALIA ARRUDA DA SILVA</v>
      </c>
      <c r="N47" s="55">
        <f ca="1">IFERROR(__xludf.DUMMYFUNCTION("""COMPUTED_VALUE"""),221126)</f>
        <v>221126</v>
      </c>
      <c r="O47" s="55" t="str">
        <f ca="1">IFERROR(__xludf.DUMMYFUNCTION("""COMPUTED_VALUE"""),"RECURSOS NATURAIS")</f>
        <v>RECURSOS NATURAIS</v>
      </c>
      <c r="P47" s="55" t="str">
        <f ca="1">IFERROR(__xludf.DUMMYFUNCTION("""COMPUTED_VALUE"""),"AVICULTOR")</f>
        <v>AVICULTOR</v>
      </c>
      <c r="Q47" s="55" t="str">
        <f ca="1">IFERROR(__xludf.DUMMYFUNCTION("""COMPUTED_VALUE"""),"FIC")</f>
        <v>FIC</v>
      </c>
      <c r="R47" s="55">
        <f ca="1">IFERROR(__xludf.DUMMYFUNCTION("""COMPUTED_VALUE"""),200)</f>
        <v>200</v>
      </c>
      <c r="S47" s="55" t="str">
        <f ca="1">IFERROR(__xludf.DUMMYFUNCTION("""COMPUTED_VALUE"""),"NOITE")</f>
        <v>NOITE</v>
      </c>
      <c r="T47" s="57">
        <f ca="1">IFERROR(__xludf.DUMMYFUNCTION("""COMPUTED_VALUE"""),45692)</f>
        <v>45692</v>
      </c>
      <c r="U47" s="57">
        <f ca="1">IFERROR(__xludf.DUMMYFUNCTION("""COMPUTED_VALUE"""),45848)</f>
        <v>45848</v>
      </c>
      <c r="V47" s="55"/>
      <c r="W47" s="55"/>
      <c r="X47" s="55"/>
      <c r="Y47" s="55" t="str">
        <f ca="1">IFERROR(__xludf.DUMMYFUNCTION("""COMPUTED_VALUE"""),"EM OFERTA")</f>
        <v>EM OFERTA</v>
      </c>
      <c r="Z47" s="55"/>
      <c r="AA47" s="55"/>
      <c r="AB47" s="55"/>
      <c r="AC47" s="55"/>
      <c r="AD47" s="55"/>
      <c r="AE47" s="55"/>
      <c r="AF47" s="55"/>
      <c r="AG47" s="55"/>
      <c r="AH47" s="55" t="str">
        <f ca="1">IFERROR(__xludf.DUMMYFUNCTION("""COMPUTED_VALUE"""),"-")</f>
        <v>-</v>
      </c>
      <c r="AI47" s="55" t="str">
        <f ca="1">IFERROR(__xludf.DUMMYFUNCTION("""COMPUTED_VALUE"""),"LINDOMAR OLIVEIRA DA SILVA")</f>
        <v>LINDOMAR OLIVEIRA DA SILVA</v>
      </c>
      <c r="AJ47" s="55" t="str">
        <f ca="1">IFERROR(__xludf.DUMMYFUNCTION("""COMPUTED_VALUE"""),"-")</f>
        <v>-</v>
      </c>
      <c r="AK47" s="55" t="str">
        <f ca="1">IFERROR(__xludf.DUMMYFUNCTION("""COMPUTED_VALUE"""),"-")</f>
        <v>-</v>
      </c>
      <c r="AL47" s="55" t="str">
        <f ca="1">IFERROR(__xludf.DUMMYFUNCTION("""COMPUTED_VALUE"""),"JOSE HENRIQUE SOUZA COSTA")</f>
        <v>JOSE HENRIQUE SOUZA COSTA</v>
      </c>
      <c r="AM47" s="55">
        <f ca="1">IFERROR(__xludf.DUMMYFUNCTION("""COMPUTED_VALUE"""),2025)</f>
        <v>2025</v>
      </c>
      <c r="AN47" s="55"/>
    </row>
    <row r="48" spans="1:40" ht="14" x14ac:dyDescent="0.35">
      <c r="A48" s="55" t="str">
        <f t="shared" ca="1" si="0"/>
        <v xml:space="preserve"> GURINHÉM/SINDICATO DOS TRABALHADORES RURAIS AGRICULTORES E AGRICULTORAS FAMILIARES DE GURINHEM/AGRICULTOR FAMILIAR/MANHA</v>
      </c>
      <c r="B48" s="55" t="str">
        <f ca="1">IFERROR(__xludf.DUMMYFUNCTION("""COMPUTED_VALUE"""),"00000001411")</f>
        <v>00000001411</v>
      </c>
      <c r="C48" s="55" t="str">
        <f ca="1">IFERROR(__xludf.DUMMYFUNCTION("""COMPUTED_VALUE"""),"T-AGRICULTOR FAMILIAR/00000001411")</f>
        <v>T-AGRICULTOR FAMILIAR/00000001411</v>
      </c>
      <c r="D48" s="56" t="str">
        <f ca="1">IFERROR(__xludf.DUMMYFUNCTION("""COMPUTED_VALUE"""),"https://docs.google.com/spreadsheets/d/1_fTjPrupBXRfPTWuqWHQo5QI2bHO0j5vrahrDJChifA/edit?usp=drivesdk")</f>
        <v>https://docs.google.com/spreadsheets/d/1_fTjPrupBXRfPTWuqWHQo5QI2bHO0j5vrahrDJChifA/edit?usp=drivesdk</v>
      </c>
      <c r="E48" s="55" t="str">
        <f ca="1">IFERROR(__xludf.DUMMYFUNCTION("""COMPUTED_VALUE"""),"17 - PARAIBATEC FIC")</f>
        <v>17 - PARAIBATEC FIC</v>
      </c>
      <c r="F48" s="55" t="str">
        <f ca="1">IFERROR(__xludf.DUMMYFUNCTION("""COMPUTED_VALUE"""),"PARAIBATEC FIC")</f>
        <v>PARAIBATEC FIC</v>
      </c>
      <c r="G48" s="55" t="str">
        <f ca="1">IFERROR(__xludf.DUMMYFUNCTION("""COMPUTED_VALUE"""),"01 - PARAIBATEC")</f>
        <v>01 - PARAIBATEC</v>
      </c>
      <c r="H48" s="55" t="str">
        <f ca="1">IFERROR(__xludf.DUMMYFUNCTION("""COMPUTED_VALUE"""),"PARAIBATEC")</f>
        <v>PARAIBATEC</v>
      </c>
      <c r="I48" s="55" t="str">
        <f ca="1">IFERROR(__xludf.DUMMYFUNCTION("""COMPUTED_VALUE"""),"516 - SINDICATO DOS TRABALHADORES RURAIS AGRICULTORES E AGRICULTORAS FAMILIARES DE GURINHEM")</f>
        <v>516 - SINDICATO DOS TRABALHADORES RURAIS AGRICULTORES E AGRICULTORAS FAMILIARES DE GURINHEM</v>
      </c>
      <c r="J48" s="55" t="str">
        <f ca="1">IFERROR(__xludf.DUMMYFUNCTION("""COMPUTED_VALUE""")," GURINHÉM")</f>
        <v xml:space="preserve"> GURINHÉM</v>
      </c>
      <c r="K48" s="55"/>
      <c r="L48" s="55"/>
      <c r="M48" s="55" t="str">
        <f ca="1">IFERROR(__xludf.DUMMYFUNCTION("""COMPUTED_VALUE"""),"SINDICATO DOS TRABALHADORES RURAIS AGRICULTORES E AGRICULTORAS FAMILIARES DE GURINHEM")</f>
        <v>SINDICATO DOS TRABALHADORES RURAIS AGRICULTORES E AGRICULTORAS FAMILIARES DE GURINHEM</v>
      </c>
      <c r="N48" s="55">
        <f ca="1">IFERROR(__xludf.DUMMYFUNCTION("""COMPUTED_VALUE"""),221289)</f>
        <v>221289</v>
      </c>
      <c r="O48" s="55" t="str">
        <f ca="1">IFERROR(__xludf.DUMMYFUNCTION("""COMPUTED_VALUE"""),"RECURSOS NATURAIS")</f>
        <v>RECURSOS NATURAIS</v>
      </c>
      <c r="P48" s="55" t="str">
        <f ca="1">IFERROR(__xludf.DUMMYFUNCTION("""COMPUTED_VALUE"""),"AGRICULTOR FAMILIAR")</f>
        <v>AGRICULTOR FAMILIAR</v>
      </c>
      <c r="Q48" s="55" t="str">
        <f ca="1">IFERROR(__xludf.DUMMYFUNCTION("""COMPUTED_VALUE"""),"FIC")</f>
        <v>FIC</v>
      </c>
      <c r="R48" s="55">
        <f ca="1">IFERROR(__xludf.DUMMYFUNCTION("""COMPUTED_VALUE"""),200)</f>
        <v>200</v>
      </c>
      <c r="S48" s="55" t="str">
        <f ca="1">IFERROR(__xludf.DUMMYFUNCTION("""COMPUTED_VALUE"""),"MANHA")</f>
        <v>MANHA</v>
      </c>
      <c r="T48" s="57">
        <f ca="1">IFERROR(__xludf.DUMMYFUNCTION("""COMPUTED_VALUE"""),45691)</f>
        <v>45691</v>
      </c>
      <c r="U48" s="57">
        <f ca="1">IFERROR(__xludf.DUMMYFUNCTION("""COMPUTED_VALUE"""),45849)</f>
        <v>45849</v>
      </c>
      <c r="V48" s="55"/>
      <c r="W48" s="55"/>
      <c r="X48" s="55"/>
      <c r="Y48" s="55" t="str">
        <f ca="1">IFERROR(__xludf.DUMMYFUNCTION("""COMPUTED_VALUE"""),"EM OFERTA")</f>
        <v>EM OFERTA</v>
      </c>
      <c r="Z48" s="55"/>
      <c r="AA48" s="55"/>
      <c r="AB48" s="55"/>
      <c r="AC48" s="55"/>
      <c r="AD48" s="55"/>
      <c r="AE48" s="55"/>
      <c r="AF48" s="55"/>
      <c r="AG48" s="55"/>
      <c r="AH48" s="55" t="str">
        <f ca="1">IFERROR(__xludf.DUMMYFUNCTION("""COMPUTED_VALUE"""),"-")</f>
        <v>-</v>
      </c>
      <c r="AI48" s="55" t="str">
        <f ca="1">IFERROR(__xludf.DUMMYFUNCTION("""COMPUTED_VALUE"""),"JONATHAN BARBOSA GOMES DA COSTA")</f>
        <v>JONATHAN BARBOSA GOMES DA COSTA</v>
      </c>
      <c r="AJ48" s="55" t="str">
        <f ca="1">IFERROR(__xludf.DUMMYFUNCTION("""COMPUTED_VALUE"""),"-")</f>
        <v>-</v>
      </c>
      <c r="AK48" s="55" t="str">
        <f ca="1">IFERROR(__xludf.DUMMYFUNCTION("""COMPUTED_VALUE"""),"-")</f>
        <v>-</v>
      </c>
      <c r="AL48" s="55" t="str">
        <f ca="1">IFERROR(__xludf.DUMMYFUNCTION("""COMPUTED_VALUE"""),"ANDERSON RICARDO DA SILVA")</f>
        <v>ANDERSON RICARDO DA SILVA</v>
      </c>
      <c r="AM48" s="55">
        <f ca="1">IFERROR(__xludf.DUMMYFUNCTION("""COMPUTED_VALUE"""),2025)</f>
        <v>2025</v>
      </c>
      <c r="AN48" s="55"/>
    </row>
    <row r="49" spans="1:40" ht="14" x14ac:dyDescent="0.35">
      <c r="A49" s="55" t="str">
        <f t="shared" ca="1" si="0"/>
        <v>#N/A/#N/A/ASSISTENTE ESCOLAR/NOITE</v>
      </c>
      <c r="B49" s="55" t="str">
        <f ca="1">IFERROR(__xludf.DUMMYFUNCTION("""COMPUTED_VALUE"""),"00000001412")</f>
        <v>00000001412</v>
      </c>
      <c r="C49" s="55" t="str">
        <f ca="1">IFERROR(__xludf.DUMMYFUNCTION("""COMPUTED_VALUE"""),"T-ASSISTENTE ESCOLAR/00000001412")</f>
        <v>T-ASSISTENTE ESCOLAR/00000001412</v>
      </c>
      <c r="D49" s="56" t="str">
        <f ca="1">IFERROR(__xludf.DUMMYFUNCTION("""COMPUTED_VALUE"""),"https://docs.google.com/spreadsheets/d/1k5Fn7IyyucS64PdaJvihu02U6YiNRKNtqBaQYaGAoxo/edit?usp=drivesdk")</f>
        <v>https://docs.google.com/spreadsheets/d/1k5Fn7IyyucS64PdaJvihu02U6YiNRKNtqBaQYaGAoxo/edit?usp=drivesdk</v>
      </c>
      <c r="E49" s="55" t="str">
        <f ca="1">IFERROR(__xludf.DUMMYFUNCTION("""COMPUTED_VALUE"""),"17 - PARAIBATEC FIC")</f>
        <v>17 - PARAIBATEC FIC</v>
      </c>
      <c r="F49" s="55" t="str">
        <f ca="1">IFERROR(__xludf.DUMMYFUNCTION("""COMPUTED_VALUE"""),"PARAIBATEC FIC")</f>
        <v>PARAIBATEC FIC</v>
      </c>
      <c r="G49" s="55" t="str">
        <f ca="1">IFERROR(__xludf.DUMMYFUNCTION("""COMPUTED_VALUE"""),"01 - PARAIBATEC")</f>
        <v>01 - PARAIBATEC</v>
      </c>
      <c r="H49" s="55" t="str">
        <f ca="1">IFERROR(__xludf.DUMMYFUNCTION("""COMPUTED_VALUE"""),"PARAIBATEC")</f>
        <v>PARAIBATEC</v>
      </c>
      <c r="I49" s="55" t="str">
        <f ca="1">IFERROR(__xludf.DUMMYFUNCTION("""COMPUTED_VALUE"""),"517 - ESCOLA AUREA CORREIA DE QUEIROZ")</f>
        <v>517 - ESCOLA AUREA CORREIA DE QUEIROZ</v>
      </c>
      <c r="J49" s="55" t="str">
        <f ca="1">IFERROR(__xludf.DUMMYFUNCTION("""COMPUTED_VALUE"""),"#N/A")</f>
        <v>#N/A</v>
      </c>
      <c r="K49" s="55" t="str">
        <f ca="1">IFERROR(__xludf.DUMMYFUNCTION("""COMPUTED_VALUE"""),"#N/A")</f>
        <v>#N/A</v>
      </c>
      <c r="L49" s="55" t="str">
        <f ca="1">IFERROR(__xludf.DUMMYFUNCTION("""COMPUTED_VALUE"""),"#N/A")</f>
        <v>#N/A</v>
      </c>
      <c r="M49" s="55" t="str">
        <f ca="1">IFERROR(__xludf.DUMMYFUNCTION("""COMPUTED_VALUE"""),"#N/A")</f>
        <v>#N/A</v>
      </c>
      <c r="N49" s="55">
        <f ca="1">IFERROR(__xludf.DUMMYFUNCTION("""COMPUTED_VALUE"""),221334)</f>
        <v>221334</v>
      </c>
      <c r="O49" s="55" t="str">
        <f ca="1">IFERROR(__xludf.DUMMYFUNCTION("""COMPUTED_VALUE"""),"DESENVOLVIMENTO EDUCACIONAL E SOCIAL")</f>
        <v>DESENVOLVIMENTO EDUCACIONAL E SOCIAL</v>
      </c>
      <c r="P49" s="55" t="str">
        <f ca="1">IFERROR(__xludf.DUMMYFUNCTION("""COMPUTED_VALUE"""),"ASSISTENTE ESCOLAR")</f>
        <v>ASSISTENTE ESCOLAR</v>
      </c>
      <c r="Q49" s="55" t="str">
        <f ca="1">IFERROR(__xludf.DUMMYFUNCTION("""COMPUTED_VALUE"""),"FIC")</f>
        <v>FIC</v>
      </c>
      <c r="R49" s="55">
        <f ca="1">IFERROR(__xludf.DUMMYFUNCTION("""COMPUTED_VALUE"""),160)</f>
        <v>160</v>
      </c>
      <c r="S49" s="55" t="str">
        <f ca="1">IFERROR(__xludf.DUMMYFUNCTION("""COMPUTED_VALUE"""),"NOITE")</f>
        <v>NOITE</v>
      </c>
      <c r="T49" s="57">
        <f ca="1">IFERROR(__xludf.DUMMYFUNCTION("""COMPUTED_VALUE"""),45692)</f>
        <v>45692</v>
      </c>
      <c r="U49" s="57">
        <f ca="1">IFERROR(__xludf.DUMMYFUNCTION("""COMPUTED_VALUE"""),45820)</f>
        <v>45820</v>
      </c>
      <c r="V49" s="55"/>
      <c r="W49" s="55"/>
      <c r="X49" s="55"/>
      <c r="Y49" s="55" t="str">
        <f ca="1">IFERROR(__xludf.DUMMYFUNCTION("""COMPUTED_VALUE"""),"EM OFERTA")</f>
        <v>EM OFERTA</v>
      </c>
      <c r="Z49" s="55"/>
      <c r="AA49" s="55"/>
      <c r="AB49" s="55"/>
      <c r="AC49" s="55"/>
      <c r="AD49" s="55"/>
      <c r="AE49" s="55"/>
      <c r="AF49" s="55"/>
      <c r="AG49" s="55"/>
      <c r="AH49" s="55" t="str">
        <f ca="1">IFERROR(__xludf.DUMMYFUNCTION("""COMPUTED_VALUE"""),"-")</f>
        <v>-</v>
      </c>
      <c r="AI49" s="55" t="str">
        <f ca="1">IFERROR(__xludf.DUMMYFUNCTION("""COMPUTED_VALUE"""),"LEOMACIA DA ROCHA SIMOES")</f>
        <v>LEOMACIA DA ROCHA SIMOES</v>
      </c>
      <c r="AJ49" s="55" t="str">
        <f ca="1">IFERROR(__xludf.DUMMYFUNCTION("""COMPUTED_VALUE"""),"-")</f>
        <v>-</v>
      </c>
      <c r="AK49" s="55" t="str">
        <f ca="1">IFERROR(__xludf.DUMMYFUNCTION("""COMPUTED_VALUE"""),"-")</f>
        <v>-</v>
      </c>
      <c r="AL49" s="55" t="str">
        <f ca="1">IFERROR(__xludf.DUMMYFUNCTION("""COMPUTED_VALUE"""),"VANDERLEIA LUCENA MEIRA")</f>
        <v>VANDERLEIA LUCENA MEIRA</v>
      </c>
      <c r="AM49" s="55">
        <f ca="1">IFERROR(__xludf.DUMMYFUNCTION("""COMPUTED_VALUE"""),2025)</f>
        <v>2025</v>
      </c>
      <c r="AN49" s="55"/>
    </row>
    <row r="50" spans="1:40" ht="14" x14ac:dyDescent="0.35">
      <c r="A50" s="55" t="str">
        <f t="shared" ca="1" si="0"/>
        <v xml:space="preserve"> IBIARA/ECI EEM PADRE MANOEL OTAVIANO/ASSISTENTE ESCOLAR/NOITE</v>
      </c>
      <c r="B50" s="55" t="str">
        <f ca="1">IFERROR(__xludf.DUMMYFUNCTION("""COMPUTED_VALUE"""),"00000001413")</f>
        <v>00000001413</v>
      </c>
      <c r="C50" s="55" t="str">
        <f ca="1">IFERROR(__xludf.DUMMYFUNCTION("""COMPUTED_VALUE"""),"T-ASSISTENTE ESCOLAR/00000001413")</f>
        <v>T-ASSISTENTE ESCOLAR/00000001413</v>
      </c>
      <c r="D50" s="56" t="str">
        <f ca="1">IFERROR(__xludf.DUMMYFUNCTION("""COMPUTED_VALUE"""),"https://docs.google.com/spreadsheets/d/1X3F3V_8iE_3J9Wzd21LcZYAk8omuHP9bmOwWFayC_OQ/edit?usp=drivesdk")</f>
        <v>https://docs.google.com/spreadsheets/d/1X3F3V_8iE_3J9Wzd21LcZYAk8omuHP9bmOwWFayC_OQ/edit?usp=drivesdk</v>
      </c>
      <c r="E50" s="55" t="str">
        <f ca="1">IFERROR(__xludf.DUMMYFUNCTION("""COMPUTED_VALUE"""),"17 - PARAIBATEC FIC")</f>
        <v>17 - PARAIBATEC FIC</v>
      </c>
      <c r="F50" s="55" t="str">
        <f ca="1">IFERROR(__xludf.DUMMYFUNCTION("""COMPUTED_VALUE"""),"PARAIBATEC FIC")</f>
        <v>PARAIBATEC FIC</v>
      </c>
      <c r="G50" s="55" t="str">
        <f ca="1">IFERROR(__xludf.DUMMYFUNCTION("""COMPUTED_VALUE"""),"01 - PARAIBATEC")</f>
        <v>01 - PARAIBATEC</v>
      </c>
      <c r="H50" s="55" t="str">
        <f ca="1">IFERROR(__xludf.DUMMYFUNCTION("""COMPUTED_VALUE"""),"PARAIBATEC")</f>
        <v>PARAIBATEC</v>
      </c>
      <c r="I50" s="55" t="str">
        <f ca="1">IFERROR(__xludf.DUMMYFUNCTION("""COMPUTED_VALUE"""),"518 - ECI EEM PADRE MANOEL OTAVIANO")</f>
        <v>518 - ECI EEM PADRE MANOEL OTAVIANO</v>
      </c>
      <c r="J50" s="55" t="str">
        <f ca="1">IFERROR(__xludf.DUMMYFUNCTION("""COMPUTED_VALUE""")," IBIARA")</f>
        <v xml:space="preserve"> IBIARA</v>
      </c>
      <c r="K50" s="55"/>
      <c r="L50" s="55"/>
      <c r="M50" s="55" t="str">
        <f ca="1">IFERROR(__xludf.DUMMYFUNCTION("""COMPUTED_VALUE"""),"ECI EEM PADRE MANOEL OTAVIANO")</f>
        <v>ECI EEM PADRE MANOEL OTAVIANO</v>
      </c>
      <c r="N50" s="55">
        <f ca="1">IFERROR(__xludf.DUMMYFUNCTION("""COMPUTED_VALUE"""),221334)</f>
        <v>221334</v>
      </c>
      <c r="O50" s="55" t="str">
        <f ca="1">IFERROR(__xludf.DUMMYFUNCTION("""COMPUTED_VALUE"""),"DESENVOLVIMENTO EDUCACIONAL E SOCIAL")</f>
        <v>DESENVOLVIMENTO EDUCACIONAL E SOCIAL</v>
      </c>
      <c r="P50" s="55" t="str">
        <f ca="1">IFERROR(__xludf.DUMMYFUNCTION("""COMPUTED_VALUE"""),"ASSISTENTE ESCOLAR")</f>
        <v>ASSISTENTE ESCOLAR</v>
      </c>
      <c r="Q50" s="55" t="str">
        <f ca="1">IFERROR(__xludf.DUMMYFUNCTION("""COMPUTED_VALUE"""),"FIC")</f>
        <v>FIC</v>
      </c>
      <c r="R50" s="55">
        <f ca="1">IFERROR(__xludf.DUMMYFUNCTION("""COMPUTED_VALUE"""),160)</f>
        <v>160</v>
      </c>
      <c r="S50" s="55" t="str">
        <f ca="1">IFERROR(__xludf.DUMMYFUNCTION("""COMPUTED_VALUE"""),"NOITE")</f>
        <v>NOITE</v>
      </c>
      <c r="T50" s="57">
        <f ca="1">IFERROR(__xludf.DUMMYFUNCTION("""COMPUTED_VALUE"""),45691)</f>
        <v>45691</v>
      </c>
      <c r="U50" s="57">
        <f ca="1">IFERROR(__xludf.DUMMYFUNCTION("""COMPUTED_VALUE"""),45770)</f>
        <v>45770</v>
      </c>
      <c r="V50" s="55"/>
      <c r="W50" s="55"/>
      <c r="X50" s="55"/>
      <c r="Y50" s="55" t="str">
        <f ca="1">IFERROR(__xludf.DUMMYFUNCTION("""COMPUTED_VALUE"""),"EM OFERTA")</f>
        <v>EM OFERTA</v>
      </c>
      <c r="Z50" s="55"/>
      <c r="AA50" s="55"/>
      <c r="AB50" s="55"/>
      <c r="AC50" s="55"/>
      <c r="AD50" s="55"/>
      <c r="AE50" s="55"/>
      <c r="AF50" s="55"/>
      <c r="AG50" s="55"/>
      <c r="AH50" s="55" t="str">
        <f ca="1">IFERROR(__xludf.DUMMYFUNCTION("""COMPUTED_VALUE"""),"-")</f>
        <v>-</v>
      </c>
      <c r="AI50" s="55" t="str">
        <f ca="1">IFERROR(__xludf.DUMMYFUNCTION("""COMPUTED_VALUE"""),"JACIMARIA FERREIRA DE SOUSA")</f>
        <v>JACIMARIA FERREIRA DE SOUSA</v>
      </c>
      <c r="AJ50" s="55" t="str">
        <f ca="1">IFERROR(__xludf.DUMMYFUNCTION("""COMPUTED_VALUE"""),"-")</f>
        <v>-</v>
      </c>
      <c r="AK50" s="55" t="str">
        <f ca="1">IFERROR(__xludf.DUMMYFUNCTION("""COMPUTED_VALUE"""),"-")</f>
        <v>-</v>
      </c>
      <c r="AL50" s="55" t="str">
        <f ca="1">IFERROR(__xludf.DUMMYFUNCTION("""COMPUTED_VALUE"""),"JOCILDA MANGUEIRA MARIANO")</f>
        <v>JOCILDA MANGUEIRA MARIANO</v>
      </c>
      <c r="AM50" s="55">
        <f ca="1">IFERROR(__xludf.DUMMYFUNCTION("""COMPUTED_VALUE"""),2025)</f>
        <v>2025</v>
      </c>
      <c r="AN50" s="55"/>
    </row>
    <row r="51" spans="1:40" ht="14" x14ac:dyDescent="0.35">
      <c r="A51" s="55" t="str">
        <f t="shared" ca="1" si="0"/>
        <v xml:space="preserve"> IGARACY/ECI JOSELITA BRASILEIRO/ASSISTENTE FINANCEIRO/NOITE</v>
      </c>
      <c r="B51" s="55" t="str">
        <f ca="1">IFERROR(__xludf.DUMMYFUNCTION("""COMPUTED_VALUE"""),"00000001414")</f>
        <v>00000001414</v>
      </c>
      <c r="C51" s="55" t="str">
        <f ca="1">IFERROR(__xludf.DUMMYFUNCTION("""COMPUTED_VALUE"""),"T-ASSISTENTE FINANCEIRO/00000001414")</f>
        <v>T-ASSISTENTE FINANCEIRO/00000001414</v>
      </c>
      <c r="D51" s="56" t="str">
        <f ca="1">IFERROR(__xludf.DUMMYFUNCTION("""COMPUTED_VALUE"""),"https://docs.google.com/spreadsheets/d/1Hh8chDDyAKCFTDe3gv4F1bK3huc8EYinZh3qEVd3TfU/edit?usp=drivesdk")</f>
        <v>https://docs.google.com/spreadsheets/d/1Hh8chDDyAKCFTDe3gv4F1bK3huc8EYinZh3qEVd3TfU/edit?usp=drivesdk</v>
      </c>
      <c r="E51" s="55" t="str">
        <f ca="1">IFERROR(__xludf.DUMMYFUNCTION("""COMPUTED_VALUE"""),"17 - PARAIBATEC FIC")</f>
        <v>17 - PARAIBATEC FIC</v>
      </c>
      <c r="F51" s="55" t="str">
        <f ca="1">IFERROR(__xludf.DUMMYFUNCTION("""COMPUTED_VALUE"""),"PARAIBATEC FIC")</f>
        <v>PARAIBATEC FIC</v>
      </c>
      <c r="G51" s="55" t="str">
        <f ca="1">IFERROR(__xludf.DUMMYFUNCTION("""COMPUTED_VALUE"""),"01 - PARAIBATEC")</f>
        <v>01 - PARAIBATEC</v>
      </c>
      <c r="H51" s="55" t="str">
        <f ca="1">IFERROR(__xludf.DUMMYFUNCTION("""COMPUTED_VALUE"""),"PARAIBATEC")</f>
        <v>PARAIBATEC</v>
      </c>
      <c r="I51" s="55" t="str">
        <f ca="1">IFERROR(__xludf.DUMMYFUNCTION("""COMPUTED_VALUE"""),"052 - ECI JOSELITA BRASILEIRO")</f>
        <v>052 - ECI JOSELITA BRASILEIRO</v>
      </c>
      <c r="J51" s="55" t="str">
        <f ca="1">IFERROR(__xludf.DUMMYFUNCTION("""COMPUTED_VALUE""")," IGARACY")</f>
        <v xml:space="preserve"> IGARACY</v>
      </c>
      <c r="K51" s="55"/>
      <c r="L51" s="55"/>
      <c r="M51" s="55" t="str">
        <f ca="1">IFERROR(__xludf.DUMMYFUNCTION("""COMPUTED_VALUE"""),"ECI JOSELITA BRASILEIRO")</f>
        <v>ECI JOSELITA BRASILEIRO</v>
      </c>
      <c r="N51" s="55">
        <f ca="1">IFERROR(__xludf.DUMMYFUNCTION("""COMPUTED_VALUE"""),221005)</f>
        <v>221005</v>
      </c>
      <c r="O51" s="55" t="str">
        <f ca="1">IFERROR(__xludf.DUMMYFUNCTION("""COMPUTED_VALUE"""),"GESTAO E NEGOCIOS")</f>
        <v>GESTAO E NEGOCIOS</v>
      </c>
      <c r="P51" s="55" t="str">
        <f ca="1">IFERROR(__xludf.DUMMYFUNCTION("""COMPUTED_VALUE"""),"ASSISTENTE FINANCEIRO")</f>
        <v>ASSISTENTE FINANCEIRO</v>
      </c>
      <c r="Q51" s="55" t="str">
        <f ca="1">IFERROR(__xludf.DUMMYFUNCTION("""COMPUTED_VALUE"""),"FIC")</f>
        <v>FIC</v>
      </c>
      <c r="R51" s="55">
        <f ca="1">IFERROR(__xludf.DUMMYFUNCTION("""COMPUTED_VALUE"""),160)</f>
        <v>160</v>
      </c>
      <c r="S51" s="55" t="str">
        <f ca="1">IFERROR(__xludf.DUMMYFUNCTION("""COMPUTED_VALUE"""),"NOITE")</f>
        <v>NOITE</v>
      </c>
      <c r="T51" s="57">
        <f ca="1">IFERROR(__xludf.DUMMYFUNCTION("""COMPUTED_VALUE"""),45691)</f>
        <v>45691</v>
      </c>
      <c r="U51" s="57">
        <f ca="1">IFERROR(__xludf.DUMMYFUNCTION("""COMPUTED_VALUE"""),45790)</f>
        <v>45790</v>
      </c>
      <c r="V51" s="55"/>
      <c r="W51" s="55"/>
      <c r="X51" s="55"/>
      <c r="Y51" s="55" t="str">
        <f ca="1">IFERROR(__xludf.DUMMYFUNCTION("""COMPUTED_VALUE"""),"EM OFERTA")</f>
        <v>EM OFERTA</v>
      </c>
      <c r="Z51" s="55"/>
      <c r="AA51" s="55"/>
      <c r="AB51" s="55"/>
      <c r="AC51" s="55"/>
      <c r="AD51" s="55"/>
      <c r="AE51" s="55"/>
      <c r="AF51" s="55"/>
      <c r="AG51" s="55"/>
      <c r="AH51" s="55" t="str">
        <f ca="1">IFERROR(__xludf.DUMMYFUNCTION("""COMPUTED_VALUE"""),"-")</f>
        <v>-</v>
      </c>
      <c r="AI51" s="55" t="str">
        <f ca="1">IFERROR(__xludf.DUMMYFUNCTION("""COMPUTED_VALUE"""),"MARIA APARECIDA RODRIGUES PRIMO LACERDA")</f>
        <v>MARIA APARECIDA RODRIGUES PRIMO LACERDA</v>
      </c>
      <c r="AJ51" s="55" t="str">
        <f ca="1">IFERROR(__xludf.DUMMYFUNCTION("""COMPUTED_VALUE"""),"-")</f>
        <v>-</v>
      </c>
      <c r="AK51" s="55" t="str">
        <f ca="1">IFERROR(__xludf.DUMMYFUNCTION("""COMPUTED_VALUE"""),"-")</f>
        <v>-</v>
      </c>
      <c r="AL51" s="55" t="str">
        <f ca="1">IFERROR(__xludf.DUMMYFUNCTION("""COMPUTED_VALUE"""),"TARCIANA VIEIRA DA SILVA")</f>
        <v>TARCIANA VIEIRA DA SILVA</v>
      </c>
      <c r="AM51" s="55">
        <f ca="1">IFERROR(__xludf.DUMMYFUNCTION("""COMPUTED_VALUE"""),2025)</f>
        <v>2025</v>
      </c>
      <c r="AN51" s="55"/>
    </row>
    <row r="52" spans="1:40" ht="14" x14ac:dyDescent="0.35">
      <c r="A52" s="55" t="str">
        <f t="shared" ca="1" si="0"/>
        <v xml:space="preserve"> IGARACY/ECI JOSELITA BRASILEIRO/AUXILIAR PEDAGOGICO/NOITE</v>
      </c>
      <c r="B52" s="55" t="str">
        <f ca="1">IFERROR(__xludf.DUMMYFUNCTION("""COMPUTED_VALUE"""),"00000001415")</f>
        <v>00000001415</v>
      </c>
      <c r="C52" s="55" t="str">
        <f ca="1">IFERROR(__xludf.DUMMYFUNCTION("""COMPUTED_VALUE"""),"T-AUXILIAR PEDAGOGICO/00000001415")</f>
        <v>T-AUXILIAR PEDAGOGICO/00000001415</v>
      </c>
      <c r="D52" s="56" t="str">
        <f ca="1">IFERROR(__xludf.DUMMYFUNCTION("""COMPUTED_VALUE"""),"https://docs.google.com/spreadsheets/d/1wJ4LJlg2KaBp-FXu0ayJY5TnjE_F1k_L-TiF3Jr8Jqs/edit?usp=drivesdk")</f>
        <v>https://docs.google.com/spreadsheets/d/1wJ4LJlg2KaBp-FXu0ayJY5TnjE_F1k_L-TiF3Jr8Jqs/edit?usp=drivesdk</v>
      </c>
      <c r="E52" s="55" t="str">
        <f ca="1">IFERROR(__xludf.DUMMYFUNCTION("""COMPUTED_VALUE"""),"17 - PARAIBATEC FIC")</f>
        <v>17 - PARAIBATEC FIC</v>
      </c>
      <c r="F52" s="55" t="str">
        <f ca="1">IFERROR(__xludf.DUMMYFUNCTION("""COMPUTED_VALUE"""),"PARAIBATEC FIC")</f>
        <v>PARAIBATEC FIC</v>
      </c>
      <c r="G52" s="55" t="str">
        <f ca="1">IFERROR(__xludf.DUMMYFUNCTION("""COMPUTED_VALUE"""),"01 - PARAIBATEC")</f>
        <v>01 - PARAIBATEC</v>
      </c>
      <c r="H52" s="55" t="str">
        <f ca="1">IFERROR(__xludf.DUMMYFUNCTION("""COMPUTED_VALUE"""),"PARAIBATEC")</f>
        <v>PARAIBATEC</v>
      </c>
      <c r="I52" s="55" t="str">
        <f ca="1">IFERROR(__xludf.DUMMYFUNCTION("""COMPUTED_VALUE"""),"052 - ECI JOSELITA BRASILEIRO")</f>
        <v>052 - ECI JOSELITA BRASILEIRO</v>
      </c>
      <c r="J52" s="55" t="str">
        <f ca="1">IFERROR(__xludf.DUMMYFUNCTION("""COMPUTED_VALUE""")," IGARACY")</f>
        <v xml:space="preserve"> IGARACY</v>
      </c>
      <c r="K52" s="55"/>
      <c r="L52" s="55"/>
      <c r="M52" s="55" t="str">
        <f ca="1">IFERROR(__xludf.DUMMYFUNCTION("""COMPUTED_VALUE"""),"ECI JOSELITA BRASILEIRO")</f>
        <v>ECI JOSELITA BRASILEIRO</v>
      </c>
      <c r="N52" s="55">
        <f ca="1">IFERROR(__xludf.DUMMYFUNCTION("""COMPUTED_VALUE"""),273098)</f>
        <v>273098</v>
      </c>
      <c r="O52" s="55" t="str">
        <f ca="1">IFERROR(__xludf.DUMMYFUNCTION("""COMPUTED_VALUE"""),"DESENVOLVIMENTO EDUCACIONAL E SOCIAL")</f>
        <v>DESENVOLVIMENTO EDUCACIONAL E SOCIAL</v>
      </c>
      <c r="P52" s="55" t="str">
        <f ca="1">IFERROR(__xludf.DUMMYFUNCTION("""COMPUTED_VALUE"""),"AUXILIAR PEDAGOGICO")</f>
        <v>AUXILIAR PEDAGOGICO</v>
      </c>
      <c r="Q52" s="55" t="str">
        <f ca="1">IFERROR(__xludf.DUMMYFUNCTION("""COMPUTED_VALUE"""),"FIC")</f>
        <v>FIC</v>
      </c>
      <c r="R52" s="55">
        <f ca="1">IFERROR(__xludf.DUMMYFUNCTION("""COMPUTED_VALUE"""),200)</f>
        <v>200</v>
      </c>
      <c r="S52" s="55" t="str">
        <f ca="1">IFERROR(__xludf.DUMMYFUNCTION("""COMPUTED_VALUE"""),"NOITE")</f>
        <v>NOITE</v>
      </c>
      <c r="T52" s="57">
        <f ca="1">IFERROR(__xludf.DUMMYFUNCTION("""COMPUTED_VALUE"""),45691)</f>
        <v>45691</v>
      </c>
      <c r="U52" s="57">
        <f ca="1">IFERROR(__xludf.DUMMYFUNCTION("""COMPUTED_VALUE"""),45812)</f>
        <v>45812</v>
      </c>
      <c r="V52" s="55"/>
      <c r="W52" s="55"/>
      <c r="X52" s="55"/>
      <c r="Y52" s="55" t="str">
        <f ca="1">IFERROR(__xludf.DUMMYFUNCTION("""COMPUTED_VALUE"""),"EM OFERTA")</f>
        <v>EM OFERTA</v>
      </c>
      <c r="Z52" s="55"/>
      <c r="AA52" s="55"/>
      <c r="AB52" s="55"/>
      <c r="AC52" s="55"/>
      <c r="AD52" s="55"/>
      <c r="AE52" s="55"/>
      <c r="AF52" s="55"/>
      <c r="AG52" s="55"/>
      <c r="AH52" s="55" t="str">
        <f ca="1">IFERROR(__xludf.DUMMYFUNCTION("""COMPUTED_VALUE"""),"-")</f>
        <v>-</v>
      </c>
      <c r="AI52" s="55" t="str">
        <f ca="1">IFERROR(__xludf.DUMMYFUNCTION("""COMPUTED_VALUE"""),"MARIA APARECIDA RODRIGUES PRIMO LACERDA")</f>
        <v>MARIA APARECIDA RODRIGUES PRIMO LACERDA</v>
      </c>
      <c r="AJ52" s="55" t="str">
        <f ca="1">IFERROR(__xludf.DUMMYFUNCTION("""COMPUTED_VALUE"""),"-")</f>
        <v>-</v>
      </c>
      <c r="AK52" s="55" t="str">
        <f ca="1">IFERROR(__xludf.DUMMYFUNCTION("""COMPUTED_VALUE"""),"-")</f>
        <v>-</v>
      </c>
      <c r="AL52" s="55" t="str">
        <f ca="1">IFERROR(__xludf.DUMMYFUNCTION("""COMPUTED_VALUE"""),"MARIA CARNEIRO DE ALMEIDA VIEIRA LOPES")</f>
        <v>MARIA CARNEIRO DE ALMEIDA VIEIRA LOPES</v>
      </c>
      <c r="AM52" s="55">
        <f ca="1">IFERROR(__xludf.DUMMYFUNCTION("""COMPUTED_VALUE"""),2025)</f>
        <v>2025</v>
      </c>
      <c r="AN52" s="55"/>
    </row>
    <row r="53" spans="1:40" ht="14" x14ac:dyDescent="0.35">
      <c r="A53" s="55" t="str">
        <f t="shared" ca="1" si="0"/>
        <v xml:space="preserve"> INGÁ/EMEIEF ABEL DA SILVA/AUXILIAR PEDAGOGICO/NOITE</v>
      </c>
      <c r="B53" s="55" t="str">
        <f ca="1">IFERROR(__xludf.DUMMYFUNCTION("""COMPUTED_VALUE"""),"00000001416")</f>
        <v>00000001416</v>
      </c>
      <c r="C53" s="55" t="str">
        <f ca="1">IFERROR(__xludf.DUMMYFUNCTION("""COMPUTED_VALUE"""),"T-AUXILIAR PEDAGOGICO/00000001416")</f>
        <v>T-AUXILIAR PEDAGOGICO/00000001416</v>
      </c>
      <c r="D53" s="56" t="str">
        <f ca="1">IFERROR(__xludf.DUMMYFUNCTION("""COMPUTED_VALUE"""),"https://docs.google.com/spreadsheets/d/1n9bstZxEBe4JNwg0pvd0DLKlmWSk6jP12J9mkjVjrNo/edit?usp=drivesdk")</f>
        <v>https://docs.google.com/spreadsheets/d/1n9bstZxEBe4JNwg0pvd0DLKlmWSk6jP12J9mkjVjrNo/edit?usp=drivesdk</v>
      </c>
      <c r="E53" s="55" t="str">
        <f ca="1">IFERROR(__xludf.DUMMYFUNCTION("""COMPUTED_VALUE"""),"17 - PARAIBATEC FIC")</f>
        <v>17 - PARAIBATEC FIC</v>
      </c>
      <c r="F53" s="55" t="str">
        <f ca="1">IFERROR(__xludf.DUMMYFUNCTION("""COMPUTED_VALUE"""),"PARAIBATEC FIC")</f>
        <v>PARAIBATEC FIC</v>
      </c>
      <c r="G53" s="55" t="str">
        <f ca="1">IFERROR(__xludf.DUMMYFUNCTION("""COMPUTED_VALUE"""),"01 - PARAIBATEC")</f>
        <v>01 - PARAIBATEC</v>
      </c>
      <c r="H53" s="55" t="str">
        <f ca="1">IFERROR(__xludf.DUMMYFUNCTION("""COMPUTED_VALUE"""),"PARAIBATEC")</f>
        <v>PARAIBATEC</v>
      </c>
      <c r="I53" s="55" t="str">
        <f ca="1">IFERROR(__xludf.DUMMYFUNCTION("""COMPUTED_VALUE"""),"519 - EMEIEF ABEL DA SILVA")</f>
        <v>519 - EMEIEF ABEL DA SILVA</v>
      </c>
      <c r="J53" s="55" t="str">
        <f ca="1">IFERROR(__xludf.DUMMYFUNCTION("""COMPUTED_VALUE""")," INGÁ")</f>
        <v xml:space="preserve"> INGÁ</v>
      </c>
      <c r="K53" s="55"/>
      <c r="L53" s="55"/>
      <c r="M53" s="55" t="str">
        <f ca="1">IFERROR(__xludf.DUMMYFUNCTION("""COMPUTED_VALUE"""),"EMEIEF ABEL DA SILVA")</f>
        <v>EMEIEF ABEL DA SILVA</v>
      </c>
      <c r="N53" s="55">
        <f ca="1">IFERROR(__xludf.DUMMYFUNCTION("""COMPUTED_VALUE"""),273098)</f>
        <v>273098</v>
      </c>
      <c r="O53" s="55" t="str">
        <f ca="1">IFERROR(__xludf.DUMMYFUNCTION("""COMPUTED_VALUE"""),"DESENVOLVIMENTO EDUCACIONAL E SOCIAL")</f>
        <v>DESENVOLVIMENTO EDUCACIONAL E SOCIAL</v>
      </c>
      <c r="P53" s="55" t="str">
        <f ca="1">IFERROR(__xludf.DUMMYFUNCTION("""COMPUTED_VALUE"""),"AUXILIAR PEDAGOGICO")</f>
        <v>AUXILIAR PEDAGOGICO</v>
      </c>
      <c r="Q53" s="55" t="str">
        <f ca="1">IFERROR(__xludf.DUMMYFUNCTION("""COMPUTED_VALUE"""),"FIC")</f>
        <v>FIC</v>
      </c>
      <c r="R53" s="55">
        <f ca="1">IFERROR(__xludf.DUMMYFUNCTION("""COMPUTED_VALUE"""),200)</f>
        <v>200</v>
      </c>
      <c r="S53" s="55" t="str">
        <f ca="1">IFERROR(__xludf.DUMMYFUNCTION("""COMPUTED_VALUE"""),"NOITE")</f>
        <v>NOITE</v>
      </c>
      <c r="T53" s="57">
        <f ca="1">IFERROR(__xludf.DUMMYFUNCTION("""COMPUTED_VALUE"""),45692)</f>
        <v>45692</v>
      </c>
      <c r="U53" s="57">
        <f ca="1">IFERROR(__xludf.DUMMYFUNCTION("""COMPUTED_VALUE"""),45846)</f>
        <v>45846</v>
      </c>
      <c r="V53" s="55"/>
      <c r="W53" s="55"/>
      <c r="X53" s="55"/>
      <c r="Y53" s="55" t="str">
        <f ca="1">IFERROR(__xludf.DUMMYFUNCTION("""COMPUTED_VALUE"""),"EM OFERTA")</f>
        <v>EM OFERTA</v>
      </c>
      <c r="Z53" s="55"/>
      <c r="AA53" s="55"/>
      <c r="AB53" s="55"/>
      <c r="AC53" s="55"/>
      <c r="AD53" s="55"/>
      <c r="AE53" s="55"/>
      <c r="AF53" s="55"/>
      <c r="AG53" s="55"/>
      <c r="AH53" s="55" t="str">
        <f ca="1">IFERROR(__xludf.DUMMYFUNCTION("""COMPUTED_VALUE"""),"-")</f>
        <v>-</v>
      </c>
      <c r="AI53" s="55" t="str">
        <f ca="1">IFERROR(__xludf.DUMMYFUNCTION("""COMPUTED_VALUE"""),"PHILIPE HUGO BEZERRA BARBOSA")</f>
        <v>PHILIPE HUGO BEZERRA BARBOSA</v>
      </c>
      <c r="AJ53" s="55" t="str">
        <f ca="1">IFERROR(__xludf.DUMMYFUNCTION("""COMPUTED_VALUE"""),"-")</f>
        <v>-</v>
      </c>
      <c r="AK53" s="55" t="str">
        <f ca="1">IFERROR(__xludf.DUMMYFUNCTION("""COMPUTED_VALUE"""),"-")</f>
        <v>-</v>
      </c>
      <c r="AL53" s="55" t="str">
        <f ca="1">IFERROR(__xludf.DUMMYFUNCTION("""COMPUTED_VALUE"""),"MARIA ISABELA MACEDO SANTIAGO DIAS")</f>
        <v>MARIA ISABELA MACEDO SANTIAGO DIAS</v>
      </c>
      <c r="AM53" s="55">
        <f ca="1">IFERROR(__xludf.DUMMYFUNCTION("""COMPUTED_VALUE"""),2025)</f>
        <v>2025</v>
      </c>
      <c r="AN53" s="55"/>
    </row>
    <row r="54" spans="1:40" ht="14" x14ac:dyDescent="0.35">
      <c r="A54" s="55" t="str">
        <f t="shared" ca="1" si="0"/>
        <v xml:space="preserve"> ITABAIANA/SCFV SERVICO DE CONVIVENCIA E FORTALECIMENTO DE VINCULOS/CONFEITEIRO/NOITE</v>
      </c>
      <c r="B54" s="55" t="str">
        <f ca="1">IFERROR(__xludf.DUMMYFUNCTION("""COMPUTED_VALUE"""),"00000001417")</f>
        <v>00000001417</v>
      </c>
      <c r="C54" s="55" t="str">
        <f ca="1">IFERROR(__xludf.DUMMYFUNCTION("""COMPUTED_VALUE"""),"T-CONFEITEIRO/00000001417")</f>
        <v>T-CONFEITEIRO/00000001417</v>
      </c>
      <c r="D54" s="56" t="str">
        <f ca="1">IFERROR(__xludf.DUMMYFUNCTION("""COMPUTED_VALUE"""),"https://docs.google.com/spreadsheets/d/1mMvAq3hu5zFXMonY-xbwHanj7tWWY_9m-Raa0ZswFII/edit?usp=drivesdk")</f>
        <v>https://docs.google.com/spreadsheets/d/1mMvAq3hu5zFXMonY-xbwHanj7tWWY_9m-Raa0ZswFII/edit?usp=drivesdk</v>
      </c>
      <c r="E54" s="55" t="str">
        <f ca="1">IFERROR(__xludf.DUMMYFUNCTION("""COMPUTED_VALUE"""),"17 - PARAIBATEC FIC")</f>
        <v>17 - PARAIBATEC FIC</v>
      </c>
      <c r="F54" s="55" t="str">
        <f ca="1">IFERROR(__xludf.DUMMYFUNCTION("""COMPUTED_VALUE"""),"PARAIBATEC FIC")</f>
        <v>PARAIBATEC FIC</v>
      </c>
      <c r="G54" s="55" t="str">
        <f ca="1">IFERROR(__xludf.DUMMYFUNCTION("""COMPUTED_VALUE"""),"01 - PARAIBATEC")</f>
        <v>01 - PARAIBATEC</v>
      </c>
      <c r="H54" s="55" t="str">
        <f ca="1">IFERROR(__xludf.DUMMYFUNCTION("""COMPUTED_VALUE"""),"PARAIBATEC")</f>
        <v>PARAIBATEC</v>
      </c>
      <c r="I54" s="55" t="str">
        <f ca="1">IFERROR(__xludf.DUMMYFUNCTION("""COMPUTED_VALUE"""),"520 - SCFV SERVICO DE CONVIVENCIA E FORTALECIMENTO DE VINCULOS")</f>
        <v>520 - SCFV SERVICO DE CONVIVENCIA E FORTALECIMENTO DE VINCULOS</v>
      </c>
      <c r="J54" s="55" t="str">
        <f ca="1">IFERROR(__xludf.DUMMYFUNCTION("""COMPUTED_VALUE""")," ITABAIANA")</f>
        <v xml:space="preserve"> ITABAIANA</v>
      </c>
      <c r="K54" s="55"/>
      <c r="L54" s="55"/>
      <c r="M54" s="55" t="str">
        <f ca="1">IFERROR(__xludf.DUMMYFUNCTION("""COMPUTED_VALUE"""),"SCFV SERVICO DE CONVIVENCIA E FORTALECIMENTO DE VINCULOS")</f>
        <v>SCFV SERVICO DE CONVIVENCIA E FORTALECIMENTO DE VINCULOS</v>
      </c>
      <c r="N54" s="55">
        <f ca="1">IFERROR(__xludf.DUMMYFUNCTION("""COMPUTED_VALUE"""),221072)</f>
        <v>221072</v>
      </c>
      <c r="O54" s="55" t="str">
        <f ca="1">IFERROR(__xludf.DUMMYFUNCTION("""COMPUTED_VALUE"""),"PRODUÇAO ALIMENTICIA")</f>
        <v>PRODUÇAO ALIMENTICIA</v>
      </c>
      <c r="P54" s="55" t="str">
        <f ca="1">IFERROR(__xludf.DUMMYFUNCTION("""COMPUTED_VALUE"""),"CONFEITEIRO")</f>
        <v>CONFEITEIRO</v>
      </c>
      <c r="Q54" s="55" t="str">
        <f ca="1">IFERROR(__xludf.DUMMYFUNCTION("""COMPUTED_VALUE"""),"FIC")</f>
        <v>FIC</v>
      </c>
      <c r="R54" s="55">
        <f ca="1">IFERROR(__xludf.DUMMYFUNCTION("""COMPUTED_VALUE"""),200)</f>
        <v>200</v>
      </c>
      <c r="S54" s="55" t="str">
        <f ca="1">IFERROR(__xludf.DUMMYFUNCTION("""COMPUTED_VALUE"""),"NOITE")</f>
        <v>NOITE</v>
      </c>
      <c r="T54" s="57">
        <f ca="1">IFERROR(__xludf.DUMMYFUNCTION("""COMPUTED_VALUE"""),45693)</f>
        <v>45693</v>
      </c>
      <c r="U54" s="57">
        <f ca="1">IFERROR(__xludf.DUMMYFUNCTION("""COMPUTED_VALUE"""),45854)</f>
        <v>45854</v>
      </c>
      <c r="V54" s="55"/>
      <c r="W54" s="55"/>
      <c r="X54" s="55"/>
      <c r="Y54" s="55" t="str">
        <f ca="1">IFERROR(__xludf.DUMMYFUNCTION("""COMPUTED_VALUE"""),"EM OFERTA")</f>
        <v>EM OFERTA</v>
      </c>
      <c r="Z54" s="55"/>
      <c r="AA54" s="55"/>
      <c r="AB54" s="55"/>
      <c r="AC54" s="55"/>
      <c r="AD54" s="55"/>
      <c r="AE54" s="55"/>
      <c r="AF54" s="55"/>
      <c r="AG54" s="55"/>
      <c r="AH54" s="55" t="str">
        <f ca="1">IFERROR(__xludf.DUMMYFUNCTION("""COMPUTED_VALUE"""),"-")</f>
        <v>-</v>
      </c>
      <c r="AI54" s="55" t="str">
        <f ca="1">IFERROR(__xludf.DUMMYFUNCTION("""COMPUTED_VALUE"""),"JULIO CESAR COUTINHO JUNIOR")</f>
        <v>JULIO CESAR COUTINHO JUNIOR</v>
      </c>
      <c r="AJ54" s="55" t="str">
        <f ca="1">IFERROR(__xludf.DUMMYFUNCTION("""COMPUTED_VALUE"""),"-")</f>
        <v>-</v>
      </c>
      <c r="AK54" s="55" t="str">
        <f ca="1">IFERROR(__xludf.DUMMYFUNCTION("""COMPUTED_VALUE"""),"-")</f>
        <v>-</v>
      </c>
      <c r="AL54" s="55" t="str">
        <f ca="1">IFERROR(__xludf.DUMMYFUNCTION("""COMPUTED_VALUE"""),"LARISSA KARLA COUTINHO SOUZA")</f>
        <v>LARISSA KARLA COUTINHO SOUZA</v>
      </c>
      <c r="AM54" s="55">
        <f ca="1">IFERROR(__xludf.DUMMYFUNCTION("""COMPUTED_VALUE"""),2025)</f>
        <v>2025</v>
      </c>
      <c r="AN54" s="55"/>
    </row>
    <row r="55" spans="1:40" ht="14" x14ac:dyDescent="0.35">
      <c r="A55" s="55" t="str">
        <f t="shared" ca="1" si="0"/>
        <v xml:space="preserve"> JERICÓ/EMEF. JOAO ROSADO DE OLIVEIRA/CUIDADOR INFANTIL/NOITE</v>
      </c>
      <c r="B55" s="55" t="str">
        <f ca="1">IFERROR(__xludf.DUMMYFUNCTION("""COMPUTED_VALUE"""),"00000001418")</f>
        <v>00000001418</v>
      </c>
      <c r="C55" s="55" t="str">
        <f ca="1">IFERROR(__xludf.DUMMYFUNCTION("""COMPUTED_VALUE"""),"T-CUIDADOR INFANTIL/00000001418")</f>
        <v>T-CUIDADOR INFANTIL/00000001418</v>
      </c>
      <c r="D55" s="56" t="str">
        <f ca="1">IFERROR(__xludf.DUMMYFUNCTION("""COMPUTED_VALUE"""),"https://docs.google.com/spreadsheets/d/1CQsE4dDu12ZMbMXLFffHZHZKoMlMwy-ebyrauPyZH18/edit?usp=drivesdk")</f>
        <v>https://docs.google.com/spreadsheets/d/1CQsE4dDu12ZMbMXLFffHZHZKoMlMwy-ebyrauPyZH18/edit?usp=drivesdk</v>
      </c>
      <c r="E55" s="55" t="str">
        <f ca="1">IFERROR(__xludf.DUMMYFUNCTION("""COMPUTED_VALUE"""),"17 - PARAIBATEC FIC")</f>
        <v>17 - PARAIBATEC FIC</v>
      </c>
      <c r="F55" s="55" t="str">
        <f ca="1">IFERROR(__xludf.DUMMYFUNCTION("""COMPUTED_VALUE"""),"PARAIBATEC FIC")</f>
        <v>PARAIBATEC FIC</v>
      </c>
      <c r="G55" s="55" t="str">
        <f ca="1">IFERROR(__xludf.DUMMYFUNCTION("""COMPUTED_VALUE"""),"01 - PARAIBATEC")</f>
        <v>01 - PARAIBATEC</v>
      </c>
      <c r="H55" s="55" t="str">
        <f ca="1">IFERROR(__xludf.DUMMYFUNCTION("""COMPUTED_VALUE"""),"PARAIBATEC")</f>
        <v>PARAIBATEC</v>
      </c>
      <c r="I55" s="55" t="str">
        <f ca="1">IFERROR(__xludf.DUMMYFUNCTION("""COMPUTED_VALUE"""),"521 - EMEF. JOAO ROSADO DE OLIVEIRA")</f>
        <v>521 - EMEF. JOAO ROSADO DE OLIVEIRA</v>
      </c>
      <c r="J55" s="55" t="str">
        <f ca="1">IFERROR(__xludf.DUMMYFUNCTION("""COMPUTED_VALUE""")," JERICÓ")</f>
        <v xml:space="preserve"> JERICÓ</v>
      </c>
      <c r="K55" s="55"/>
      <c r="L55" s="55"/>
      <c r="M55" s="55" t="str">
        <f ca="1">IFERROR(__xludf.DUMMYFUNCTION("""COMPUTED_VALUE"""),"EMEF. JOAO ROSADO DE OLIVEIRA")</f>
        <v>EMEF. JOAO ROSADO DE OLIVEIRA</v>
      </c>
      <c r="N55" s="55">
        <f ca="1">IFERROR(__xludf.DUMMYFUNCTION("""COMPUTED_VALUE"""),221538)</f>
        <v>221538</v>
      </c>
      <c r="O55" s="55" t="str">
        <f ca="1">IFERROR(__xludf.DUMMYFUNCTION("""COMPUTED_VALUE"""),"AMBIENTE E SAUDE")</f>
        <v>AMBIENTE E SAUDE</v>
      </c>
      <c r="P55" s="55" t="str">
        <f ca="1">IFERROR(__xludf.DUMMYFUNCTION("""COMPUTED_VALUE"""),"CUIDADOR INFANTIL")</f>
        <v>CUIDADOR INFANTIL</v>
      </c>
      <c r="Q55" s="55" t="str">
        <f ca="1">IFERROR(__xludf.DUMMYFUNCTION("""COMPUTED_VALUE"""),"FIC")</f>
        <v>FIC</v>
      </c>
      <c r="R55" s="55">
        <f ca="1">IFERROR(__xludf.DUMMYFUNCTION("""COMPUTED_VALUE"""),160)</f>
        <v>160</v>
      </c>
      <c r="S55" s="55" t="str">
        <f ca="1">IFERROR(__xludf.DUMMYFUNCTION("""COMPUTED_VALUE"""),"NOITE")</f>
        <v>NOITE</v>
      </c>
      <c r="T55" s="57">
        <f ca="1">IFERROR(__xludf.DUMMYFUNCTION("""COMPUTED_VALUE"""),45691)</f>
        <v>45691</v>
      </c>
      <c r="U55" s="57">
        <f ca="1">IFERROR(__xludf.DUMMYFUNCTION("""COMPUTED_VALUE"""),45770)</f>
        <v>45770</v>
      </c>
      <c r="V55" s="55"/>
      <c r="W55" s="55"/>
      <c r="X55" s="55"/>
      <c r="Y55" s="55" t="str">
        <f ca="1">IFERROR(__xludf.DUMMYFUNCTION("""COMPUTED_VALUE"""),"EM OFERTA")</f>
        <v>EM OFERTA</v>
      </c>
      <c r="Z55" s="55"/>
      <c r="AA55" s="55"/>
      <c r="AB55" s="55"/>
      <c r="AC55" s="55"/>
      <c r="AD55" s="55"/>
      <c r="AE55" s="55"/>
      <c r="AF55" s="55"/>
      <c r="AG55" s="55"/>
      <c r="AH55" s="55" t="str">
        <f ca="1">IFERROR(__xludf.DUMMYFUNCTION("""COMPUTED_VALUE"""),"-")</f>
        <v>-</v>
      </c>
      <c r="AI55" s="55" t="str">
        <f ca="1">IFERROR(__xludf.DUMMYFUNCTION("""COMPUTED_VALUE"""),"SALVINO HENRIQUE DA SILVA")</f>
        <v>SALVINO HENRIQUE DA SILVA</v>
      </c>
      <c r="AJ55" s="55" t="str">
        <f ca="1">IFERROR(__xludf.DUMMYFUNCTION("""COMPUTED_VALUE"""),"-")</f>
        <v>-</v>
      </c>
      <c r="AK55" s="55" t="str">
        <f ca="1">IFERROR(__xludf.DUMMYFUNCTION("""COMPUTED_VALUE"""),"-")</f>
        <v>-</v>
      </c>
      <c r="AL55" s="55" t="str">
        <f ca="1">IFERROR(__xludf.DUMMYFUNCTION("""COMPUTED_VALUE"""),"WANDERSON BRUNO DE OLIVEIRA")</f>
        <v>WANDERSON BRUNO DE OLIVEIRA</v>
      </c>
      <c r="AM55" s="55">
        <f ca="1">IFERROR(__xludf.DUMMYFUNCTION("""COMPUTED_VALUE"""),2025)</f>
        <v>2025</v>
      </c>
      <c r="AN55" s="55"/>
    </row>
    <row r="56" spans="1:40" ht="14" x14ac:dyDescent="0.35">
      <c r="A56" s="55" t="str">
        <f t="shared" ca="1" si="0"/>
        <v xml:space="preserve"> JERICÓ/EMEF. JOAO ROSADO DE OLIVEIRA/INGLES BASICO/NOITE</v>
      </c>
      <c r="B56" s="55" t="str">
        <f ca="1">IFERROR(__xludf.DUMMYFUNCTION("""COMPUTED_VALUE"""),"00000001419")</f>
        <v>00000001419</v>
      </c>
      <c r="C56" s="55" t="str">
        <f ca="1">IFERROR(__xludf.DUMMYFUNCTION("""COMPUTED_VALUE"""),"T-INGLES BASICO/00000001419")</f>
        <v>T-INGLES BASICO/00000001419</v>
      </c>
      <c r="D56" s="56" t="str">
        <f ca="1">IFERROR(__xludf.DUMMYFUNCTION("""COMPUTED_VALUE"""),"https://docs.google.com/spreadsheets/d/1I47jdViY3apKn7D-zVUVX6Q98Cghr4ExxEsw_VLai0Y/edit?usp=drivesdk")</f>
        <v>https://docs.google.com/spreadsheets/d/1I47jdViY3apKn7D-zVUVX6Q98Cghr4ExxEsw_VLai0Y/edit?usp=drivesdk</v>
      </c>
      <c r="E56" s="55" t="str">
        <f ca="1">IFERROR(__xludf.DUMMYFUNCTION("""COMPUTED_VALUE"""),"17 - PARAIBATEC FIC")</f>
        <v>17 - PARAIBATEC FIC</v>
      </c>
      <c r="F56" s="55" t="str">
        <f ca="1">IFERROR(__xludf.DUMMYFUNCTION("""COMPUTED_VALUE"""),"PARAIBATEC FIC")</f>
        <v>PARAIBATEC FIC</v>
      </c>
      <c r="G56" s="55" t="str">
        <f ca="1">IFERROR(__xludf.DUMMYFUNCTION("""COMPUTED_VALUE"""),"01 - PARAIBATEC")</f>
        <v>01 - PARAIBATEC</v>
      </c>
      <c r="H56" s="55" t="str">
        <f ca="1">IFERROR(__xludf.DUMMYFUNCTION("""COMPUTED_VALUE"""),"PARAIBATEC")</f>
        <v>PARAIBATEC</v>
      </c>
      <c r="I56" s="55" t="str">
        <f ca="1">IFERROR(__xludf.DUMMYFUNCTION("""COMPUTED_VALUE"""),"521 - EMEF. JOAO ROSADO DE OLIVEIRA")</f>
        <v>521 - EMEF. JOAO ROSADO DE OLIVEIRA</v>
      </c>
      <c r="J56" s="55" t="str">
        <f ca="1">IFERROR(__xludf.DUMMYFUNCTION("""COMPUTED_VALUE""")," JERICÓ")</f>
        <v xml:space="preserve"> JERICÓ</v>
      </c>
      <c r="K56" s="55"/>
      <c r="L56" s="55"/>
      <c r="M56" s="55" t="str">
        <f ca="1">IFERROR(__xludf.DUMMYFUNCTION("""COMPUTED_VALUE"""),"EMEF. JOAO ROSADO DE OLIVEIRA")</f>
        <v>EMEF. JOAO ROSADO DE OLIVEIRA</v>
      </c>
      <c r="N56" s="55">
        <f ca="1">IFERROR(__xludf.DUMMYFUNCTION("""COMPUTED_VALUE"""),221453)</f>
        <v>221453</v>
      </c>
      <c r="O56" s="55" t="str">
        <f ca="1">IFERROR(__xludf.DUMMYFUNCTION("""COMPUTED_VALUE"""),"DESENVOLVIMENTO EDUCACIONAL E SOCIAL")</f>
        <v>DESENVOLVIMENTO EDUCACIONAL E SOCIAL</v>
      </c>
      <c r="P56" s="55" t="str">
        <f ca="1">IFERROR(__xludf.DUMMYFUNCTION("""COMPUTED_VALUE"""),"INGLES BASICO")</f>
        <v>INGLES BASICO</v>
      </c>
      <c r="Q56" s="55" t="str">
        <f ca="1">IFERROR(__xludf.DUMMYFUNCTION("""COMPUTED_VALUE"""),"FIC")</f>
        <v>FIC</v>
      </c>
      <c r="R56" s="55">
        <f ca="1">IFERROR(__xludf.DUMMYFUNCTION("""COMPUTED_VALUE"""),160)</f>
        <v>160</v>
      </c>
      <c r="S56" s="55" t="str">
        <f ca="1">IFERROR(__xludf.DUMMYFUNCTION("""COMPUTED_VALUE"""),"NOITE")</f>
        <v>NOITE</v>
      </c>
      <c r="T56" s="57">
        <f ca="1">IFERROR(__xludf.DUMMYFUNCTION("""COMPUTED_VALUE"""),45691)</f>
        <v>45691</v>
      </c>
      <c r="U56" s="57">
        <f ca="1">IFERROR(__xludf.DUMMYFUNCTION("""COMPUTED_VALUE"""),45770)</f>
        <v>45770</v>
      </c>
      <c r="V56" s="55"/>
      <c r="W56" s="55"/>
      <c r="X56" s="55"/>
      <c r="Y56" s="55" t="str">
        <f ca="1">IFERROR(__xludf.DUMMYFUNCTION("""COMPUTED_VALUE"""),"EM OFERTA")</f>
        <v>EM OFERTA</v>
      </c>
      <c r="Z56" s="55"/>
      <c r="AA56" s="55"/>
      <c r="AB56" s="55"/>
      <c r="AC56" s="55"/>
      <c r="AD56" s="55"/>
      <c r="AE56" s="55"/>
      <c r="AF56" s="55"/>
      <c r="AG56" s="55"/>
      <c r="AH56" s="55" t="str">
        <f ca="1">IFERROR(__xludf.DUMMYFUNCTION("""COMPUTED_VALUE"""),"-")</f>
        <v>-</v>
      </c>
      <c r="AI56" s="55" t="str">
        <f ca="1">IFERROR(__xludf.DUMMYFUNCTION("""COMPUTED_VALUE"""),"SALVINO HENRIQUE DA SILVA")</f>
        <v>SALVINO HENRIQUE DA SILVA</v>
      </c>
      <c r="AJ56" s="55" t="str">
        <f ca="1">IFERROR(__xludf.DUMMYFUNCTION("""COMPUTED_VALUE"""),"-")</f>
        <v>-</v>
      </c>
      <c r="AK56" s="55" t="str">
        <f ca="1">IFERROR(__xludf.DUMMYFUNCTION("""COMPUTED_VALUE"""),"-")</f>
        <v>-</v>
      </c>
      <c r="AL56" s="55" t="str">
        <f ca="1">IFERROR(__xludf.DUMMYFUNCTION("""COMPUTED_VALUE"""),"HERMINIO BRUNO FERREIRA CASSIANO")</f>
        <v>HERMINIO BRUNO FERREIRA CASSIANO</v>
      </c>
      <c r="AM56" s="55">
        <f ca="1">IFERROR(__xludf.DUMMYFUNCTION("""COMPUTED_VALUE"""),2025)</f>
        <v>2025</v>
      </c>
      <c r="AN56" s="55"/>
    </row>
    <row r="57" spans="1:40" ht="14" x14ac:dyDescent="0.35">
      <c r="A57" s="55" t="str">
        <f t="shared" ca="1" si="0"/>
        <v xml:space="preserve"> JOÃO PESSOA/CENTRO SOCIAL URBANO MONSENHOR JOSE COUTINHO/ASSISTENTE ADMINISTRATIVO/NOITE</v>
      </c>
      <c r="B57" s="55" t="str">
        <f ca="1">IFERROR(__xludf.DUMMYFUNCTION("""COMPUTED_VALUE"""),"00000001420")</f>
        <v>00000001420</v>
      </c>
      <c r="C57" s="55" t="str">
        <f ca="1">IFERROR(__xludf.DUMMYFUNCTION("""COMPUTED_VALUE"""),"T-ASSISTENTE ADMINISTRATIVO/00000001420")</f>
        <v>T-ASSISTENTE ADMINISTRATIVO/00000001420</v>
      </c>
      <c r="D57" s="56" t="str">
        <f ca="1">IFERROR(__xludf.DUMMYFUNCTION("""COMPUTED_VALUE"""),"https://docs.google.com/spreadsheets/d/1h44MIdt5pKZWDr-ijDH07vYuL_36ht_Tq_w9teOl7Xg/edit?usp=drivesdk")</f>
        <v>https://docs.google.com/spreadsheets/d/1h44MIdt5pKZWDr-ijDH07vYuL_36ht_Tq_w9teOl7Xg/edit?usp=drivesdk</v>
      </c>
      <c r="E57" s="55" t="str">
        <f ca="1">IFERROR(__xludf.DUMMYFUNCTION("""COMPUTED_VALUE"""),"17 - PARAIBATEC FIC")</f>
        <v>17 - PARAIBATEC FIC</v>
      </c>
      <c r="F57" s="55" t="str">
        <f ca="1">IFERROR(__xludf.DUMMYFUNCTION("""COMPUTED_VALUE"""),"PARAIBATEC FIC")</f>
        <v>PARAIBATEC FIC</v>
      </c>
      <c r="G57" s="55" t="str">
        <f ca="1">IFERROR(__xludf.DUMMYFUNCTION("""COMPUTED_VALUE"""),"01 - PARAIBATEC")</f>
        <v>01 - PARAIBATEC</v>
      </c>
      <c r="H57" s="55" t="str">
        <f ca="1">IFERROR(__xludf.DUMMYFUNCTION("""COMPUTED_VALUE"""),"PARAIBATEC")</f>
        <v>PARAIBATEC</v>
      </c>
      <c r="I57" s="55" t="str">
        <f ca="1">IFERROR(__xludf.DUMMYFUNCTION("""COMPUTED_VALUE"""),"523 - CENTRO SOCIAL URBANO MONSENHOR JOSE COUTINHO")</f>
        <v>523 - CENTRO SOCIAL URBANO MONSENHOR JOSE COUTINHO</v>
      </c>
      <c r="J57" s="55" t="str">
        <f ca="1">IFERROR(__xludf.DUMMYFUNCTION("""COMPUTED_VALUE""")," JOÃO PESSOA")</f>
        <v xml:space="preserve"> JOÃO PESSOA</v>
      </c>
      <c r="K57" s="55"/>
      <c r="L57" s="55"/>
      <c r="M57" s="55" t="str">
        <f ca="1">IFERROR(__xludf.DUMMYFUNCTION("""COMPUTED_VALUE"""),"CENTRO SOCIAL URBANO MONSENHOR JOSE COUTINHO")</f>
        <v>CENTRO SOCIAL URBANO MONSENHOR JOSE COUTINHO</v>
      </c>
      <c r="N57" s="55">
        <f ca="1">IFERROR(__xludf.DUMMYFUNCTION("""COMPUTED_VALUE"""),221012)</f>
        <v>221012</v>
      </c>
      <c r="O57" s="55" t="str">
        <f ca="1">IFERROR(__xludf.DUMMYFUNCTION("""COMPUTED_VALUE"""),"GESTAO E NEGOCIOS")</f>
        <v>GESTAO E NEGOCIOS</v>
      </c>
      <c r="P57" s="55" t="str">
        <f ca="1">IFERROR(__xludf.DUMMYFUNCTION("""COMPUTED_VALUE"""),"ASSISTENTE ADMINISTRATIVO")</f>
        <v>ASSISTENTE ADMINISTRATIVO</v>
      </c>
      <c r="Q57" s="55" t="str">
        <f ca="1">IFERROR(__xludf.DUMMYFUNCTION("""COMPUTED_VALUE"""),"FIC")</f>
        <v>FIC</v>
      </c>
      <c r="R57" s="55">
        <f ca="1">IFERROR(__xludf.DUMMYFUNCTION("""COMPUTED_VALUE"""),160)</f>
        <v>160</v>
      </c>
      <c r="S57" s="55" t="str">
        <f ca="1">IFERROR(__xludf.DUMMYFUNCTION("""COMPUTED_VALUE"""),"NOITE")</f>
        <v>NOITE</v>
      </c>
      <c r="T57" s="57">
        <f ca="1">IFERROR(__xludf.DUMMYFUNCTION("""COMPUTED_VALUE"""),45692)</f>
        <v>45692</v>
      </c>
      <c r="U57" s="57">
        <f ca="1">IFERROR(__xludf.DUMMYFUNCTION("""COMPUTED_VALUE"""),45821)</f>
        <v>45821</v>
      </c>
      <c r="V57" s="55"/>
      <c r="W57" s="55"/>
      <c r="X57" s="55"/>
      <c r="Y57" s="55" t="str">
        <f ca="1">IFERROR(__xludf.DUMMYFUNCTION("""COMPUTED_VALUE"""),"EM OFERTA")</f>
        <v>EM OFERTA</v>
      </c>
      <c r="Z57" s="55"/>
      <c r="AA57" s="55"/>
      <c r="AB57" s="55"/>
      <c r="AC57" s="55"/>
      <c r="AD57" s="55"/>
      <c r="AE57" s="55"/>
      <c r="AF57" s="55"/>
      <c r="AG57" s="55"/>
      <c r="AH57" s="55" t="str">
        <f ca="1">IFERROR(__xludf.DUMMYFUNCTION("""COMPUTED_VALUE"""),"-")</f>
        <v>-</v>
      </c>
      <c r="AI57" s="55" t="str">
        <f ca="1">IFERROR(__xludf.DUMMYFUNCTION("""COMPUTED_VALUE"""),"SAMARA CLEMENTE DE ALCANTARA COTTA")</f>
        <v>SAMARA CLEMENTE DE ALCANTARA COTTA</v>
      </c>
      <c r="AJ57" s="55" t="str">
        <f ca="1">IFERROR(__xludf.DUMMYFUNCTION("""COMPUTED_VALUE"""),"-")</f>
        <v>-</v>
      </c>
      <c r="AK57" s="55" t="str">
        <f ca="1">IFERROR(__xludf.DUMMYFUNCTION("""COMPUTED_VALUE"""),"-")</f>
        <v>-</v>
      </c>
      <c r="AL57" s="55" t="str">
        <f ca="1">IFERROR(__xludf.DUMMYFUNCTION("""COMPUTED_VALUE"""),"MARIA MARCIA CRISTINA DE CARVALHO SILVA")</f>
        <v>MARIA MARCIA CRISTINA DE CARVALHO SILVA</v>
      </c>
      <c r="AM57" s="55">
        <f ca="1">IFERROR(__xludf.DUMMYFUNCTION("""COMPUTED_VALUE"""),2025)</f>
        <v>2025</v>
      </c>
      <c r="AN57" s="55"/>
    </row>
    <row r="58" spans="1:40" ht="14" x14ac:dyDescent="0.35">
      <c r="A58" s="55" t="str">
        <f t="shared" ca="1" si="0"/>
        <v xml:space="preserve"> JOÃO PESSOA/ECIT DOM JOSE MARIA PIRES/ASSISTENTE ADMINISTRATIVO/NOITE</v>
      </c>
      <c r="B58" s="55" t="str">
        <f ca="1">IFERROR(__xludf.DUMMYFUNCTION("""COMPUTED_VALUE"""),"00000001421")</f>
        <v>00000001421</v>
      </c>
      <c r="C58" s="55" t="str">
        <f ca="1">IFERROR(__xludf.DUMMYFUNCTION("""COMPUTED_VALUE"""),"T-ASSISTENTE ADMINISTRATIVO/00000001421")</f>
        <v>T-ASSISTENTE ADMINISTRATIVO/00000001421</v>
      </c>
      <c r="D58" s="56" t="str">
        <f ca="1">IFERROR(__xludf.DUMMYFUNCTION("""COMPUTED_VALUE"""),"https://docs.google.com/spreadsheets/d/1JHnSTmqgd9otzPoP4H8WAO7E5gpSA-eostMsRo3cw6g/edit?usp=drivesdk")</f>
        <v>https://docs.google.com/spreadsheets/d/1JHnSTmqgd9otzPoP4H8WAO7E5gpSA-eostMsRo3cw6g/edit?usp=drivesdk</v>
      </c>
      <c r="E58" s="55" t="str">
        <f ca="1">IFERROR(__xludf.DUMMYFUNCTION("""COMPUTED_VALUE"""),"17 - PARAIBATEC FIC")</f>
        <v>17 - PARAIBATEC FIC</v>
      </c>
      <c r="F58" s="55" t="str">
        <f ca="1">IFERROR(__xludf.DUMMYFUNCTION("""COMPUTED_VALUE"""),"PARAIBATEC FIC")</f>
        <v>PARAIBATEC FIC</v>
      </c>
      <c r="G58" s="55" t="str">
        <f ca="1">IFERROR(__xludf.DUMMYFUNCTION("""COMPUTED_VALUE"""),"01 - PARAIBATEC")</f>
        <v>01 - PARAIBATEC</v>
      </c>
      <c r="H58" s="55" t="str">
        <f ca="1">IFERROR(__xludf.DUMMYFUNCTION("""COMPUTED_VALUE"""),"PARAIBATEC")</f>
        <v>PARAIBATEC</v>
      </c>
      <c r="I58" s="55" t="str">
        <f ca="1">IFERROR(__xludf.DUMMYFUNCTION("""COMPUTED_VALUE"""),"524 - ECIT DOM JOSE MARIA PIRES")</f>
        <v>524 - ECIT DOM JOSE MARIA PIRES</v>
      </c>
      <c r="J58" s="55" t="str">
        <f ca="1">IFERROR(__xludf.DUMMYFUNCTION("""COMPUTED_VALUE""")," JOÃO PESSOA")</f>
        <v xml:space="preserve"> JOÃO PESSOA</v>
      </c>
      <c r="K58" s="55"/>
      <c r="L58" s="55"/>
      <c r="M58" s="55" t="str">
        <f ca="1">IFERROR(__xludf.DUMMYFUNCTION("""COMPUTED_VALUE"""),"ECIT DOM JOSE MARIA PIRES")</f>
        <v>ECIT DOM JOSE MARIA PIRES</v>
      </c>
      <c r="N58" s="55">
        <f ca="1">IFERROR(__xludf.DUMMYFUNCTION("""COMPUTED_VALUE"""),221012)</f>
        <v>221012</v>
      </c>
      <c r="O58" s="55" t="str">
        <f ca="1">IFERROR(__xludf.DUMMYFUNCTION("""COMPUTED_VALUE"""),"GESTAO E NEGOCIOS")</f>
        <v>GESTAO E NEGOCIOS</v>
      </c>
      <c r="P58" s="55" t="str">
        <f ca="1">IFERROR(__xludf.DUMMYFUNCTION("""COMPUTED_VALUE"""),"ASSISTENTE ADMINISTRATIVO")</f>
        <v>ASSISTENTE ADMINISTRATIVO</v>
      </c>
      <c r="Q58" s="55" t="str">
        <f ca="1">IFERROR(__xludf.DUMMYFUNCTION("""COMPUTED_VALUE"""),"FIC")</f>
        <v>FIC</v>
      </c>
      <c r="R58" s="55">
        <f ca="1">IFERROR(__xludf.DUMMYFUNCTION("""COMPUTED_VALUE"""),160)</f>
        <v>160</v>
      </c>
      <c r="S58" s="55" t="str">
        <f ca="1">IFERROR(__xludf.DUMMYFUNCTION("""COMPUTED_VALUE"""),"NOITE")</f>
        <v>NOITE</v>
      </c>
      <c r="T58" s="57">
        <f ca="1">IFERROR(__xludf.DUMMYFUNCTION("""COMPUTED_VALUE"""),45692)</f>
        <v>45692</v>
      </c>
      <c r="U58" s="57">
        <f ca="1">IFERROR(__xludf.DUMMYFUNCTION("""COMPUTED_VALUE"""),45821)</f>
        <v>45821</v>
      </c>
      <c r="V58" s="55"/>
      <c r="W58" s="55"/>
      <c r="X58" s="55"/>
      <c r="Y58" s="55" t="str">
        <f ca="1">IFERROR(__xludf.DUMMYFUNCTION("""COMPUTED_VALUE"""),"EM OFERTA")</f>
        <v>EM OFERTA</v>
      </c>
      <c r="Z58" s="55"/>
      <c r="AA58" s="55"/>
      <c r="AB58" s="55"/>
      <c r="AC58" s="55"/>
      <c r="AD58" s="55"/>
      <c r="AE58" s="55"/>
      <c r="AF58" s="55"/>
      <c r="AG58" s="55"/>
      <c r="AH58" s="55" t="str">
        <f ca="1">IFERROR(__xludf.DUMMYFUNCTION("""COMPUTED_VALUE"""),"-")</f>
        <v>-</v>
      </c>
      <c r="AI58" s="55" t="str">
        <f ca="1">IFERROR(__xludf.DUMMYFUNCTION("""COMPUTED_VALUE"""),"CRISTIANO CABRAL SANTOS")</f>
        <v>CRISTIANO CABRAL SANTOS</v>
      </c>
      <c r="AJ58" s="55" t="str">
        <f ca="1">IFERROR(__xludf.DUMMYFUNCTION("""COMPUTED_VALUE"""),"-")</f>
        <v>-</v>
      </c>
      <c r="AK58" s="55" t="str">
        <f ca="1">IFERROR(__xludf.DUMMYFUNCTION("""COMPUTED_VALUE"""),"-")</f>
        <v>-</v>
      </c>
      <c r="AL58" s="55" t="str">
        <f ca="1">IFERROR(__xludf.DUMMYFUNCTION("""COMPUTED_VALUE"""),"JEFFERSON FONSECA NUNES")</f>
        <v>JEFFERSON FONSECA NUNES</v>
      </c>
      <c r="AM58" s="55">
        <f ca="1">IFERROR(__xludf.DUMMYFUNCTION("""COMPUTED_VALUE"""),2025)</f>
        <v>2025</v>
      </c>
      <c r="AN58" s="55"/>
    </row>
    <row r="59" spans="1:40" ht="14" x14ac:dyDescent="0.35">
      <c r="A59" s="55" t="str">
        <f t="shared" ca="1" si="0"/>
        <v xml:space="preserve"> JOÃO PESSOA/ECIT PEDRO ANISIO BEZERRA DANTAS/BOMBEIRO CIVIL/NOITE</v>
      </c>
      <c r="B59" s="55" t="str">
        <f ca="1">IFERROR(__xludf.DUMMYFUNCTION("""COMPUTED_VALUE"""),"00000001422")</f>
        <v>00000001422</v>
      </c>
      <c r="C59" s="55" t="str">
        <f ca="1">IFERROR(__xludf.DUMMYFUNCTION("""COMPUTED_VALUE"""),"T-BOMBEIRO CIVIL/00000001422")</f>
        <v>T-BOMBEIRO CIVIL/00000001422</v>
      </c>
      <c r="D59" s="56" t="str">
        <f ca="1">IFERROR(__xludf.DUMMYFUNCTION("""COMPUTED_VALUE"""),"https://docs.google.com/spreadsheets/d/1Yh755r_NJbhIl5RLiGxqWOe9mYI45vyUd8GmBozIiPc/edit?usp=drivesdk")</f>
        <v>https://docs.google.com/spreadsheets/d/1Yh755r_NJbhIl5RLiGxqWOe9mYI45vyUd8GmBozIiPc/edit?usp=drivesdk</v>
      </c>
      <c r="E59" s="55" t="str">
        <f ca="1">IFERROR(__xludf.DUMMYFUNCTION("""COMPUTED_VALUE"""),"17 - PARAIBATEC FIC")</f>
        <v>17 - PARAIBATEC FIC</v>
      </c>
      <c r="F59" s="55" t="str">
        <f ca="1">IFERROR(__xludf.DUMMYFUNCTION("""COMPUTED_VALUE"""),"PARAIBATEC FIC")</f>
        <v>PARAIBATEC FIC</v>
      </c>
      <c r="G59" s="55" t="str">
        <f ca="1">IFERROR(__xludf.DUMMYFUNCTION("""COMPUTED_VALUE"""),"01 - PARAIBATEC")</f>
        <v>01 - PARAIBATEC</v>
      </c>
      <c r="H59" s="55" t="str">
        <f ca="1">IFERROR(__xludf.DUMMYFUNCTION("""COMPUTED_VALUE"""),"PARAIBATEC")</f>
        <v>PARAIBATEC</v>
      </c>
      <c r="I59" s="55" t="str">
        <f ca="1">IFERROR(__xludf.DUMMYFUNCTION("""COMPUTED_VALUE"""),"525 - ECIT PEDRO ANISIO BEZERRA DANTAS")</f>
        <v>525 - ECIT PEDRO ANISIO BEZERRA DANTAS</v>
      </c>
      <c r="J59" s="55" t="str">
        <f ca="1">IFERROR(__xludf.DUMMYFUNCTION("""COMPUTED_VALUE""")," JOÃO PESSOA")</f>
        <v xml:space="preserve"> JOÃO PESSOA</v>
      </c>
      <c r="K59" s="55"/>
      <c r="L59" s="55"/>
      <c r="M59" s="55" t="str">
        <f ca="1">IFERROR(__xludf.DUMMYFUNCTION("""COMPUTED_VALUE"""),"ECIT PEDRO ANISIO BEZERRA DANTAS")</f>
        <v>ECIT PEDRO ANISIO BEZERRA DANTAS</v>
      </c>
      <c r="N59" s="55">
        <f ca="1">IFERROR(__xludf.DUMMYFUNCTION("""COMPUTED_VALUE"""),221292)</f>
        <v>221292</v>
      </c>
      <c r="O59" s="55" t="str">
        <f ca="1">IFERROR(__xludf.DUMMYFUNCTION("""COMPUTED_VALUE"""),"SEGURANÇA")</f>
        <v>SEGURANÇA</v>
      </c>
      <c r="P59" s="55" t="str">
        <f ca="1">IFERROR(__xludf.DUMMYFUNCTION("""COMPUTED_VALUE"""),"BOMBEIRO CIVIL")</f>
        <v>BOMBEIRO CIVIL</v>
      </c>
      <c r="Q59" s="55" t="str">
        <f ca="1">IFERROR(__xludf.DUMMYFUNCTION("""COMPUTED_VALUE"""),"FIC")</f>
        <v>FIC</v>
      </c>
      <c r="R59" s="55">
        <f ca="1">IFERROR(__xludf.DUMMYFUNCTION("""COMPUTED_VALUE"""),210)</f>
        <v>210</v>
      </c>
      <c r="S59" s="55" t="str">
        <f ca="1">IFERROR(__xludf.DUMMYFUNCTION("""COMPUTED_VALUE"""),"NOITE")</f>
        <v>NOITE</v>
      </c>
      <c r="T59" s="57">
        <f ca="1">IFERROR(__xludf.DUMMYFUNCTION("""COMPUTED_VALUE"""),45691)</f>
        <v>45691</v>
      </c>
      <c r="U59" s="57">
        <f ca="1">IFERROR(__xludf.DUMMYFUNCTION("""COMPUTED_VALUE"""),45796)</f>
        <v>45796</v>
      </c>
      <c r="V59" s="55"/>
      <c r="W59" s="55"/>
      <c r="X59" s="55"/>
      <c r="Y59" s="55" t="str">
        <f ca="1">IFERROR(__xludf.DUMMYFUNCTION("""COMPUTED_VALUE"""),"EM OFERTA")</f>
        <v>EM OFERTA</v>
      </c>
      <c r="Z59" s="55"/>
      <c r="AA59" s="55"/>
      <c r="AB59" s="55"/>
      <c r="AC59" s="55"/>
      <c r="AD59" s="55"/>
      <c r="AE59" s="55"/>
      <c r="AF59" s="55"/>
      <c r="AG59" s="55"/>
      <c r="AH59" s="55" t="str">
        <f ca="1">IFERROR(__xludf.DUMMYFUNCTION("""COMPUTED_VALUE"""),"-")</f>
        <v>-</v>
      </c>
      <c r="AI59" s="55" t="str">
        <f ca="1">IFERROR(__xludf.DUMMYFUNCTION("""COMPUTED_VALUE"""),"ANTONIO CESAR DE CARVALHO")</f>
        <v>ANTONIO CESAR DE CARVALHO</v>
      </c>
      <c r="AJ59" s="55" t="str">
        <f ca="1">IFERROR(__xludf.DUMMYFUNCTION("""COMPUTED_VALUE"""),"-")</f>
        <v>-</v>
      </c>
      <c r="AK59" s="55" t="str">
        <f ca="1">IFERROR(__xludf.DUMMYFUNCTION("""COMPUTED_VALUE"""),"-")</f>
        <v>-</v>
      </c>
      <c r="AL59" s="55" t="str">
        <f ca="1">IFERROR(__xludf.DUMMYFUNCTION("""COMPUTED_VALUE"""),"JOEVAN EVANGELISTA DA SILVA")</f>
        <v>JOEVAN EVANGELISTA DA SILVA</v>
      </c>
      <c r="AM59" s="55">
        <f ca="1">IFERROR(__xludf.DUMMYFUNCTION("""COMPUTED_VALUE"""),2025)</f>
        <v>2025</v>
      </c>
      <c r="AN59" s="55"/>
    </row>
    <row r="60" spans="1:40" ht="14" x14ac:dyDescent="0.35">
      <c r="A60" s="55" t="str">
        <f t="shared" ca="1" si="0"/>
        <v xml:space="preserve"> JOAO PESSOA/ECIT RAUL MACHADO/CUIDADOR INFANTIL/NOITE</v>
      </c>
      <c r="B60" s="55" t="str">
        <f ca="1">IFERROR(__xludf.DUMMYFUNCTION("""COMPUTED_VALUE"""),"00000001423")</f>
        <v>00000001423</v>
      </c>
      <c r="C60" s="55" t="str">
        <f ca="1">IFERROR(__xludf.DUMMYFUNCTION("""COMPUTED_VALUE"""),"T-CUIDADOR INFANTIL/00000001423")</f>
        <v>T-CUIDADOR INFANTIL/00000001423</v>
      </c>
      <c r="D60" s="56" t="str">
        <f ca="1">IFERROR(__xludf.DUMMYFUNCTION("""COMPUTED_VALUE"""),"https://docs.google.com/spreadsheets/d/1WTuh8yoCtan-gB4Wn1LO3X2sdEWdIFp8PWzuSTl2ZvA/edit?usp=drivesdk")</f>
        <v>https://docs.google.com/spreadsheets/d/1WTuh8yoCtan-gB4Wn1LO3X2sdEWdIFp8PWzuSTl2ZvA/edit?usp=drivesdk</v>
      </c>
      <c r="E60" s="55" t="str">
        <f ca="1">IFERROR(__xludf.DUMMYFUNCTION("""COMPUTED_VALUE"""),"17 - PARAIBATEC FIC")</f>
        <v>17 - PARAIBATEC FIC</v>
      </c>
      <c r="F60" s="55" t="str">
        <f ca="1">IFERROR(__xludf.DUMMYFUNCTION("""COMPUTED_VALUE"""),"PARAIBATEC FIC")</f>
        <v>PARAIBATEC FIC</v>
      </c>
      <c r="G60" s="55" t="str">
        <f ca="1">IFERROR(__xludf.DUMMYFUNCTION("""COMPUTED_VALUE"""),"01 - PARAIBATEC")</f>
        <v>01 - PARAIBATEC</v>
      </c>
      <c r="H60" s="55" t="str">
        <f ca="1">IFERROR(__xludf.DUMMYFUNCTION("""COMPUTED_VALUE"""),"PARAIBATEC")</f>
        <v>PARAIBATEC</v>
      </c>
      <c r="I60" s="55" t="str">
        <f ca="1">IFERROR(__xludf.DUMMYFUNCTION("""COMPUTED_VALUE"""),"291 - ECIT RAUL MACHADO")</f>
        <v>291 - ECIT RAUL MACHADO</v>
      </c>
      <c r="J60" s="55" t="str">
        <f ca="1">IFERROR(__xludf.DUMMYFUNCTION("""COMPUTED_VALUE""")," JOAO PESSOA")</f>
        <v xml:space="preserve"> JOAO PESSOA</v>
      </c>
      <c r="K60" s="55"/>
      <c r="L60" s="55"/>
      <c r="M60" s="55" t="str">
        <f ca="1">IFERROR(__xludf.DUMMYFUNCTION("""COMPUTED_VALUE"""),"ECIT RAUL MACHADO")</f>
        <v>ECIT RAUL MACHADO</v>
      </c>
      <c r="N60" s="55">
        <f ca="1">IFERROR(__xludf.DUMMYFUNCTION("""COMPUTED_VALUE"""),221538)</f>
        <v>221538</v>
      </c>
      <c r="O60" s="55" t="str">
        <f ca="1">IFERROR(__xludf.DUMMYFUNCTION("""COMPUTED_VALUE"""),"AMBIENTE E SAUDE")</f>
        <v>AMBIENTE E SAUDE</v>
      </c>
      <c r="P60" s="55" t="str">
        <f ca="1">IFERROR(__xludf.DUMMYFUNCTION("""COMPUTED_VALUE"""),"CUIDADOR INFANTIL")</f>
        <v>CUIDADOR INFANTIL</v>
      </c>
      <c r="Q60" s="55" t="str">
        <f ca="1">IFERROR(__xludf.DUMMYFUNCTION("""COMPUTED_VALUE"""),"FIC")</f>
        <v>FIC</v>
      </c>
      <c r="R60" s="55">
        <f ca="1">IFERROR(__xludf.DUMMYFUNCTION("""COMPUTED_VALUE"""),160)</f>
        <v>160</v>
      </c>
      <c r="S60" s="55" t="str">
        <f ca="1">IFERROR(__xludf.DUMMYFUNCTION("""COMPUTED_VALUE"""),"NOITE")</f>
        <v>NOITE</v>
      </c>
      <c r="T60" s="57">
        <f ca="1">IFERROR(__xludf.DUMMYFUNCTION("""COMPUTED_VALUE"""),45691)</f>
        <v>45691</v>
      </c>
      <c r="U60" s="57">
        <f ca="1">IFERROR(__xludf.DUMMYFUNCTION("""COMPUTED_VALUE"""),45776)</f>
        <v>45776</v>
      </c>
      <c r="V60" s="55"/>
      <c r="W60" s="55"/>
      <c r="X60" s="55"/>
      <c r="Y60" s="55" t="str">
        <f ca="1">IFERROR(__xludf.DUMMYFUNCTION("""COMPUTED_VALUE"""),"EM OFERTA")</f>
        <v>EM OFERTA</v>
      </c>
      <c r="Z60" s="55"/>
      <c r="AA60" s="55"/>
      <c r="AB60" s="55"/>
      <c r="AC60" s="55"/>
      <c r="AD60" s="55"/>
      <c r="AE60" s="55"/>
      <c r="AF60" s="55"/>
      <c r="AG60" s="55"/>
      <c r="AH60" s="55" t="str">
        <f ca="1">IFERROR(__xludf.DUMMYFUNCTION("""COMPUTED_VALUE"""),"-")</f>
        <v>-</v>
      </c>
      <c r="AI60" s="55" t="str">
        <f ca="1">IFERROR(__xludf.DUMMYFUNCTION("""COMPUTED_VALUE"""),"LEONARDO PEREIRA E SILVA")</f>
        <v>LEONARDO PEREIRA E SILVA</v>
      </c>
      <c r="AJ60" s="55" t="str">
        <f ca="1">IFERROR(__xludf.DUMMYFUNCTION("""COMPUTED_VALUE"""),"-")</f>
        <v>-</v>
      </c>
      <c r="AK60" s="55" t="str">
        <f ca="1">IFERROR(__xludf.DUMMYFUNCTION("""COMPUTED_VALUE"""),"-")</f>
        <v>-</v>
      </c>
      <c r="AL60" s="55" t="str">
        <f ca="1">IFERROR(__xludf.DUMMYFUNCTION("""COMPUTED_VALUE"""),"CRISTIANE DE SOUSA PONTES TEIXEIRA")</f>
        <v>CRISTIANE DE SOUSA PONTES TEIXEIRA</v>
      </c>
      <c r="AM60" s="55">
        <f ca="1">IFERROR(__xludf.DUMMYFUNCTION("""COMPUTED_VALUE"""),2025)</f>
        <v>2025</v>
      </c>
      <c r="AN60" s="55"/>
    </row>
    <row r="61" spans="1:40" ht="14" x14ac:dyDescent="0.35">
      <c r="A61" s="55" t="str">
        <f t="shared" ca="1" si="0"/>
        <v xml:space="preserve"> JOÃO PESSOA/EEEFM DESEMBARGADOR BRAZ BARACUHY/BALCONISTA DE FARMACIA/TARDE</v>
      </c>
      <c r="B61" s="55" t="str">
        <f ca="1">IFERROR(__xludf.DUMMYFUNCTION("""COMPUTED_VALUE"""),"00000001424")</f>
        <v>00000001424</v>
      </c>
      <c r="C61" s="55" t="str">
        <f ca="1">IFERROR(__xludf.DUMMYFUNCTION("""COMPUTED_VALUE"""),"T-BALCONISTA DE FARMACIA/00000001424")</f>
        <v>T-BALCONISTA DE FARMACIA/00000001424</v>
      </c>
      <c r="D61" s="56" t="str">
        <f ca="1">IFERROR(__xludf.DUMMYFUNCTION("""COMPUTED_VALUE"""),"https://docs.google.com/spreadsheets/d/1cyzYcMc0MckPCTedLY8_1_F2BAbiJd0M7rI868I85Vc/edit?usp=drivesdk")</f>
        <v>https://docs.google.com/spreadsheets/d/1cyzYcMc0MckPCTedLY8_1_F2BAbiJd0M7rI868I85Vc/edit?usp=drivesdk</v>
      </c>
      <c r="E61" s="55" t="str">
        <f ca="1">IFERROR(__xludf.DUMMYFUNCTION("""COMPUTED_VALUE"""),"17 - PARAIBATEC FIC")</f>
        <v>17 - PARAIBATEC FIC</v>
      </c>
      <c r="F61" s="55" t="str">
        <f ca="1">IFERROR(__xludf.DUMMYFUNCTION("""COMPUTED_VALUE"""),"PARAIBATEC FIC")</f>
        <v>PARAIBATEC FIC</v>
      </c>
      <c r="G61" s="55" t="str">
        <f ca="1">IFERROR(__xludf.DUMMYFUNCTION("""COMPUTED_VALUE"""),"01 - PARAIBATEC")</f>
        <v>01 - PARAIBATEC</v>
      </c>
      <c r="H61" s="55" t="str">
        <f ca="1">IFERROR(__xludf.DUMMYFUNCTION("""COMPUTED_VALUE"""),"PARAIBATEC")</f>
        <v>PARAIBATEC</v>
      </c>
      <c r="I61" s="55" t="str">
        <f ca="1">IFERROR(__xludf.DUMMYFUNCTION("""COMPUTED_VALUE"""),"526 - EEEFM DESEMBARGADOR BRAZ BARACUHY")</f>
        <v>526 - EEEFM DESEMBARGADOR BRAZ BARACUHY</v>
      </c>
      <c r="J61" s="55" t="str">
        <f ca="1">IFERROR(__xludf.DUMMYFUNCTION("""COMPUTED_VALUE""")," JOÃO PESSOA")</f>
        <v xml:space="preserve"> JOÃO PESSOA</v>
      </c>
      <c r="K61" s="55"/>
      <c r="L61" s="55"/>
      <c r="M61" s="55" t="str">
        <f ca="1">IFERROR(__xludf.DUMMYFUNCTION("""COMPUTED_VALUE"""),"EEEFM DESEMBARGADOR BRAZ BARACUHY")</f>
        <v>EEEFM DESEMBARGADOR BRAZ BARACUHY</v>
      </c>
      <c r="N61" s="55">
        <f ca="1">IFERROR(__xludf.DUMMYFUNCTION("""COMPUTED_VALUE"""),221541)</f>
        <v>221541</v>
      </c>
      <c r="O61" s="55" t="str">
        <f ca="1">IFERROR(__xludf.DUMMYFUNCTION("""COMPUTED_VALUE"""),"AMBIENTE E SAUDE")</f>
        <v>AMBIENTE E SAUDE</v>
      </c>
      <c r="P61" s="55" t="str">
        <f ca="1">IFERROR(__xludf.DUMMYFUNCTION("""COMPUTED_VALUE"""),"BALCONISTA DE FARMACIA")</f>
        <v>BALCONISTA DE FARMACIA</v>
      </c>
      <c r="Q61" s="55" t="str">
        <f ca="1">IFERROR(__xludf.DUMMYFUNCTION("""COMPUTED_VALUE"""),"FIC")</f>
        <v>FIC</v>
      </c>
      <c r="R61" s="55">
        <f ca="1">IFERROR(__xludf.DUMMYFUNCTION("""COMPUTED_VALUE"""),240)</f>
        <v>240</v>
      </c>
      <c r="S61" s="55" t="str">
        <f ca="1">IFERROR(__xludf.DUMMYFUNCTION("""COMPUTED_VALUE"""),"TARDE")</f>
        <v>TARDE</v>
      </c>
      <c r="T61" s="57">
        <f ca="1">IFERROR(__xludf.DUMMYFUNCTION("""COMPUTED_VALUE"""),45692)</f>
        <v>45692</v>
      </c>
      <c r="U61" s="57">
        <f ca="1">IFERROR(__xludf.DUMMYFUNCTION("""COMPUTED_VALUE"""),45887)</f>
        <v>45887</v>
      </c>
      <c r="V61" s="55"/>
      <c r="W61" s="55"/>
      <c r="X61" s="55"/>
      <c r="Y61" s="55" t="str">
        <f ca="1">IFERROR(__xludf.DUMMYFUNCTION("""COMPUTED_VALUE"""),"EM OFERTA")</f>
        <v>EM OFERTA</v>
      </c>
      <c r="Z61" s="55"/>
      <c r="AA61" s="55"/>
      <c r="AB61" s="55"/>
      <c r="AC61" s="55"/>
      <c r="AD61" s="55"/>
      <c r="AE61" s="55"/>
      <c r="AF61" s="55"/>
      <c r="AG61" s="55"/>
      <c r="AH61" s="55" t="str">
        <f ca="1">IFERROR(__xludf.DUMMYFUNCTION("""COMPUTED_VALUE"""),"-")</f>
        <v>-</v>
      </c>
      <c r="AI61" s="55" t="str">
        <f ca="1">IFERROR(__xludf.DUMMYFUNCTION("""COMPUTED_VALUE"""),"RIVALDAVIA CARMO DE ANDRADE")</f>
        <v>RIVALDAVIA CARMO DE ANDRADE</v>
      </c>
      <c r="AJ61" s="55" t="str">
        <f ca="1">IFERROR(__xludf.DUMMYFUNCTION("""COMPUTED_VALUE"""),"-")</f>
        <v>-</v>
      </c>
      <c r="AK61" s="55" t="str">
        <f ca="1">IFERROR(__xludf.DUMMYFUNCTION("""COMPUTED_VALUE"""),"-")</f>
        <v>-</v>
      </c>
      <c r="AL61" s="55" t="str">
        <f ca="1">IFERROR(__xludf.DUMMYFUNCTION("""COMPUTED_VALUE"""),"RICARDO CARNEIRO MONTES")</f>
        <v>RICARDO CARNEIRO MONTES</v>
      </c>
      <c r="AM61" s="55">
        <f ca="1">IFERROR(__xludf.DUMMYFUNCTION("""COMPUTED_VALUE"""),2025)</f>
        <v>2025</v>
      </c>
      <c r="AN61" s="55"/>
    </row>
    <row r="62" spans="1:40" ht="14" x14ac:dyDescent="0.35">
      <c r="A62" s="55" t="str">
        <f t="shared" ca="1" si="0"/>
        <v xml:space="preserve"> JOCA CLAUDINO/ESCOLA MUNICIPAL JOSE GUALBERTO DE ANDRADE/BOMBEIRO CIVIL/NOITE</v>
      </c>
      <c r="B62" s="55" t="str">
        <f ca="1">IFERROR(__xludf.DUMMYFUNCTION("""COMPUTED_VALUE"""),"00000001425")</f>
        <v>00000001425</v>
      </c>
      <c r="C62" s="55" t="str">
        <f ca="1">IFERROR(__xludf.DUMMYFUNCTION("""COMPUTED_VALUE"""),"T-BOMBEIRO CIVIL/00000001425")</f>
        <v>T-BOMBEIRO CIVIL/00000001425</v>
      </c>
      <c r="D62" s="56" t="str">
        <f ca="1">IFERROR(__xludf.DUMMYFUNCTION("""COMPUTED_VALUE"""),"https://docs.google.com/spreadsheets/d/1duDf4PFxrDZwA6bWPzKp4U8BsM07qSMlyNCQx8Vp7qc/edit?usp=drivesdk")</f>
        <v>https://docs.google.com/spreadsheets/d/1duDf4PFxrDZwA6bWPzKp4U8BsM07qSMlyNCQx8Vp7qc/edit?usp=drivesdk</v>
      </c>
      <c r="E62" s="55" t="str">
        <f ca="1">IFERROR(__xludf.DUMMYFUNCTION("""COMPUTED_VALUE"""),"17 - PARAIBATEC FIC")</f>
        <v>17 - PARAIBATEC FIC</v>
      </c>
      <c r="F62" s="55" t="str">
        <f ca="1">IFERROR(__xludf.DUMMYFUNCTION("""COMPUTED_VALUE"""),"PARAIBATEC FIC")</f>
        <v>PARAIBATEC FIC</v>
      </c>
      <c r="G62" s="55" t="str">
        <f ca="1">IFERROR(__xludf.DUMMYFUNCTION("""COMPUTED_VALUE"""),"01 - PARAIBATEC")</f>
        <v>01 - PARAIBATEC</v>
      </c>
      <c r="H62" s="55" t="str">
        <f ca="1">IFERROR(__xludf.DUMMYFUNCTION("""COMPUTED_VALUE"""),"PARAIBATEC")</f>
        <v>PARAIBATEC</v>
      </c>
      <c r="I62" s="55" t="str">
        <f ca="1">IFERROR(__xludf.DUMMYFUNCTION("""COMPUTED_VALUE"""),"474 - ESCOLA MUNICIPAL JOSE GUALBERTO DE ANDRADE")</f>
        <v>474 - ESCOLA MUNICIPAL JOSE GUALBERTO DE ANDRADE</v>
      </c>
      <c r="J62" s="55" t="str">
        <f ca="1">IFERROR(__xludf.DUMMYFUNCTION("""COMPUTED_VALUE""")," JOCA CLAUDINO")</f>
        <v xml:space="preserve"> JOCA CLAUDINO</v>
      </c>
      <c r="K62" s="55"/>
      <c r="L62" s="55"/>
      <c r="M62" s="55" t="str">
        <f ca="1">IFERROR(__xludf.DUMMYFUNCTION("""COMPUTED_VALUE"""),"ESCOLA MUNICIPAL JOSE GUALBERTO DE ANDRADE")</f>
        <v>ESCOLA MUNICIPAL JOSE GUALBERTO DE ANDRADE</v>
      </c>
      <c r="N62" s="55">
        <f ca="1">IFERROR(__xludf.DUMMYFUNCTION("""COMPUTED_VALUE"""),221292)</f>
        <v>221292</v>
      </c>
      <c r="O62" s="55" t="str">
        <f ca="1">IFERROR(__xludf.DUMMYFUNCTION("""COMPUTED_VALUE"""),"SEGURANÇA")</f>
        <v>SEGURANÇA</v>
      </c>
      <c r="P62" s="55" t="str">
        <f ca="1">IFERROR(__xludf.DUMMYFUNCTION("""COMPUTED_VALUE"""),"BOMBEIRO CIVIL")</f>
        <v>BOMBEIRO CIVIL</v>
      </c>
      <c r="Q62" s="55" t="str">
        <f ca="1">IFERROR(__xludf.DUMMYFUNCTION("""COMPUTED_VALUE"""),"FIC")</f>
        <v>FIC</v>
      </c>
      <c r="R62" s="55">
        <f ca="1">IFERROR(__xludf.DUMMYFUNCTION("""COMPUTED_VALUE"""),210)</f>
        <v>210</v>
      </c>
      <c r="S62" s="55" t="str">
        <f ca="1">IFERROR(__xludf.DUMMYFUNCTION("""COMPUTED_VALUE"""),"NOITE")</f>
        <v>NOITE</v>
      </c>
      <c r="T62" s="57">
        <f ca="1">IFERROR(__xludf.DUMMYFUNCTION("""COMPUTED_VALUE"""),45691)</f>
        <v>45691</v>
      </c>
      <c r="U62" s="57">
        <f ca="1">IFERROR(__xludf.DUMMYFUNCTION("""COMPUTED_VALUE"""),45797)</f>
        <v>45797</v>
      </c>
      <c r="V62" s="55"/>
      <c r="W62" s="55"/>
      <c r="X62" s="55"/>
      <c r="Y62" s="55" t="str">
        <f ca="1">IFERROR(__xludf.DUMMYFUNCTION("""COMPUTED_VALUE"""),"EM OFERTA")</f>
        <v>EM OFERTA</v>
      </c>
      <c r="Z62" s="55"/>
      <c r="AA62" s="55"/>
      <c r="AB62" s="55"/>
      <c r="AC62" s="55"/>
      <c r="AD62" s="55"/>
      <c r="AE62" s="55"/>
      <c r="AF62" s="55"/>
      <c r="AG62" s="55"/>
      <c r="AH62" s="55" t="str">
        <f ca="1">IFERROR(__xludf.DUMMYFUNCTION("""COMPUTED_VALUE"""),"-")</f>
        <v>-</v>
      </c>
      <c r="AI62" s="55" t="str">
        <f ca="1">IFERROR(__xludf.DUMMYFUNCTION("""COMPUTED_VALUE"""),"FRANCINEY BEGNE BEZERRA")</f>
        <v>FRANCINEY BEGNE BEZERRA</v>
      </c>
      <c r="AJ62" s="55" t="str">
        <f ca="1">IFERROR(__xludf.DUMMYFUNCTION("""COMPUTED_VALUE"""),"-")</f>
        <v>-</v>
      </c>
      <c r="AK62" s="55" t="str">
        <f ca="1">IFERROR(__xludf.DUMMYFUNCTION("""COMPUTED_VALUE"""),"-")</f>
        <v>-</v>
      </c>
      <c r="AL62" s="55" t="str">
        <f ca="1">IFERROR(__xludf.DUMMYFUNCTION("""COMPUTED_VALUE"""),"ALCIONE DE ANDRADE")</f>
        <v>ALCIONE DE ANDRADE</v>
      </c>
      <c r="AM62" s="55">
        <f ca="1">IFERROR(__xludf.DUMMYFUNCTION("""COMPUTED_VALUE"""),2025)</f>
        <v>2025</v>
      </c>
      <c r="AN62" s="55"/>
    </row>
    <row r="63" spans="1:40" ht="14" x14ac:dyDescent="0.35">
      <c r="A63" s="55" t="str">
        <f t="shared" ca="1" si="0"/>
        <v xml:space="preserve"> JUAZEIRINHO/ECIT ESCOLA CIDADA INTEGRAL DEPUTADO GENIVAL MATIAS DE OLIVEIRA/ASSISTENTE ADMINISTRATIVO/NOITE</v>
      </c>
      <c r="B63" s="55" t="str">
        <f ca="1">IFERROR(__xludf.DUMMYFUNCTION("""COMPUTED_VALUE"""),"00000001426")</f>
        <v>00000001426</v>
      </c>
      <c r="C63" s="55" t="str">
        <f ca="1">IFERROR(__xludf.DUMMYFUNCTION("""COMPUTED_VALUE"""),"T-ASSISTENTE ADMINISTRATIVO/00000001426")</f>
        <v>T-ASSISTENTE ADMINISTRATIVO/00000001426</v>
      </c>
      <c r="D63" s="56" t="str">
        <f ca="1">IFERROR(__xludf.DUMMYFUNCTION("""COMPUTED_VALUE"""),"https://docs.google.com/spreadsheets/d/1WUrzV8gz5aJQ34syzBrHehw6mB8YMCB-2ym4MAgIr3I/edit?usp=drivesdk")</f>
        <v>https://docs.google.com/spreadsheets/d/1WUrzV8gz5aJQ34syzBrHehw6mB8YMCB-2ym4MAgIr3I/edit?usp=drivesdk</v>
      </c>
      <c r="E63" s="55" t="str">
        <f ca="1">IFERROR(__xludf.DUMMYFUNCTION("""COMPUTED_VALUE"""),"17 - PARAIBATEC FIC")</f>
        <v>17 - PARAIBATEC FIC</v>
      </c>
      <c r="F63" s="55" t="str">
        <f ca="1">IFERROR(__xludf.DUMMYFUNCTION("""COMPUTED_VALUE"""),"PARAIBATEC FIC")</f>
        <v>PARAIBATEC FIC</v>
      </c>
      <c r="G63" s="55" t="str">
        <f ca="1">IFERROR(__xludf.DUMMYFUNCTION("""COMPUTED_VALUE"""),"01 - PARAIBATEC")</f>
        <v>01 - PARAIBATEC</v>
      </c>
      <c r="H63" s="55" t="str">
        <f ca="1">IFERROR(__xludf.DUMMYFUNCTION("""COMPUTED_VALUE"""),"PARAIBATEC")</f>
        <v>PARAIBATEC</v>
      </c>
      <c r="I63" s="55" t="str">
        <f ca="1">IFERROR(__xludf.DUMMYFUNCTION("""COMPUTED_VALUE"""),"527 - ECIT ESCOLA CIDADA INTEGRAL DEPUTADO GENIVAL MATIAS DE OLIVEIRA")</f>
        <v>527 - ECIT ESCOLA CIDADA INTEGRAL DEPUTADO GENIVAL MATIAS DE OLIVEIRA</v>
      </c>
      <c r="J63" s="55" t="str">
        <f ca="1">IFERROR(__xludf.DUMMYFUNCTION("""COMPUTED_VALUE""")," JUAZEIRINHO")</f>
        <v xml:space="preserve"> JUAZEIRINHO</v>
      </c>
      <c r="K63" s="55"/>
      <c r="L63" s="55"/>
      <c r="M63" s="55" t="str">
        <f ca="1">IFERROR(__xludf.DUMMYFUNCTION("""COMPUTED_VALUE"""),"ECIT ESCOLA CIDADA INTEGRAL DEPUTADO GENIVAL MATIAS DE OLIVEIRA")</f>
        <v>ECIT ESCOLA CIDADA INTEGRAL DEPUTADO GENIVAL MATIAS DE OLIVEIRA</v>
      </c>
      <c r="N63" s="55">
        <f ca="1">IFERROR(__xludf.DUMMYFUNCTION("""COMPUTED_VALUE"""),221012)</f>
        <v>221012</v>
      </c>
      <c r="O63" s="55" t="str">
        <f ca="1">IFERROR(__xludf.DUMMYFUNCTION("""COMPUTED_VALUE"""),"GESTAO E NEGOCIOS")</f>
        <v>GESTAO E NEGOCIOS</v>
      </c>
      <c r="P63" s="55" t="str">
        <f ca="1">IFERROR(__xludf.DUMMYFUNCTION("""COMPUTED_VALUE"""),"ASSISTENTE ADMINISTRATIVO")</f>
        <v>ASSISTENTE ADMINISTRATIVO</v>
      </c>
      <c r="Q63" s="55" t="str">
        <f ca="1">IFERROR(__xludf.DUMMYFUNCTION("""COMPUTED_VALUE"""),"FIC")</f>
        <v>FIC</v>
      </c>
      <c r="R63" s="55">
        <f ca="1">IFERROR(__xludf.DUMMYFUNCTION("""COMPUTED_VALUE"""),160)</f>
        <v>160</v>
      </c>
      <c r="S63" s="55" t="str">
        <f ca="1">IFERROR(__xludf.DUMMYFUNCTION("""COMPUTED_VALUE"""),"NOITE")</f>
        <v>NOITE</v>
      </c>
      <c r="T63" s="57">
        <f ca="1">IFERROR(__xludf.DUMMYFUNCTION("""COMPUTED_VALUE"""),45691)</f>
        <v>45691</v>
      </c>
      <c r="U63" s="57">
        <f ca="1">IFERROR(__xludf.DUMMYFUNCTION("""COMPUTED_VALUE"""),45771)</f>
        <v>45771</v>
      </c>
      <c r="V63" s="55"/>
      <c r="W63" s="55"/>
      <c r="X63" s="55"/>
      <c r="Y63" s="55" t="str">
        <f ca="1">IFERROR(__xludf.DUMMYFUNCTION("""COMPUTED_VALUE"""),"EM OFERTA")</f>
        <v>EM OFERTA</v>
      </c>
      <c r="Z63" s="55"/>
      <c r="AA63" s="55"/>
      <c r="AB63" s="55"/>
      <c r="AC63" s="55"/>
      <c r="AD63" s="55"/>
      <c r="AE63" s="55"/>
      <c r="AF63" s="55"/>
      <c r="AG63" s="55"/>
      <c r="AH63" s="55" t="str">
        <f ca="1">IFERROR(__xludf.DUMMYFUNCTION("""COMPUTED_VALUE"""),"-")</f>
        <v>-</v>
      </c>
      <c r="AI63" s="55" t="str">
        <f ca="1">IFERROR(__xludf.DUMMYFUNCTION("""COMPUTED_VALUE"""),"CLISLANE RAMOS DE BRITO")</f>
        <v>CLISLANE RAMOS DE BRITO</v>
      </c>
      <c r="AJ63" s="55" t="str">
        <f ca="1">IFERROR(__xludf.DUMMYFUNCTION("""COMPUTED_VALUE"""),"-")</f>
        <v>-</v>
      </c>
      <c r="AK63" s="55" t="str">
        <f ca="1">IFERROR(__xludf.DUMMYFUNCTION("""COMPUTED_VALUE"""),"-")</f>
        <v>-</v>
      </c>
      <c r="AL63" s="55" t="str">
        <f ca="1">IFERROR(__xludf.DUMMYFUNCTION("""COMPUTED_VALUE"""),"MILENA DAYANE SOARES MEDEIROS")</f>
        <v>MILENA DAYANE SOARES MEDEIROS</v>
      </c>
      <c r="AM63" s="55">
        <f ca="1">IFERROR(__xludf.DUMMYFUNCTION("""COMPUTED_VALUE"""),2025)</f>
        <v>2025</v>
      </c>
      <c r="AN63" s="55"/>
    </row>
    <row r="64" spans="1:40" ht="14" x14ac:dyDescent="0.35">
      <c r="A64" s="55" t="str">
        <f t="shared" ca="1" si="0"/>
        <v xml:space="preserve"> JUAZEIRINHO/ECIT ESCOLA CIDADA INTEGRAL DEPUTADO GENIVAL MATIAS DE OLIVEIRA/CUIDADOR INFANTIL/NOITE</v>
      </c>
      <c r="B64" s="55" t="str">
        <f ca="1">IFERROR(__xludf.DUMMYFUNCTION("""COMPUTED_VALUE"""),"00000001427")</f>
        <v>00000001427</v>
      </c>
      <c r="C64" s="55" t="str">
        <f ca="1">IFERROR(__xludf.DUMMYFUNCTION("""COMPUTED_VALUE"""),"T-CUIDADOR INFANTIL/00000001427")</f>
        <v>T-CUIDADOR INFANTIL/00000001427</v>
      </c>
      <c r="D64" s="56" t="str">
        <f ca="1">IFERROR(__xludf.DUMMYFUNCTION("""COMPUTED_VALUE"""),"https://docs.google.com/spreadsheets/d/1nmp5gZoAjr9QCe78GBPdG65-ElfczKmsuJsADTbTCh0/edit?usp=drivesdk")</f>
        <v>https://docs.google.com/spreadsheets/d/1nmp5gZoAjr9QCe78GBPdG65-ElfczKmsuJsADTbTCh0/edit?usp=drivesdk</v>
      </c>
      <c r="E64" s="55" t="str">
        <f ca="1">IFERROR(__xludf.DUMMYFUNCTION("""COMPUTED_VALUE"""),"17 - PARAIBATEC FIC")</f>
        <v>17 - PARAIBATEC FIC</v>
      </c>
      <c r="F64" s="55" t="str">
        <f ca="1">IFERROR(__xludf.DUMMYFUNCTION("""COMPUTED_VALUE"""),"PARAIBATEC FIC")</f>
        <v>PARAIBATEC FIC</v>
      </c>
      <c r="G64" s="55" t="str">
        <f ca="1">IFERROR(__xludf.DUMMYFUNCTION("""COMPUTED_VALUE"""),"01 - PARAIBATEC")</f>
        <v>01 - PARAIBATEC</v>
      </c>
      <c r="H64" s="55" t="str">
        <f ca="1">IFERROR(__xludf.DUMMYFUNCTION("""COMPUTED_VALUE"""),"PARAIBATEC")</f>
        <v>PARAIBATEC</v>
      </c>
      <c r="I64" s="55" t="str">
        <f ca="1">IFERROR(__xludf.DUMMYFUNCTION("""COMPUTED_VALUE"""),"527 - ECIT ESCOLA CIDADA INTEGRAL DEPUTADO GENIVAL MATIAS DE OLIVEIRA")</f>
        <v>527 - ECIT ESCOLA CIDADA INTEGRAL DEPUTADO GENIVAL MATIAS DE OLIVEIRA</v>
      </c>
      <c r="J64" s="55" t="str">
        <f ca="1">IFERROR(__xludf.DUMMYFUNCTION("""COMPUTED_VALUE""")," JUAZEIRINHO")</f>
        <v xml:space="preserve"> JUAZEIRINHO</v>
      </c>
      <c r="K64" s="55"/>
      <c r="L64" s="55"/>
      <c r="M64" s="55" t="str">
        <f ca="1">IFERROR(__xludf.DUMMYFUNCTION("""COMPUTED_VALUE"""),"ECIT ESCOLA CIDADA INTEGRAL DEPUTADO GENIVAL MATIAS DE OLIVEIRA")</f>
        <v>ECIT ESCOLA CIDADA INTEGRAL DEPUTADO GENIVAL MATIAS DE OLIVEIRA</v>
      </c>
      <c r="N64" s="55">
        <f ca="1">IFERROR(__xludf.DUMMYFUNCTION("""COMPUTED_VALUE"""),221538)</f>
        <v>221538</v>
      </c>
      <c r="O64" s="55" t="str">
        <f ca="1">IFERROR(__xludf.DUMMYFUNCTION("""COMPUTED_VALUE"""),"AMBIENTE E SAUDE")</f>
        <v>AMBIENTE E SAUDE</v>
      </c>
      <c r="P64" s="55" t="str">
        <f ca="1">IFERROR(__xludf.DUMMYFUNCTION("""COMPUTED_VALUE"""),"CUIDADOR INFANTIL")</f>
        <v>CUIDADOR INFANTIL</v>
      </c>
      <c r="Q64" s="55" t="str">
        <f ca="1">IFERROR(__xludf.DUMMYFUNCTION("""COMPUTED_VALUE"""),"FIC")</f>
        <v>FIC</v>
      </c>
      <c r="R64" s="55">
        <f ca="1">IFERROR(__xludf.DUMMYFUNCTION("""COMPUTED_VALUE"""),160)</f>
        <v>160</v>
      </c>
      <c r="S64" s="55" t="str">
        <f ca="1">IFERROR(__xludf.DUMMYFUNCTION("""COMPUTED_VALUE"""),"NOITE")</f>
        <v>NOITE</v>
      </c>
      <c r="T64" s="57">
        <f ca="1">IFERROR(__xludf.DUMMYFUNCTION("""COMPUTED_VALUE"""),45691)</f>
        <v>45691</v>
      </c>
      <c r="U64" s="57">
        <f ca="1">IFERROR(__xludf.DUMMYFUNCTION("""COMPUTED_VALUE"""),45771)</f>
        <v>45771</v>
      </c>
      <c r="V64" s="55"/>
      <c r="W64" s="55"/>
      <c r="X64" s="55"/>
      <c r="Y64" s="55" t="str">
        <f ca="1">IFERROR(__xludf.DUMMYFUNCTION("""COMPUTED_VALUE"""),"EM OFERTA")</f>
        <v>EM OFERTA</v>
      </c>
      <c r="Z64" s="55"/>
      <c r="AA64" s="55"/>
      <c r="AB64" s="55"/>
      <c r="AC64" s="55"/>
      <c r="AD64" s="55"/>
      <c r="AE64" s="55"/>
      <c r="AF64" s="55"/>
      <c r="AG64" s="55"/>
      <c r="AH64" s="55" t="str">
        <f ca="1">IFERROR(__xludf.DUMMYFUNCTION("""COMPUTED_VALUE"""),"-")</f>
        <v>-</v>
      </c>
      <c r="AI64" s="55" t="str">
        <f ca="1">IFERROR(__xludf.DUMMYFUNCTION("""COMPUTED_VALUE"""),"CLISLANE RAMOS DE BRITO")</f>
        <v>CLISLANE RAMOS DE BRITO</v>
      </c>
      <c r="AJ64" s="55" t="str">
        <f ca="1">IFERROR(__xludf.DUMMYFUNCTION("""COMPUTED_VALUE"""),"-")</f>
        <v>-</v>
      </c>
      <c r="AK64" s="55" t="str">
        <f ca="1">IFERROR(__xludf.DUMMYFUNCTION("""COMPUTED_VALUE"""),"-")</f>
        <v>-</v>
      </c>
      <c r="AL64" s="55" t="str">
        <f ca="1">IFERROR(__xludf.DUMMYFUNCTION("""COMPUTED_VALUE"""),"KARLA EMMANUELLE MATIAS VITAL DE OLIVEIRA AMORIM")</f>
        <v>KARLA EMMANUELLE MATIAS VITAL DE OLIVEIRA AMORIM</v>
      </c>
      <c r="AM64" s="55">
        <f ca="1">IFERROR(__xludf.DUMMYFUNCTION("""COMPUTED_VALUE"""),2025)</f>
        <v>2025</v>
      </c>
      <c r="AN64" s="55"/>
    </row>
    <row r="65" spans="1:40" ht="14" x14ac:dyDescent="0.35">
      <c r="A65" s="55" t="str">
        <f t="shared" ca="1" si="0"/>
        <v xml:space="preserve"> JUAZEIRINHO/ECIT ESCOLA CIDADA INTEGRAL DEPUTADO GENIVAL MATIAS DE OLIVEIRA/MICROEMPREENDEDOR INDIVIDUAL (MEI)/NOITE</v>
      </c>
      <c r="B65" s="55" t="str">
        <f ca="1">IFERROR(__xludf.DUMMYFUNCTION("""COMPUTED_VALUE"""),"00000001428")</f>
        <v>00000001428</v>
      </c>
      <c r="C65" s="55" t="str">
        <f ca="1">IFERROR(__xludf.DUMMYFUNCTION("""COMPUTED_VALUE"""),"T-MICROEMPREENDEDOR INDIVIDUAL (MEI)/00000001428")</f>
        <v>T-MICROEMPREENDEDOR INDIVIDUAL (MEI)/00000001428</v>
      </c>
      <c r="D65" s="56" t="str">
        <f ca="1">IFERROR(__xludf.DUMMYFUNCTION("""COMPUTED_VALUE"""),"https://docs.google.com/spreadsheets/d/1jg4yYtHnl5vTKju9WjihlGH4HWnoRzehInmrynrrDmc/edit?usp=drivesdk")</f>
        <v>https://docs.google.com/spreadsheets/d/1jg4yYtHnl5vTKju9WjihlGH4HWnoRzehInmrynrrDmc/edit?usp=drivesdk</v>
      </c>
      <c r="E65" s="55" t="str">
        <f ca="1">IFERROR(__xludf.DUMMYFUNCTION("""COMPUTED_VALUE"""),"17 - PARAIBATEC FIC")</f>
        <v>17 - PARAIBATEC FIC</v>
      </c>
      <c r="F65" s="55" t="str">
        <f ca="1">IFERROR(__xludf.DUMMYFUNCTION("""COMPUTED_VALUE"""),"PARAIBATEC FIC")</f>
        <v>PARAIBATEC FIC</v>
      </c>
      <c r="G65" s="55" t="str">
        <f ca="1">IFERROR(__xludf.DUMMYFUNCTION("""COMPUTED_VALUE"""),"01 - PARAIBATEC")</f>
        <v>01 - PARAIBATEC</v>
      </c>
      <c r="H65" s="55" t="str">
        <f ca="1">IFERROR(__xludf.DUMMYFUNCTION("""COMPUTED_VALUE"""),"PARAIBATEC")</f>
        <v>PARAIBATEC</v>
      </c>
      <c r="I65" s="55" t="str">
        <f ca="1">IFERROR(__xludf.DUMMYFUNCTION("""COMPUTED_VALUE"""),"527 - ECIT ESCOLA CIDADA INTEGRAL DEPUTADO GENIVAL MATIAS DE OLIVEIRA")</f>
        <v>527 - ECIT ESCOLA CIDADA INTEGRAL DEPUTADO GENIVAL MATIAS DE OLIVEIRA</v>
      </c>
      <c r="J65" s="55" t="str">
        <f ca="1">IFERROR(__xludf.DUMMYFUNCTION("""COMPUTED_VALUE""")," JUAZEIRINHO")</f>
        <v xml:space="preserve"> JUAZEIRINHO</v>
      </c>
      <c r="K65" s="55"/>
      <c r="L65" s="55"/>
      <c r="M65" s="55" t="str">
        <f ca="1">IFERROR(__xludf.DUMMYFUNCTION("""COMPUTED_VALUE"""),"ECIT ESCOLA CIDADA INTEGRAL DEPUTADO GENIVAL MATIAS DE OLIVEIRA")</f>
        <v>ECIT ESCOLA CIDADA INTEGRAL DEPUTADO GENIVAL MATIAS DE OLIVEIRA</v>
      </c>
      <c r="N65" s="55">
        <f ca="1">IFERROR(__xludf.DUMMYFUNCTION("""COMPUTED_VALUE"""),278099)</f>
        <v>278099</v>
      </c>
      <c r="O65" s="55" t="str">
        <f ca="1">IFERROR(__xludf.DUMMYFUNCTION("""COMPUTED_VALUE"""),"GESTAO E NEGOCIOS")</f>
        <v>GESTAO E NEGOCIOS</v>
      </c>
      <c r="P65" s="55" t="str">
        <f ca="1">IFERROR(__xludf.DUMMYFUNCTION("""COMPUTED_VALUE"""),"MICROEMPREENDEDOR INDIVIDUAL (MEI)")</f>
        <v>MICROEMPREENDEDOR INDIVIDUAL (MEI)</v>
      </c>
      <c r="Q65" s="55" t="str">
        <f ca="1">IFERROR(__xludf.DUMMYFUNCTION("""COMPUTED_VALUE"""),"FIC")</f>
        <v>FIC</v>
      </c>
      <c r="R65" s="55">
        <f ca="1">IFERROR(__xludf.DUMMYFUNCTION("""COMPUTED_VALUE"""),160)</f>
        <v>160</v>
      </c>
      <c r="S65" s="55" t="str">
        <f ca="1">IFERROR(__xludf.DUMMYFUNCTION("""COMPUTED_VALUE"""),"NOITE")</f>
        <v>NOITE</v>
      </c>
      <c r="T65" s="57">
        <f ca="1">IFERROR(__xludf.DUMMYFUNCTION("""COMPUTED_VALUE"""),45691)</f>
        <v>45691</v>
      </c>
      <c r="U65" s="57">
        <f ca="1">IFERROR(__xludf.DUMMYFUNCTION("""COMPUTED_VALUE"""),45771)</f>
        <v>45771</v>
      </c>
      <c r="V65" s="55"/>
      <c r="W65" s="55"/>
      <c r="X65" s="55"/>
      <c r="Y65" s="55" t="str">
        <f ca="1">IFERROR(__xludf.DUMMYFUNCTION("""COMPUTED_VALUE"""),"EM OFERTA")</f>
        <v>EM OFERTA</v>
      </c>
      <c r="Z65" s="55"/>
      <c r="AA65" s="55"/>
      <c r="AB65" s="55"/>
      <c r="AC65" s="55"/>
      <c r="AD65" s="55"/>
      <c r="AE65" s="55"/>
      <c r="AF65" s="55"/>
      <c r="AG65" s="55"/>
      <c r="AH65" s="55" t="str">
        <f ca="1">IFERROR(__xludf.DUMMYFUNCTION("""COMPUTED_VALUE"""),"-")</f>
        <v>-</v>
      </c>
      <c r="AI65" s="55" t="str">
        <f ca="1">IFERROR(__xludf.DUMMYFUNCTION("""COMPUTED_VALUE"""),"CLISLANE RAMOS DE BRITO")</f>
        <v>CLISLANE RAMOS DE BRITO</v>
      </c>
      <c r="AJ65" s="55" t="str">
        <f ca="1">IFERROR(__xludf.DUMMYFUNCTION("""COMPUTED_VALUE"""),"-")</f>
        <v>-</v>
      </c>
      <c r="AK65" s="55" t="str">
        <f ca="1">IFERROR(__xludf.DUMMYFUNCTION("""COMPUTED_VALUE"""),"-")</f>
        <v>-</v>
      </c>
      <c r="AL65" s="55" t="str">
        <f ca="1">IFERROR(__xludf.DUMMYFUNCTION("""COMPUTED_VALUE"""),"RITA DE CASSIA DE SOUZA DANTAS")</f>
        <v>RITA DE CASSIA DE SOUZA DANTAS</v>
      </c>
      <c r="AM65" s="55">
        <f ca="1">IFERROR(__xludf.DUMMYFUNCTION("""COMPUTED_VALUE"""),2025)</f>
        <v>2025</v>
      </c>
      <c r="AN65" s="55"/>
    </row>
    <row r="66" spans="1:40" ht="14" x14ac:dyDescent="0.35">
      <c r="A66" s="55" t="str">
        <f t="shared" ca="1" si="0"/>
        <v xml:space="preserve"> JUNCO DO SERIDÓ/ESCOLA MUNICIPAL SANTO ONOFRE/MANICURE E PEDICURE/NOITE</v>
      </c>
      <c r="B66" s="55" t="str">
        <f ca="1">IFERROR(__xludf.DUMMYFUNCTION("""COMPUTED_VALUE"""),"00000001429")</f>
        <v>00000001429</v>
      </c>
      <c r="C66" s="55" t="str">
        <f ca="1">IFERROR(__xludf.DUMMYFUNCTION("""COMPUTED_VALUE"""),"T-MANICURE E PEDICURE/00000001429")</f>
        <v>T-MANICURE E PEDICURE/00000001429</v>
      </c>
      <c r="D66" s="56" t="str">
        <f ca="1">IFERROR(__xludf.DUMMYFUNCTION("""COMPUTED_VALUE"""),"https://docs.google.com/spreadsheets/d/1t9ggz45bIUudpoasoVe9BADAICCRc31N32kLiIx_Tuk/edit?usp=drivesdk")</f>
        <v>https://docs.google.com/spreadsheets/d/1t9ggz45bIUudpoasoVe9BADAICCRc31N32kLiIx_Tuk/edit?usp=drivesdk</v>
      </c>
      <c r="E66" s="55" t="str">
        <f ca="1">IFERROR(__xludf.DUMMYFUNCTION("""COMPUTED_VALUE"""),"17 - PARAIBATEC FIC")</f>
        <v>17 - PARAIBATEC FIC</v>
      </c>
      <c r="F66" s="55" t="str">
        <f ca="1">IFERROR(__xludf.DUMMYFUNCTION("""COMPUTED_VALUE"""),"PARAIBATEC FIC")</f>
        <v>PARAIBATEC FIC</v>
      </c>
      <c r="G66" s="55" t="str">
        <f ca="1">IFERROR(__xludf.DUMMYFUNCTION("""COMPUTED_VALUE"""),"01 - PARAIBATEC")</f>
        <v>01 - PARAIBATEC</v>
      </c>
      <c r="H66" s="55" t="str">
        <f ca="1">IFERROR(__xludf.DUMMYFUNCTION("""COMPUTED_VALUE"""),"PARAIBATEC")</f>
        <v>PARAIBATEC</v>
      </c>
      <c r="I66" s="55" t="str">
        <f ca="1">IFERROR(__xludf.DUMMYFUNCTION("""COMPUTED_VALUE"""),"528 - ESCOLA MUNICIPAL SANTO ONOFRE")</f>
        <v>528 - ESCOLA MUNICIPAL SANTO ONOFRE</v>
      </c>
      <c r="J66" s="55" t="str">
        <f ca="1">IFERROR(__xludf.DUMMYFUNCTION("""COMPUTED_VALUE""")," JUNCO DO SERIDÓ")</f>
        <v xml:space="preserve"> JUNCO DO SERIDÓ</v>
      </c>
      <c r="K66" s="55"/>
      <c r="L66" s="55"/>
      <c r="M66" s="55" t="str">
        <f ca="1">IFERROR(__xludf.DUMMYFUNCTION("""COMPUTED_VALUE"""),"ESCOLA MUNICIPAL SANTO ONOFRE")</f>
        <v>ESCOLA MUNICIPAL SANTO ONOFRE</v>
      </c>
      <c r="N66" s="55">
        <f ca="1">IFERROR(__xludf.DUMMYFUNCTION("""COMPUTED_VALUE"""),221475)</f>
        <v>221475</v>
      </c>
      <c r="O66" s="55" t="str">
        <f ca="1">IFERROR(__xludf.DUMMYFUNCTION("""COMPUTED_VALUE"""),"AMBIENTE E SAUDE")</f>
        <v>AMBIENTE E SAUDE</v>
      </c>
      <c r="P66" s="55" t="str">
        <f ca="1">IFERROR(__xludf.DUMMYFUNCTION("""COMPUTED_VALUE"""),"MANICURE E PEDICURE")</f>
        <v>MANICURE E PEDICURE</v>
      </c>
      <c r="Q66" s="55" t="str">
        <f ca="1">IFERROR(__xludf.DUMMYFUNCTION("""COMPUTED_VALUE"""),"FIC")</f>
        <v>FIC</v>
      </c>
      <c r="R66" s="55">
        <f ca="1">IFERROR(__xludf.DUMMYFUNCTION("""COMPUTED_VALUE"""),160)</f>
        <v>160</v>
      </c>
      <c r="S66" s="55" t="str">
        <f ca="1">IFERROR(__xludf.DUMMYFUNCTION("""COMPUTED_VALUE"""),"NOITE")</f>
        <v>NOITE</v>
      </c>
      <c r="T66" s="57">
        <f ca="1">IFERROR(__xludf.DUMMYFUNCTION("""COMPUTED_VALUE"""),45691)</f>
        <v>45691</v>
      </c>
      <c r="U66" s="57">
        <f ca="1">IFERROR(__xludf.DUMMYFUNCTION("""COMPUTED_VALUE"""),45793)</f>
        <v>45793</v>
      </c>
      <c r="V66" s="55"/>
      <c r="W66" s="55"/>
      <c r="X66" s="55"/>
      <c r="Y66" s="55" t="str">
        <f ca="1">IFERROR(__xludf.DUMMYFUNCTION("""COMPUTED_VALUE"""),"EM OFERTA")</f>
        <v>EM OFERTA</v>
      </c>
      <c r="Z66" s="55"/>
      <c r="AA66" s="55"/>
      <c r="AB66" s="55"/>
      <c r="AC66" s="55"/>
      <c r="AD66" s="55"/>
      <c r="AE66" s="55"/>
      <c r="AF66" s="55"/>
      <c r="AG66" s="55"/>
      <c r="AH66" s="55" t="str">
        <f ca="1">IFERROR(__xludf.DUMMYFUNCTION("""COMPUTED_VALUE"""),"-")</f>
        <v>-</v>
      </c>
      <c r="AI66" s="55" t="str">
        <f ca="1">IFERROR(__xludf.DUMMYFUNCTION("""COMPUTED_VALUE"""),"MARCIO AMORIM DE MEDEIROS VITAL")</f>
        <v>MARCIO AMORIM DE MEDEIROS VITAL</v>
      </c>
      <c r="AJ66" s="55" t="str">
        <f ca="1">IFERROR(__xludf.DUMMYFUNCTION("""COMPUTED_VALUE"""),"-")</f>
        <v>-</v>
      </c>
      <c r="AK66" s="55" t="str">
        <f ca="1">IFERROR(__xludf.DUMMYFUNCTION("""COMPUTED_VALUE"""),"-")</f>
        <v>-</v>
      </c>
      <c r="AL66" s="55" t="str">
        <f ca="1">IFERROR(__xludf.DUMMYFUNCTION("""COMPUTED_VALUE"""),"MARIA MARTA DOS SANTOS BARBOSA")</f>
        <v>MARIA MARTA DOS SANTOS BARBOSA</v>
      </c>
      <c r="AM66" s="55">
        <f ca="1">IFERROR(__xludf.DUMMYFUNCTION("""COMPUTED_VALUE"""),2025)</f>
        <v>2025</v>
      </c>
      <c r="AN66" s="55"/>
    </row>
    <row r="67" spans="1:40" ht="14" x14ac:dyDescent="0.35">
      <c r="A67" s="55" t="str">
        <f t="shared" ca="1" si="0"/>
        <v xml:space="preserve"> JUNCO DO SERIDÓ/ESCOLA MUNICIPAL SANTO ONOFRE/RECEPCIONISTA EM SERVICOS DE SAUDE/NOITE</v>
      </c>
      <c r="B67" s="55" t="str">
        <f ca="1">IFERROR(__xludf.DUMMYFUNCTION("""COMPUTED_VALUE"""),"00000001430")</f>
        <v>00000001430</v>
      </c>
      <c r="C67" s="55" t="str">
        <f ca="1">IFERROR(__xludf.DUMMYFUNCTION("""COMPUTED_VALUE"""),"T-RECEPCIONISTA EM SERVICOS DE SAUDE/00000001430")</f>
        <v>T-RECEPCIONISTA EM SERVICOS DE SAUDE/00000001430</v>
      </c>
      <c r="D67" s="56" t="str">
        <f ca="1">IFERROR(__xludf.DUMMYFUNCTION("""COMPUTED_VALUE"""),"https://docs.google.com/spreadsheets/d/1loeRhdVPaj2bfg7p_IinWHtWUxAYFpQy7kp-XX0Edp0/edit?usp=drivesdk")</f>
        <v>https://docs.google.com/spreadsheets/d/1loeRhdVPaj2bfg7p_IinWHtWUxAYFpQy7kp-XX0Edp0/edit?usp=drivesdk</v>
      </c>
      <c r="E67" s="55" t="str">
        <f ca="1">IFERROR(__xludf.DUMMYFUNCTION("""COMPUTED_VALUE"""),"17 - PARAIBATEC FIC")</f>
        <v>17 - PARAIBATEC FIC</v>
      </c>
      <c r="F67" s="55" t="str">
        <f ca="1">IFERROR(__xludf.DUMMYFUNCTION("""COMPUTED_VALUE"""),"PARAIBATEC FIC")</f>
        <v>PARAIBATEC FIC</v>
      </c>
      <c r="G67" s="55" t="str">
        <f ca="1">IFERROR(__xludf.DUMMYFUNCTION("""COMPUTED_VALUE"""),"01 - PARAIBATEC")</f>
        <v>01 - PARAIBATEC</v>
      </c>
      <c r="H67" s="55" t="str">
        <f ca="1">IFERROR(__xludf.DUMMYFUNCTION("""COMPUTED_VALUE"""),"PARAIBATEC")</f>
        <v>PARAIBATEC</v>
      </c>
      <c r="I67" s="55" t="str">
        <f ca="1">IFERROR(__xludf.DUMMYFUNCTION("""COMPUTED_VALUE"""),"528 - ESCOLA MUNICIPAL SANTO ONOFRE")</f>
        <v>528 - ESCOLA MUNICIPAL SANTO ONOFRE</v>
      </c>
      <c r="J67" s="55" t="str">
        <f ca="1">IFERROR(__xludf.DUMMYFUNCTION("""COMPUTED_VALUE""")," JUNCO DO SERIDÓ")</f>
        <v xml:space="preserve"> JUNCO DO SERIDÓ</v>
      </c>
      <c r="K67" s="55"/>
      <c r="L67" s="55"/>
      <c r="M67" s="55" t="str">
        <f ca="1">IFERROR(__xludf.DUMMYFUNCTION("""COMPUTED_VALUE"""),"ESCOLA MUNICIPAL SANTO ONOFRE")</f>
        <v>ESCOLA MUNICIPAL SANTO ONOFRE</v>
      </c>
      <c r="N67" s="55">
        <f ca="1">IFERROR(__xludf.DUMMYFUNCTION("""COMPUTED_VALUE"""),221536)</f>
        <v>221536</v>
      </c>
      <c r="O67" s="55" t="str">
        <f ca="1">IFERROR(__xludf.DUMMYFUNCTION("""COMPUTED_VALUE"""),"AMBIENTE E SAUDE")</f>
        <v>AMBIENTE E SAUDE</v>
      </c>
      <c r="P67" s="55" t="str">
        <f ca="1">IFERROR(__xludf.DUMMYFUNCTION("""COMPUTED_VALUE"""),"RECEPCIONISTA EM SERVICOS DE SAUDE")</f>
        <v>RECEPCIONISTA EM SERVICOS DE SAUDE</v>
      </c>
      <c r="Q67" s="55" t="str">
        <f ca="1">IFERROR(__xludf.DUMMYFUNCTION("""COMPUTED_VALUE"""),"FIC")</f>
        <v>FIC</v>
      </c>
      <c r="R67" s="55">
        <f ca="1">IFERROR(__xludf.DUMMYFUNCTION("""COMPUTED_VALUE"""),240)</f>
        <v>240</v>
      </c>
      <c r="S67" s="55" t="str">
        <f ca="1">IFERROR(__xludf.DUMMYFUNCTION("""COMPUTED_VALUE"""),"NOITE")</f>
        <v>NOITE</v>
      </c>
      <c r="T67" s="57">
        <f ca="1">IFERROR(__xludf.DUMMYFUNCTION("""COMPUTED_VALUE"""),45691)</f>
        <v>45691</v>
      </c>
      <c r="U67" s="57">
        <f ca="1">IFERROR(__xludf.DUMMYFUNCTION("""COMPUTED_VALUE"""),45839)</f>
        <v>45839</v>
      </c>
      <c r="V67" s="55"/>
      <c r="W67" s="55"/>
      <c r="X67" s="55"/>
      <c r="Y67" s="55" t="str">
        <f ca="1">IFERROR(__xludf.DUMMYFUNCTION("""COMPUTED_VALUE"""),"EM OFERTA")</f>
        <v>EM OFERTA</v>
      </c>
      <c r="Z67" s="55"/>
      <c r="AA67" s="55"/>
      <c r="AB67" s="55"/>
      <c r="AC67" s="55"/>
      <c r="AD67" s="55"/>
      <c r="AE67" s="55"/>
      <c r="AF67" s="55"/>
      <c r="AG67" s="55"/>
      <c r="AH67" s="55" t="str">
        <f ca="1">IFERROR(__xludf.DUMMYFUNCTION("""COMPUTED_VALUE"""),"-")</f>
        <v>-</v>
      </c>
      <c r="AI67" s="55" t="str">
        <f ca="1">IFERROR(__xludf.DUMMYFUNCTION("""COMPUTED_VALUE"""),"MARCIO AMORIM DE MEDEIROS VITAL")</f>
        <v>MARCIO AMORIM DE MEDEIROS VITAL</v>
      </c>
      <c r="AJ67" s="55" t="str">
        <f ca="1">IFERROR(__xludf.DUMMYFUNCTION("""COMPUTED_VALUE"""),"-")</f>
        <v>-</v>
      </c>
      <c r="AK67" s="55" t="str">
        <f ca="1">IFERROR(__xludf.DUMMYFUNCTION("""COMPUTED_VALUE"""),"-")</f>
        <v>-</v>
      </c>
      <c r="AL67" s="55" t="str">
        <f ca="1">IFERROR(__xludf.DUMMYFUNCTION("""COMPUTED_VALUE"""),"FRANCIMARIA BATISTA DA SILVA")</f>
        <v>FRANCIMARIA BATISTA DA SILVA</v>
      </c>
      <c r="AM67" s="55">
        <f ca="1">IFERROR(__xludf.DUMMYFUNCTION("""COMPUTED_VALUE"""),2025)</f>
        <v>2025</v>
      </c>
      <c r="AN67" s="55"/>
    </row>
    <row r="68" spans="1:40" ht="14" x14ac:dyDescent="0.35">
      <c r="A68" s="55" t="str">
        <f t="shared" ca="1" si="0"/>
        <v xml:space="preserve"> LAGOA DE DENTRO/ESCOLA MUNICIPAL DE ENSINO FUNDAMENTAL ALFREDO CHAVES/CUIDADOR INFANTIL/NOITE</v>
      </c>
      <c r="B68" s="55" t="str">
        <f ca="1">IFERROR(__xludf.DUMMYFUNCTION("""COMPUTED_VALUE"""),"00000001431")</f>
        <v>00000001431</v>
      </c>
      <c r="C68" s="55" t="str">
        <f ca="1">IFERROR(__xludf.DUMMYFUNCTION("""COMPUTED_VALUE"""),"T-CUIDADOR INFANTIL/00000001431")</f>
        <v>T-CUIDADOR INFANTIL/00000001431</v>
      </c>
      <c r="D68" s="56" t="str">
        <f ca="1">IFERROR(__xludf.DUMMYFUNCTION("""COMPUTED_VALUE"""),"https://docs.google.com/spreadsheets/d/1SZ9TUpaOpk17lsEmfy6DgYWwRmyDRglauBQ3aTr80K8/edit?usp=drivesdk")</f>
        <v>https://docs.google.com/spreadsheets/d/1SZ9TUpaOpk17lsEmfy6DgYWwRmyDRglauBQ3aTr80K8/edit?usp=drivesdk</v>
      </c>
      <c r="E68" s="55" t="str">
        <f ca="1">IFERROR(__xludf.DUMMYFUNCTION("""COMPUTED_VALUE"""),"17 - PARAIBATEC FIC")</f>
        <v>17 - PARAIBATEC FIC</v>
      </c>
      <c r="F68" s="55" t="str">
        <f ca="1">IFERROR(__xludf.DUMMYFUNCTION("""COMPUTED_VALUE"""),"PARAIBATEC FIC")</f>
        <v>PARAIBATEC FIC</v>
      </c>
      <c r="G68" s="55" t="str">
        <f ca="1">IFERROR(__xludf.DUMMYFUNCTION("""COMPUTED_VALUE"""),"01 - PARAIBATEC")</f>
        <v>01 - PARAIBATEC</v>
      </c>
      <c r="H68" s="55" t="str">
        <f ca="1">IFERROR(__xludf.DUMMYFUNCTION("""COMPUTED_VALUE"""),"PARAIBATEC")</f>
        <v>PARAIBATEC</v>
      </c>
      <c r="I68" s="55" t="str">
        <f ca="1">IFERROR(__xludf.DUMMYFUNCTION("""COMPUTED_VALUE"""),"529 - ESCOLA MUNICIPAL DE ENSINO FUNDAMENTAL ALFREDO CHAVES")</f>
        <v>529 - ESCOLA MUNICIPAL DE ENSINO FUNDAMENTAL ALFREDO CHAVES</v>
      </c>
      <c r="J68" s="55" t="str">
        <f ca="1">IFERROR(__xludf.DUMMYFUNCTION("""COMPUTED_VALUE""")," LAGOA DE DENTRO")</f>
        <v xml:space="preserve"> LAGOA DE DENTRO</v>
      </c>
      <c r="K68" s="55"/>
      <c r="L68" s="55"/>
      <c r="M68" s="55" t="str">
        <f ca="1">IFERROR(__xludf.DUMMYFUNCTION("""COMPUTED_VALUE"""),"ESCOLA MUNICIPAL DE ENSINO FUNDAMENTAL ALFREDO CHAVES")</f>
        <v>ESCOLA MUNICIPAL DE ENSINO FUNDAMENTAL ALFREDO CHAVES</v>
      </c>
      <c r="N68" s="55">
        <f ca="1">IFERROR(__xludf.DUMMYFUNCTION("""COMPUTED_VALUE"""),221538)</f>
        <v>221538</v>
      </c>
      <c r="O68" s="55" t="str">
        <f ca="1">IFERROR(__xludf.DUMMYFUNCTION("""COMPUTED_VALUE"""),"AMBIENTE E SAUDE")</f>
        <v>AMBIENTE E SAUDE</v>
      </c>
      <c r="P68" s="55" t="str">
        <f ca="1">IFERROR(__xludf.DUMMYFUNCTION("""COMPUTED_VALUE"""),"CUIDADOR INFANTIL")</f>
        <v>CUIDADOR INFANTIL</v>
      </c>
      <c r="Q68" s="55" t="str">
        <f ca="1">IFERROR(__xludf.DUMMYFUNCTION("""COMPUTED_VALUE"""),"FIC")</f>
        <v>FIC</v>
      </c>
      <c r="R68" s="55">
        <f ca="1">IFERROR(__xludf.DUMMYFUNCTION("""COMPUTED_VALUE"""),160)</f>
        <v>160</v>
      </c>
      <c r="S68" s="55" t="str">
        <f ca="1">IFERROR(__xludf.DUMMYFUNCTION("""COMPUTED_VALUE"""),"NOITE")</f>
        <v>NOITE</v>
      </c>
      <c r="T68" s="57">
        <f ca="1">IFERROR(__xludf.DUMMYFUNCTION("""COMPUTED_VALUE"""),45691)</f>
        <v>45691</v>
      </c>
      <c r="U68" s="57">
        <f ca="1">IFERROR(__xludf.DUMMYFUNCTION("""COMPUTED_VALUE"""),45771)</f>
        <v>45771</v>
      </c>
      <c r="V68" s="55"/>
      <c r="W68" s="55"/>
      <c r="X68" s="55"/>
      <c r="Y68" s="55" t="str">
        <f ca="1">IFERROR(__xludf.DUMMYFUNCTION("""COMPUTED_VALUE"""),"EM OFERTA")</f>
        <v>EM OFERTA</v>
      </c>
      <c r="Z68" s="55"/>
      <c r="AA68" s="55"/>
      <c r="AB68" s="55"/>
      <c r="AC68" s="55"/>
      <c r="AD68" s="55"/>
      <c r="AE68" s="55"/>
      <c r="AF68" s="55"/>
      <c r="AG68" s="55"/>
      <c r="AH68" s="55" t="str">
        <f ca="1">IFERROR(__xludf.DUMMYFUNCTION("""COMPUTED_VALUE"""),"-")</f>
        <v>-</v>
      </c>
      <c r="AI68" s="55" t="str">
        <f ca="1">IFERROR(__xludf.DUMMYFUNCTION("""COMPUTED_VALUE"""),"RONALDO ADRIANO DA COSTA XAVIER")</f>
        <v>RONALDO ADRIANO DA COSTA XAVIER</v>
      </c>
      <c r="AJ68" s="55" t="str">
        <f ca="1">IFERROR(__xludf.DUMMYFUNCTION("""COMPUTED_VALUE"""),"-")</f>
        <v>-</v>
      </c>
      <c r="AK68" s="55" t="str">
        <f ca="1">IFERROR(__xludf.DUMMYFUNCTION("""COMPUTED_VALUE"""),"-")</f>
        <v>-</v>
      </c>
      <c r="AL68" s="55" t="str">
        <f ca="1">IFERROR(__xludf.DUMMYFUNCTION("""COMPUTED_VALUE"""),"ANNE FRANCIELLY SANTOS SILVA")</f>
        <v>ANNE FRANCIELLY SANTOS SILVA</v>
      </c>
      <c r="AM68" s="55">
        <f ca="1">IFERROR(__xludf.DUMMYFUNCTION("""COMPUTED_VALUE"""),2025)</f>
        <v>2025</v>
      </c>
      <c r="AN68" s="55"/>
    </row>
    <row r="69" spans="1:40" ht="14" x14ac:dyDescent="0.35">
      <c r="A69" s="55" t="str">
        <f t="shared" ca="1" si="0"/>
        <v xml:space="preserve"> LAGOA SECA/ECIT FRANCISCA MARTINIANO DA ROCHA/BALCONISTA DE FARMACIA/NOITE</v>
      </c>
      <c r="B69" s="55" t="str">
        <f ca="1">IFERROR(__xludf.DUMMYFUNCTION("""COMPUTED_VALUE"""),"00000001432")</f>
        <v>00000001432</v>
      </c>
      <c r="C69" s="55" t="str">
        <f ca="1">IFERROR(__xludf.DUMMYFUNCTION("""COMPUTED_VALUE"""),"T-BALCONISTA DE FARMACIA/00000001432")</f>
        <v>T-BALCONISTA DE FARMACIA/00000001432</v>
      </c>
      <c r="D69" s="56" t="str">
        <f ca="1">IFERROR(__xludf.DUMMYFUNCTION("""COMPUTED_VALUE"""),"https://docs.google.com/spreadsheets/d/15OS3718XjfLYzxC12w4dww0biL5Io7206zea_7a0_Hk/edit?usp=drivesdk")</f>
        <v>https://docs.google.com/spreadsheets/d/15OS3718XjfLYzxC12w4dww0biL5Io7206zea_7a0_Hk/edit?usp=drivesdk</v>
      </c>
      <c r="E69" s="55" t="str">
        <f ca="1">IFERROR(__xludf.DUMMYFUNCTION("""COMPUTED_VALUE"""),"17 - PARAIBATEC FIC")</f>
        <v>17 - PARAIBATEC FIC</v>
      </c>
      <c r="F69" s="55" t="str">
        <f ca="1">IFERROR(__xludf.DUMMYFUNCTION("""COMPUTED_VALUE"""),"PARAIBATEC FIC")</f>
        <v>PARAIBATEC FIC</v>
      </c>
      <c r="G69" s="55" t="str">
        <f ca="1">IFERROR(__xludf.DUMMYFUNCTION("""COMPUTED_VALUE"""),"01 - PARAIBATEC")</f>
        <v>01 - PARAIBATEC</v>
      </c>
      <c r="H69" s="55" t="str">
        <f ca="1">IFERROR(__xludf.DUMMYFUNCTION("""COMPUTED_VALUE"""),"PARAIBATEC")</f>
        <v>PARAIBATEC</v>
      </c>
      <c r="I69" s="55" t="str">
        <f ca="1">IFERROR(__xludf.DUMMYFUNCTION("""COMPUTED_VALUE"""),"264 - ECIT FRANCISCA MARTINIANO DA ROCHA")</f>
        <v>264 - ECIT FRANCISCA MARTINIANO DA ROCHA</v>
      </c>
      <c r="J69" s="55" t="str">
        <f ca="1">IFERROR(__xludf.DUMMYFUNCTION("""COMPUTED_VALUE""")," LAGOA SECA")</f>
        <v xml:space="preserve"> LAGOA SECA</v>
      </c>
      <c r="K69" s="55"/>
      <c r="L69" s="55"/>
      <c r="M69" s="55" t="str">
        <f ca="1">IFERROR(__xludf.DUMMYFUNCTION("""COMPUTED_VALUE"""),"ECIT FRANCISCA MARTINIANO DA ROCHA")</f>
        <v>ECIT FRANCISCA MARTINIANO DA ROCHA</v>
      </c>
      <c r="N69" s="55">
        <f ca="1">IFERROR(__xludf.DUMMYFUNCTION("""COMPUTED_VALUE"""),221541)</f>
        <v>221541</v>
      </c>
      <c r="O69" s="55" t="str">
        <f ca="1">IFERROR(__xludf.DUMMYFUNCTION("""COMPUTED_VALUE"""),"AMBIENTE E SAUDE")</f>
        <v>AMBIENTE E SAUDE</v>
      </c>
      <c r="P69" s="55" t="str">
        <f ca="1">IFERROR(__xludf.DUMMYFUNCTION("""COMPUTED_VALUE"""),"BALCONISTA DE FARMACIA")</f>
        <v>BALCONISTA DE FARMACIA</v>
      </c>
      <c r="Q69" s="55" t="str">
        <f ca="1">IFERROR(__xludf.DUMMYFUNCTION("""COMPUTED_VALUE"""),"FIC")</f>
        <v>FIC</v>
      </c>
      <c r="R69" s="55">
        <f ca="1">IFERROR(__xludf.DUMMYFUNCTION("""COMPUTED_VALUE"""),240)</f>
        <v>240</v>
      </c>
      <c r="S69" s="55" t="str">
        <f ca="1">IFERROR(__xludf.DUMMYFUNCTION("""COMPUTED_VALUE"""),"NOITE")</f>
        <v>NOITE</v>
      </c>
      <c r="T69" s="57">
        <f ca="1">IFERROR(__xludf.DUMMYFUNCTION("""COMPUTED_VALUE"""),45706)</f>
        <v>45706</v>
      </c>
      <c r="U69" s="57">
        <f ca="1">IFERROR(__xludf.DUMMYFUNCTION("""COMPUTED_VALUE"""),45901)</f>
        <v>45901</v>
      </c>
      <c r="V69" s="55"/>
      <c r="W69" s="55"/>
      <c r="X69" s="55"/>
      <c r="Y69" s="55" t="str">
        <f ca="1">IFERROR(__xludf.DUMMYFUNCTION("""COMPUTED_VALUE"""),"EM OFERTA")</f>
        <v>EM OFERTA</v>
      </c>
      <c r="Z69" s="55"/>
      <c r="AA69" s="55"/>
      <c r="AB69" s="55"/>
      <c r="AC69" s="55"/>
      <c r="AD69" s="55"/>
      <c r="AE69" s="55"/>
      <c r="AF69" s="55"/>
      <c r="AG69" s="55"/>
      <c r="AH69" s="55" t="str">
        <f ca="1">IFERROR(__xludf.DUMMYFUNCTION("""COMPUTED_VALUE"""),"-")</f>
        <v>-</v>
      </c>
      <c r="AI69" s="55" t="str">
        <f ca="1">IFERROR(__xludf.DUMMYFUNCTION("""COMPUTED_VALUE"""),"EDSON SILVA SOARES")</f>
        <v>EDSON SILVA SOARES</v>
      </c>
      <c r="AJ69" s="55" t="str">
        <f ca="1">IFERROR(__xludf.DUMMYFUNCTION("""COMPUTED_VALUE"""),"-")</f>
        <v>-</v>
      </c>
      <c r="AK69" s="55" t="str">
        <f ca="1">IFERROR(__xludf.DUMMYFUNCTION("""COMPUTED_VALUE"""),"-")</f>
        <v>-</v>
      </c>
      <c r="AL69" s="55" t="str">
        <f ca="1">IFERROR(__xludf.DUMMYFUNCTION("""COMPUTED_VALUE"""),"IZABELLE VENANCIO ARAUJO")</f>
        <v>IZABELLE VENANCIO ARAUJO</v>
      </c>
      <c r="AM69" s="55">
        <f ca="1">IFERROR(__xludf.DUMMYFUNCTION("""COMPUTED_VALUE"""),2025)</f>
        <v>2025</v>
      </c>
      <c r="AN69" s="55"/>
    </row>
    <row r="70" spans="1:40" ht="14" x14ac:dyDescent="0.35">
      <c r="A70" s="55" t="str">
        <f t="shared" ca="1" si="0"/>
        <v xml:space="preserve"> LOGRADOURO/CRAS - CENTRO DE REFERENCIA DA ASSISTENCIA SOCIAL/CUIDADOR DE IDOSO/NOITE</v>
      </c>
      <c r="B70" s="55" t="str">
        <f ca="1">IFERROR(__xludf.DUMMYFUNCTION("""COMPUTED_VALUE"""),"00000001433")</f>
        <v>00000001433</v>
      </c>
      <c r="C70" s="55" t="str">
        <f ca="1">IFERROR(__xludf.DUMMYFUNCTION("""COMPUTED_VALUE"""),"T-CUIDADOR DE IDOSO/00000001433")</f>
        <v>T-CUIDADOR DE IDOSO/00000001433</v>
      </c>
      <c r="D70" s="56" t="str">
        <f ca="1">IFERROR(__xludf.DUMMYFUNCTION("""COMPUTED_VALUE"""),"https://docs.google.com/spreadsheets/d/1ZNlw92gxE7873cpjUxV9SyRiWtgknCIquq4Y7j7wYhI/edit?usp=drivesdk")</f>
        <v>https://docs.google.com/spreadsheets/d/1ZNlw92gxE7873cpjUxV9SyRiWtgknCIquq4Y7j7wYhI/edit?usp=drivesdk</v>
      </c>
      <c r="E70" s="55" t="str">
        <f ca="1">IFERROR(__xludf.DUMMYFUNCTION("""COMPUTED_VALUE"""),"17 - PARAIBATEC FIC")</f>
        <v>17 - PARAIBATEC FIC</v>
      </c>
      <c r="F70" s="55" t="str">
        <f ca="1">IFERROR(__xludf.DUMMYFUNCTION("""COMPUTED_VALUE"""),"PARAIBATEC FIC")</f>
        <v>PARAIBATEC FIC</v>
      </c>
      <c r="G70" s="55" t="str">
        <f ca="1">IFERROR(__xludf.DUMMYFUNCTION("""COMPUTED_VALUE"""),"01 - PARAIBATEC")</f>
        <v>01 - PARAIBATEC</v>
      </c>
      <c r="H70" s="55" t="str">
        <f ca="1">IFERROR(__xludf.DUMMYFUNCTION("""COMPUTED_VALUE"""),"PARAIBATEC")</f>
        <v>PARAIBATEC</v>
      </c>
      <c r="I70" s="55" t="str">
        <f ca="1">IFERROR(__xludf.DUMMYFUNCTION("""COMPUTED_VALUE"""),"475 - CRAS - CENTRO DE REFERENCIA DA ASSISTENCIA SOCIAL")</f>
        <v>475 - CRAS - CENTRO DE REFERENCIA DA ASSISTENCIA SOCIAL</v>
      </c>
      <c r="J70" s="55" t="str">
        <f ca="1">IFERROR(__xludf.DUMMYFUNCTION("""COMPUTED_VALUE""")," LOGRADOURO")</f>
        <v xml:space="preserve"> LOGRADOURO</v>
      </c>
      <c r="K70" s="55"/>
      <c r="L70" s="55"/>
      <c r="M70" s="55" t="str">
        <f ca="1">IFERROR(__xludf.DUMMYFUNCTION("""COMPUTED_VALUE"""),"CRAS - CENTRO DE REFERENCIA DA ASSISTENCIA SOCIAL")</f>
        <v>CRAS - CENTRO DE REFERENCIA DA ASSISTENCIA SOCIAL</v>
      </c>
      <c r="N70" s="55">
        <f ca="1">IFERROR(__xludf.DUMMYFUNCTION("""COMPUTED_VALUE"""),221539)</f>
        <v>221539</v>
      </c>
      <c r="O70" s="55" t="str">
        <f ca="1">IFERROR(__xludf.DUMMYFUNCTION("""COMPUTED_VALUE"""),"AMBIENTE E SAUDE")</f>
        <v>AMBIENTE E SAUDE</v>
      </c>
      <c r="P70" s="55" t="str">
        <f ca="1">IFERROR(__xludf.DUMMYFUNCTION("""COMPUTED_VALUE"""),"CUIDADOR DE IDOSO")</f>
        <v>CUIDADOR DE IDOSO</v>
      </c>
      <c r="Q70" s="55" t="str">
        <f ca="1">IFERROR(__xludf.DUMMYFUNCTION("""COMPUTED_VALUE"""),"FIC")</f>
        <v>FIC</v>
      </c>
      <c r="R70" s="55">
        <f ca="1">IFERROR(__xludf.DUMMYFUNCTION("""COMPUTED_VALUE"""),160)</f>
        <v>160</v>
      </c>
      <c r="S70" s="55" t="str">
        <f ca="1">IFERROR(__xludf.DUMMYFUNCTION("""COMPUTED_VALUE"""),"NOITE")</f>
        <v>NOITE</v>
      </c>
      <c r="T70" s="57">
        <f ca="1">IFERROR(__xludf.DUMMYFUNCTION("""COMPUTED_VALUE"""),45691)</f>
        <v>45691</v>
      </c>
      <c r="U70" s="57">
        <f ca="1">IFERROR(__xludf.DUMMYFUNCTION("""COMPUTED_VALUE"""),45824)</f>
        <v>45824</v>
      </c>
      <c r="V70" s="55"/>
      <c r="W70" s="55"/>
      <c r="X70" s="55"/>
      <c r="Y70" s="55" t="str">
        <f ca="1">IFERROR(__xludf.DUMMYFUNCTION("""COMPUTED_VALUE"""),"EM OFERTA")</f>
        <v>EM OFERTA</v>
      </c>
      <c r="Z70" s="55"/>
      <c r="AA70" s="55"/>
      <c r="AB70" s="55"/>
      <c r="AC70" s="55"/>
      <c r="AD70" s="55"/>
      <c r="AE70" s="55"/>
      <c r="AF70" s="55"/>
      <c r="AG70" s="55"/>
      <c r="AH70" s="55" t="str">
        <f ca="1">IFERROR(__xludf.DUMMYFUNCTION("""COMPUTED_VALUE"""),"-")</f>
        <v>-</v>
      </c>
      <c r="AI70" s="55" t="str">
        <f ca="1">IFERROR(__xludf.DUMMYFUNCTION("""COMPUTED_VALUE"""),"ALEXSANDRA DA SILVA OLIVEIRA XAVIER")</f>
        <v>ALEXSANDRA DA SILVA OLIVEIRA XAVIER</v>
      </c>
      <c r="AJ70" s="55" t="str">
        <f ca="1">IFERROR(__xludf.DUMMYFUNCTION("""COMPUTED_VALUE"""),"-")</f>
        <v>-</v>
      </c>
      <c r="AK70" s="55" t="str">
        <f ca="1">IFERROR(__xludf.DUMMYFUNCTION("""COMPUTED_VALUE"""),"-")</f>
        <v>-</v>
      </c>
      <c r="AL70" s="55" t="str">
        <f ca="1">IFERROR(__xludf.DUMMYFUNCTION("""COMPUTED_VALUE"""),"EMMANUEL RICARDO MARQUES VIEIRA")</f>
        <v>EMMANUEL RICARDO MARQUES VIEIRA</v>
      </c>
      <c r="AM70" s="55">
        <f ca="1">IFERROR(__xludf.DUMMYFUNCTION("""COMPUTED_VALUE"""),2025)</f>
        <v>2025</v>
      </c>
      <c r="AN70" s="55"/>
    </row>
    <row r="71" spans="1:40" ht="14" x14ac:dyDescent="0.35">
      <c r="A71" s="55" t="str">
        <f t="shared" ca="1" si="0"/>
        <v xml:space="preserve"> MANAÍRA/ECI MONSENHOR SEBASTIAO RABELO NOGUEIRA/ASSISTENTE ADMINISTRATIVO/NOITE</v>
      </c>
      <c r="B71" s="55" t="str">
        <f ca="1">IFERROR(__xludf.DUMMYFUNCTION("""COMPUTED_VALUE"""),"00000001434")</f>
        <v>00000001434</v>
      </c>
      <c r="C71" s="55" t="str">
        <f ca="1">IFERROR(__xludf.DUMMYFUNCTION("""COMPUTED_VALUE"""),"T-ASSISTENTE ADMINISTRATIVO/00000001434")</f>
        <v>T-ASSISTENTE ADMINISTRATIVO/00000001434</v>
      </c>
      <c r="D71" s="56" t="str">
        <f ca="1">IFERROR(__xludf.DUMMYFUNCTION("""COMPUTED_VALUE"""),"https://docs.google.com/spreadsheets/d/1lZAOZXT0-avLFzsNCgWOHWZNrLe19Vsm00zJqOldpuM/edit?usp=drivesdk")</f>
        <v>https://docs.google.com/spreadsheets/d/1lZAOZXT0-avLFzsNCgWOHWZNrLe19Vsm00zJqOldpuM/edit?usp=drivesdk</v>
      </c>
      <c r="E71" s="55" t="str">
        <f ca="1">IFERROR(__xludf.DUMMYFUNCTION("""COMPUTED_VALUE"""),"17 - PARAIBATEC FIC")</f>
        <v>17 - PARAIBATEC FIC</v>
      </c>
      <c r="F71" s="55" t="str">
        <f ca="1">IFERROR(__xludf.DUMMYFUNCTION("""COMPUTED_VALUE"""),"PARAIBATEC FIC")</f>
        <v>PARAIBATEC FIC</v>
      </c>
      <c r="G71" s="55" t="str">
        <f ca="1">IFERROR(__xludf.DUMMYFUNCTION("""COMPUTED_VALUE"""),"01 - PARAIBATEC")</f>
        <v>01 - PARAIBATEC</v>
      </c>
      <c r="H71" s="55" t="str">
        <f ca="1">IFERROR(__xludf.DUMMYFUNCTION("""COMPUTED_VALUE"""),"PARAIBATEC")</f>
        <v>PARAIBATEC</v>
      </c>
      <c r="I71" s="55" t="str">
        <f ca="1">IFERROR(__xludf.DUMMYFUNCTION("""COMPUTED_VALUE"""),"530 - ECI MONSENHOR SEBASTIAO RABELO NOGUEIRA")</f>
        <v>530 - ECI MONSENHOR SEBASTIAO RABELO NOGUEIRA</v>
      </c>
      <c r="J71" s="55" t="str">
        <f ca="1">IFERROR(__xludf.DUMMYFUNCTION("""COMPUTED_VALUE""")," MANAÍRA")</f>
        <v xml:space="preserve"> MANAÍRA</v>
      </c>
      <c r="K71" s="55"/>
      <c r="L71" s="55"/>
      <c r="M71" s="55" t="str">
        <f ca="1">IFERROR(__xludf.DUMMYFUNCTION("""COMPUTED_VALUE"""),"ECI MONSENHOR SEBASTIAO RABELO NOGUEIRA")</f>
        <v>ECI MONSENHOR SEBASTIAO RABELO NOGUEIRA</v>
      </c>
      <c r="N71" s="55">
        <f ca="1">IFERROR(__xludf.DUMMYFUNCTION("""COMPUTED_VALUE"""),221012)</f>
        <v>221012</v>
      </c>
      <c r="O71" s="55" t="str">
        <f ca="1">IFERROR(__xludf.DUMMYFUNCTION("""COMPUTED_VALUE"""),"GESTAO E NEGOCIOS")</f>
        <v>GESTAO E NEGOCIOS</v>
      </c>
      <c r="P71" s="55" t="str">
        <f ca="1">IFERROR(__xludf.DUMMYFUNCTION("""COMPUTED_VALUE"""),"ASSISTENTE ADMINISTRATIVO")</f>
        <v>ASSISTENTE ADMINISTRATIVO</v>
      </c>
      <c r="Q71" s="55" t="str">
        <f ca="1">IFERROR(__xludf.DUMMYFUNCTION("""COMPUTED_VALUE"""),"FIC")</f>
        <v>FIC</v>
      </c>
      <c r="R71" s="55">
        <f ca="1">IFERROR(__xludf.DUMMYFUNCTION("""COMPUTED_VALUE"""),160)</f>
        <v>160</v>
      </c>
      <c r="S71" s="55" t="str">
        <f ca="1">IFERROR(__xludf.DUMMYFUNCTION("""COMPUTED_VALUE"""),"NOITE")</f>
        <v>NOITE</v>
      </c>
      <c r="T71" s="57">
        <f ca="1">IFERROR(__xludf.DUMMYFUNCTION("""COMPUTED_VALUE"""),45693)</f>
        <v>45693</v>
      </c>
      <c r="U71" s="57">
        <f ca="1">IFERROR(__xludf.DUMMYFUNCTION("""COMPUTED_VALUE"""),45826)</f>
        <v>45826</v>
      </c>
      <c r="V71" s="55"/>
      <c r="W71" s="55"/>
      <c r="X71" s="55"/>
      <c r="Y71" s="55" t="str">
        <f ca="1">IFERROR(__xludf.DUMMYFUNCTION("""COMPUTED_VALUE"""),"EM OFERTA")</f>
        <v>EM OFERTA</v>
      </c>
      <c r="Z71" s="55"/>
      <c r="AA71" s="55"/>
      <c r="AB71" s="55"/>
      <c r="AC71" s="55"/>
      <c r="AD71" s="55"/>
      <c r="AE71" s="55"/>
      <c r="AF71" s="55"/>
      <c r="AG71" s="55"/>
      <c r="AH71" s="55" t="str">
        <f ca="1">IFERROR(__xludf.DUMMYFUNCTION("""COMPUTED_VALUE"""),"-")</f>
        <v>-</v>
      </c>
      <c r="AI71" s="55" t="str">
        <f ca="1">IFERROR(__xludf.DUMMYFUNCTION("""COMPUTED_VALUE"""),"MILTON LIMEIRA CABRAL")</f>
        <v>MILTON LIMEIRA CABRAL</v>
      </c>
      <c r="AJ71" s="55" t="str">
        <f ca="1">IFERROR(__xludf.DUMMYFUNCTION("""COMPUTED_VALUE"""),"-")</f>
        <v>-</v>
      </c>
      <c r="AK71" s="55" t="str">
        <f ca="1">IFERROR(__xludf.DUMMYFUNCTION("""COMPUTED_VALUE"""),"-")</f>
        <v>-</v>
      </c>
      <c r="AL71" s="55" t="str">
        <f ca="1">IFERROR(__xludf.DUMMYFUNCTION("""COMPUTED_VALUE"""),"CARLINHO MORAIS CARNEIRO")</f>
        <v>CARLINHO MORAIS CARNEIRO</v>
      </c>
      <c r="AM71" s="55">
        <f ca="1">IFERROR(__xludf.DUMMYFUNCTION("""COMPUTED_VALUE"""),2025)</f>
        <v>2025</v>
      </c>
      <c r="AN71" s="55"/>
    </row>
    <row r="72" spans="1:40" ht="14" x14ac:dyDescent="0.35">
      <c r="A72" s="55" t="str">
        <f t="shared" ca="1" si="0"/>
        <v xml:space="preserve"> MANAÍRA/ECI MONSENHOR SEBASTIAO RABELO NOGUEIRA/AUXILIAR PEDAGOGICO/NOITE</v>
      </c>
      <c r="B72" s="55" t="str">
        <f ca="1">IFERROR(__xludf.DUMMYFUNCTION("""COMPUTED_VALUE"""),"00000001435")</f>
        <v>00000001435</v>
      </c>
      <c r="C72" s="55" t="str">
        <f ca="1">IFERROR(__xludf.DUMMYFUNCTION("""COMPUTED_VALUE"""),"T-AUXILIAR PEDAGOGICO/00000001435")</f>
        <v>T-AUXILIAR PEDAGOGICO/00000001435</v>
      </c>
      <c r="D72" s="56" t="str">
        <f ca="1">IFERROR(__xludf.DUMMYFUNCTION("""COMPUTED_VALUE"""),"https://docs.google.com/spreadsheets/d/1MPiJ_CXZ5wky1YCGyCBdiHlhpVWqB8cpu3DUGbHn_Fk/edit?usp=drivesdk")</f>
        <v>https://docs.google.com/spreadsheets/d/1MPiJ_CXZ5wky1YCGyCBdiHlhpVWqB8cpu3DUGbHn_Fk/edit?usp=drivesdk</v>
      </c>
      <c r="E72" s="55" t="str">
        <f ca="1">IFERROR(__xludf.DUMMYFUNCTION("""COMPUTED_VALUE"""),"17 - PARAIBATEC FIC")</f>
        <v>17 - PARAIBATEC FIC</v>
      </c>
      <c r="F72" s="55" t="str">
        <f ca="1">IFERROR(__xludf.DUMMYFUNCTION("""COMPUTED_VALUE"""),"PARAIBATEC FIC")</f>
        <v>PARAIBATEC FIC</v>
      </c>
      <c r="G72" s="55" t="str">
        <f ca="1">IFERROR(__xludf.DUMMYFUNCTION("""COMPUTED_VALUE"""),"01 - PARAIBATEC")</f>
        <v>01 - PARAIBATEC</v>
      </c>
      <c r="H72" s="55" t="str">
        <f ca="1">IFERROR(__xludf.DUMMYFUNCTION("""COMPUTED_VALUE"""),"PARAIBATEC")</f>
        <v>PARAIBATEC</v>
      </c>
      <c r="I72" s="55" t="str">
        <f ca="1">IFERROR(__xludf.DUMMYFUNCTION("""COMPUTED_VALUE"""),"530 - ECI MONSENHOR SEBASTIAO RABELO NOGUEIRA")</f>
        <v>530 - ECI MONSENHOR SEBASTIAO RABELO NOGUEIRA</v>
      </c>
      <c r="J72" s="55" t="str">
        <f ca="1">IFERROR(__xludf.DUMMYFUNCTION("""COMPUTED_VALUE""")," MANAÍRA")</f>
        <v xml:space="preserve"> MANAÍRA</v>
      </c>
      <c r="K72" s="55"/>
      <c r="L72" s="55"/>
      <c r="M72" s="55" t="str">
        <f ca="1">IFERROR(__xludf.DUMMYFUNCTION("""COMPUTED_VALUE"""),"ECI MONSENHOR SEBASTIAO RABELO NOGUEIRA")</f>
        <v>ECI MONSENHOR SEBASTIAO RABELO NOGUEIRA</v>
      </c>
      <c r="N72" s="55">
        <f ca="1">IFERROR(__xludf.DUMMYFUNCTION("""COMPUTED_VALUE"""),273098)</f>
        <v>273098</v>
      </c>
      <c r="O72" s="55" t="str">
        <f ca="1">IFERROR(__xludf.DUMMYFUNCTION("""COMPUTED_VALUE"""),"DESENVOLVIMENTO EDUCACIONAL E SOCIAL")</f>
        <v>DESENVOLVIMENTO EDUCACIONAL E SOCIAL</v>
      </c>
      <c r="P72" s="55" t="str">
        <f ca="1">IFERROR(__xludf.DUMMYFUNCTION("""COMPUTED_VALUE"""),"AUXILIAR PEDAGOGICO")</f>
        <v>AUXILIAR PEDAGOGICO</v>
      </c>
      <c r="Q72" s="55" t="str">
        <f ca="1">IFERROR(__xludf.DUMMYFUNCTION("""COMPUTED_VALUE"""),"FIC")</f>
        <v>FIC</v>
      </c>
      <c r="R72" s="55">
        <f ca="1">IFERROR(__xludf.DUMMYFUNCTION("""COMPUTED_VALUE"""),200)</f>
        <v>200</v>
      </c>
      <c r="S72" s="55" t="str">
        <f ca="1">IFERROR(__xludf.DUMMYFUNCTION("""COMPUTED_VALUE"""),"NOITE")</f>
        <v>NOITE</v>
      </c>
      <c r="T72" s="57">
        <f ca="1">IFERROR(__xludf.DUMMYFUNCTION("""COMPUTED_VALUE"""),45693)</f>
        <v>45693</v>
      </c>
      <c r="U72" s="57">
        <f ca="1">IFERROR(__xludf.DUMMYFUNCTION("""COMPUTED_VALUE"""),45859)</f>
        <v>45859</v>
      </c>
      <c r="V72" s="55"/>
      <c r="W72" s="55"/>
      <c r="X72" s="55"/>
      <c r="Y72" s="55" t="str">
        <f ca="1">IFERROR(__xludf.DUMMYFUNCTION("""COMPUTED_VALUE"""),"EM OFERTA")</f>
        <v>EM OFERTA</v>
      </c>
      <c r="Z72" s="55"/>
      <c r="AA72" s="55"/>
      <c r="AB72" s="55"/>
      <c r="AC72" s="55"/>
      <c r="AD72" s="55"/>
      <c r="AE72" s="55"/>
      <c r="AF72" s="55"/>
      <c r="AG72" s="55"/>
      <c r="AH72" s="55" t="str">
        <f ca="1">IFERROR(__xludf.DUMMYFUNCTION("""COMPUTED_VALUE"""),"-")</f>
        <v>-</v>
      </c>
      <c r="AI72" s="55" t="str">
        <f ca="1">IFERROR(__xludf.DUMMYFUNCTION("""COMPUTED_VALUE"""),"MILTON LIMEIRA CABRAL")</f>
        <v>MILTON LIMEIRA CABRAL</v>
      </c>
      <c r="AJ72" s="55" t="str">
        <f ca="1">IFERROR(__xludf.DUMMYFUNCTION("""COMPUTED_VALUE"""),"-")</f>
        <v>-</v>
      </c>
      <c r="AK72" s="55" t="str">
        <f ca="1">IFERROR(__xludf.DUMMYFUNCTION("""COMPUTED_VALUE"""),"-")</f>
        <v>-</v>
      </c>
      <c r="AL72" s="55" t="str">
        <f ca="1">IFERROR(__xludf.DUMMYFUNCTION("""COMPUTED_VALUE"""),"JANEALEM GESSICA RABELO ALVES")</f>
        <v>JANEALEM GESSICA RABELO ALVES</v>
      </c>
      <c r="AM72" s="55">
        <f ca="1">IFERROR(__xludf.DUMMYFUNCTION("""COMPUTED_VALUE"""),2025)</f>
        <v>2025</v>
      </c>
      <c r="AN72" s="55"/>
    </row>
    <row r="73" spans="1:40" ht="14" x14ac:dyDescent="0.35">
      <c r="A73" s="55" t="str">
        <f t="shared" ca="1" si="0"/>
        <v xml:space="preserve"> MANAÍRA/EMEF PROFESSOR CICERO RABELO NOGUEIRA/AGENTE DE GESTÃO DE RESÍDUOS SÓLIDOS/TARDE</v>
      </c>
      <c r="B73" s="55" t="str">
        <f ca="1">IFERROR(__xludf.DUMMYFUNCTION("""COMPUTED_VALUE"""),"00000001436")</f>
        <v>00000001436</v>
      </c>
      <c r="C73" s="55" t="str">
        <f ca="1">IFERROR(__xludf.DUMMYFUNCTION("""COMPUTED_VALUE"""),"T-AGENTE DE GESTÃO DE RESÍDUOS SÓLIDOS/00000001436")</f>
        <v>T-AGENTE DE GESTÃO DE RESÍDUOS SÓLIDOS/00000001436</v>
      </c>
      <c r="D73" s="56" t="str">
        <f ca="1">IFERROR(__xludf.DUMMYFUNCTION("""COMPUTED_VALUE"""),"https://docs.google.com/spreadsheets/d/1qoAhh5SD119eGbItEDotaMyu0zpkVWpZ3qy4j1WUcgo/edit?usp=drivesdk")</f>
        <v>https://docs.google.com/spreadsheets/d/1qoAhh5SD119eGbItEDotaMyu0zpkVWpZ3qy4j1WUcgo/edit?usp=drivesdk</v>
      </c>
      <c r="E73" s="55" t="str">
        <f ca="1">IFERROR(__xludf.DUMMYFUNCTION("""COMPUTED_VALUE"""),"17 - PARAIBATEC FIC")</f>
        <v>17 - PARAIBATEC FIC</v>
      </c>
      <c r="F73" s="55" t="str">
        <f ca="1">IFERROR(__xludf.DUMMYFUNCTION("""COMPUTED_VALUE"""),"PARAIBATEC FIC")</f>
        <v>PARAIBATEC FIC</v>
      </c>
      <c r="G73" s="55" t="str">
        <f ca="1">IFERROR(__xludf.DUMMYFUNCTION("""COMPUTED_VALUE"""),"01 - PARAIBATEC")</f>
        <v>01 - PARAIBATEC</v>
      </c>
      <c r="H73" s="55" t="str">
        <f ca="1">IFERROR(__xludf.DUMMYFUNCTION("""COMPUTED_VALUE"""),"PARAIBATEC")</f>
        <v>PARAIBATEC</v>
      </c>
      <c r="I73" s="55" t="str">
        <f ca="1">IFERROR(__xludf.DUMMYFUNCTION("""COMPUTED_VALUE"""),"531 - EMEF PROFESSOR CICERO RABELO NOGUEIRA")</f>
        <v>531 - EMEF PROFESSOR CICERO RABELO NOGUEIRA</v>
      </c>
      <c r="J73" s="55" t="str">
        <f ca="1">IFERROR(__xludf.DUMMYFUNCTION("""COMPUTED_VALUE""")," MANAÍRA")</f>
        <v xml:space="preserve"> MANAÍRA</v>
      </c>
      <c r="K73" s="55"/>
      <c r="L73" s="55"/>
      <c r="M73" s="55" t="str">
        <f ca="1">IFERROR(__xludf.DUMMYFUNCTION("""COMPUTED_VALUE"""),"EMEF PROFESSOR CICERO RABELO NOGUEIRA")</f>
        <v>EMEF PROFESSOR CICERO RABELO NOGUEIRA</v>
      </c>
      <c r="N73" s="55">
        <f ca="1">IFERROR(__xludf.DUMMYFUNCTION("""COMPUTED_VALUE"""),221352)</f>
        <v>221352</v>
      </c>
      <c r="O73" s="55" t="str">
        <f ca="1">IFERROR(__xludf.DUMMYFUNCTION("""COMPUTED_VALUE"""),"AMBIENTE E SAUDE")</f>
        <v>AMBIENTE E SAUDE</v>
      </c>
      <c r="P73" s="55" t="str">
        <f ca="1">IFERROR(__xludf.DUMMYFUNCTION("""COMPUTED_VALUE"""),"AGENTE DE GESTÃO DE RESÍDUOS SÓLIDOS")</f>
        <v>AGENTE DE GESTÃO DE RESÍDUOS SÓLIDOS</v>
      </c>
      <c r="Q73" s="55" t="str">
        <f ca="1">IFERROR(__xludf.DUMMYFUNCTION("""COMPUTED_VALUE"""),"FIC")</f>
        <v>FIC</v>
      </c>
      <c r="R73" s="55">
        <f ca="1">IFERROR(__xludf.DUMMYFUNCTION("""COMPUTED_VALUE"""),240)</f>
        <v>240</v>
      </c>
      <c r="S73" s="55" t="str">
        <f ca="1">IFERROR(__xludf.DUMMYFUNCTION("""COMPUTED_VALUE"""),"TARDE")</f>
        <v>TARDE</v>
      </c>
      <c r="T73" s="57">
        <f ca="1">IFERROR(__xludf.DUMMYFUNCTION("""COMPUTED_VALUE"""),45691)</f>
        <v>45691</v>
      </c>
      <c r="U73" s="57">
        <f ca="1">IFERROR(__xludf.DUMMYFUNCTION("""COMPUTED_VALUE"""),45839)</f>
        <v>45839</v>
      </c>
      <c r="V73" s="55"/>
      <c r="W73" s="55"/>
      <c r="X73" s="55"/>
      <c r="Y73" s="55" t="str">
        <f ca="1">IFERROR(__xludf.DUMMYFUNCTION("""COMPUTED_VALUE"""),"EM OFERTA")</f>
        <v>EM OFERTA</v>
      </c>
      <c r="Z73" s="55"/>
      <c r="AA73" s="55"/>
      <c r="AB73" s="55"/>
      <c r="AC73" s="55"/>
      <c r="AD73" s="55"/>
      <c r="AE73" s="55"/>
      <c r="AF73" s="55"/>
      <c r="AG73" s="55"/>
      <c r="AH73" s="55" t="str">
        <f ca="1">IFERROR(__xludf.DUMMYFUNCTION("""COMPUTED_VALUE"""),"-")</f>
        <v>-</v>
      </c>
      <c r="AI73" s="55" t="str">
        <f ca="1">IFERROR(__xludf.DUMMYFUNCTION("""COMPUTED_VALUE"""),"RAQUEL DOS SANTOS PEREIRA GOMES")</f>
        <v>RAQUEL DOS SANTOS PEREIRA GOMES</v>
      </c>
      <c r="AJ73" s="55" t="str">
        <f ca="1">IFERROR(__xludf.DUMMYFUNCTION("""COMPUTED_VALUE"""),"-")</f>
        <v>-</v>
      </c>
      <c r="AK73" s="55" t="str">
        <f ca="1">IFERROR(__xludf.DUMMYFUNCTION("""COMPUTED_VALUE"""),"-")</f>
        <v>-</v>
      </c>
      <c r="AL73" s="55" t="str">
        <f ca="1">IFERROR(__xludf.DUMMYFUNCTION("""COMPUTED_VALUE"""),"SAWLLO NOGUEIRA BEZERRA")</f>
        <v>SAWLLO NOGUEIRA BEZERRA</v>
      </c>
      <c r="AM73" s="55">
        <f ca="1">IFERROR(__xludf.DUMMYFUNCTION("""COMPUTED_VALUE"""),2025)</f>
        <v>2025</v>
      </c>
      <c r="AN73" s="55"/>
    </row>
    <row r="74" spans="1:40" ht="14" x14ac:dyDescent="0.35">
      <c r="A74" s="55" t="str">
        <f t="shared" ca="1" si="0"/>
        <v xml:space="preserve"> MARI/ECIT JOSE PAULO DE FRANCA/BALCONISTA DE FARMACIA/NOITE</v>
      </c>
      <c r="B74" s="55" t="str">
        <f ca="1">IFERROR(__xludf.DUMMYFUNCTION("""COMPUTED_VALUE"""),"00000001437")</f>
        <v>00000001437</v>
      </c>
      <c r="C74" s="55" t="str">
        <f ca="1">IFERROR(__xludf.DUMMYFUNCTION("""COMPUTED_VALUE"""),"T-BALCONISTA DE FARMACIA/00000001437")</f>
        <v>T-BALCONISTA DE FARMACIA/00000001437</v>
      </c>
      <c r="D74" s="56" t="str">
        <f ca="1">IFERROR(__xludf.DUMMYFUNCTION("""COMPUTED_VALUE"""),"https://docs.google.com/spreadsheets/d/1J2sI5i_RiN7ysOkMuSb1DO5SBvVWGzB-jze1KKdJuUs/edit?usp=drivesdk")</f>
        <v>https://docs.google.com/spreadsheets/d/1J2sI5i_RiN7ysOkMuSb1DO5SBvVWGzB-jze1KKdJuUs/edit?usp=drivesdk</v>
      </c>
      <c r="E74" s="55" t="str">
        <f ca="1">IFERROR(__xludf.DUMMYFUNCTION("""COMPUTED_VALUE"""),"17 - PARAIBATEC FIC")</f>
        <v>17 - PARAIBATEC FIC</v>
      </c>
      <c r="F74" s="55" t="str">
        <f ca="1">IFERROR(__xludf.DUMMYFUNCTION("""COMPUTED_VALUE"""),"PARAIBATEC FIC")</f>
        <v>PARAIBATEC FIC</v>
      </c>
      <c r="G74" s="55" t="str">
        <f ca="1">IFERROR(__xludf.DUMMYFUNCTION("""COMPUTED_VALUE"""),"01 - PARAIBATEC")</f>
        <v>01 - PARAIBATEC</v>
      </c>
      <c r="H74" s="55" t="str">
        <f ca="1">IFERROR(__xludf.DUMMYFUNCTION("""COMPUTED_VALUE"""),"PARAIBATEC")</f>
        <v>PARAIBATEC</v>
      </c>
      <c r="I74" s="55" t="str">
        <f ca="1">IFERROR(__xludf.DUMMYFUNCTION("""COMPUTED_VALUE"""),"532 - ECIT JOSE PAULO DE FRANCA")</f>
        <v>532 - ECIT JOSE PAULO DE FRANCA</v>
      </c>
      <c r="J74" s="55" t="str">
        <f ca="1">IFERROR(__xludf.DUMMYFUNCTION("""COMPUTED_VALUE""")," MARI")</f>
        <v xml:space="preserve"> MARI</v>
      </c>
      <c r="K74" s="55"/>
      <c r="L74" s="55"/>
      <c r="M74" s="55" t="str">
        <f ca="1">IFERROR(__xludf.DUMMYFUNCTION("""COMPUTED_VALUE"""),"ECIT JOSE PAULO DE FRANCA")</f>
        <v>ECIT JOSE PAULO DE FRANCA</v>
      </c>
      <c r="N74" s="55">
        <f ca="1">IFERROR(__xludf.DUMMYFUNCTION("""COMPUTED_VALUE"""),221541)</f>
        <v>221541</v>
      </c>
      <c r="O74" s="55" t="str">
        <f ca="1">IFERROR(__xludf.DUMMYFUNCTION("""COMPUTED_VALUE"""),"AMBIENTE E SAUDE")</f>
        <v>AMBIENTE E SAUDE</v>
      </c>
      <c r="P74" s="55" t="str">
        <f ca="1">IFERROR(__xludf.DUMMYFUNCTION("""COMPUTED_VALUE"""),"BALCONISTA DE FARMACIA")</f>
        <v>BALCONISTA DE FARMACIA</v>
      </c>
      <c r="Q74" s="55" t="str">
        <f ca="1">IFERROR(__xludf.DUMMYFUNCTION("""COMPUTED_VALUE"""),"FIC")</f>
        <v>FIC</v>
      </c>
      <c r="R74" s="55">
        <f ca="1">IFERROR(__xludf.DUMMYFUNCTION("""COMPUTED_VALUE"""),240)</f>
        <v>240</v>
      </c>
      <c r="S74" s="55" t="str">
        <f ca="1">IFERROR(__xludf.DUMMYFUNCTION("""COMPUTED_VALUE"""),"NOITE")</f>
        <v>NOITE</v>
      </c>
      <c r="T74" s="57">
        <f ca="1">IFERROR(__xludf.DUMMYFUNCTION("""COMPUTED_VALUE"""),45692)</f>
        <v>45692</v>
      </c>
      <c r="U74" s="57">
        <f ca="1">IFERROR(__xludf.DUMMYFUNCTION("""COMPUTED_VALUE"""),45887)</f>
        <v>45887</v>
      </c>
      <c r="V74" s="55"/>
      <c r="W74" s="55"/>
      <c r="X74" s="55"/>
      <c r="Y74" s="55" t="str">
        <f ca="1">IFERROR(__xludf.DUMMYFUNCTION("""COMPUTED_VALUE"""),"EM OFERTA")</f>
        <v>EM OFERTA</v>
      </c>
      <c r="Z74" s="55"/>
      <c r="AA74" s="55"/>
      <c r="AB74" s="55"/>
      <c r="AC74" s="55"/>
      <c r="AD74" s="55"/>
      <c r="AE74" s="55"/>
      <c r="AF74" s="55"/>
      <c r="AG74" s="55"/>
      <c r="AH74" s="55" t="str">
        <f ca="1">IFERROR(__xludf.DUMMYFUNCTION("""COMPUTED_VALUE"""),"-")</f>
        <v>-</v>
      </c>
      <c r="AI74" s="55" t="str">
        <f ca="1">IFERROR(__xludf.DUMMYFUNCTION("""COMPUTED_VALUE"""),"LIGIA MARIA DA SILVA SOARES")</f>
        <v>LIGIA MARIA DA SILVA SOARES</v>
      </c>
      <c r="AJ74" s="55" t="str">
        <f ca="1">IFERROR(__xludf.DUMMYFUNCTION("""COMPUTED_VALUE"""),"-")</f>
        <v>-</v>
      </c>
      <c r="AK74" s="55" t="str">
        <f ca="1">IFERROR(__xludf.DUMMYFUNCTION("""COMPUTED_VALUE"""),"-")</f>
        <v>-</v>
      </c>
      <c r="AL74" s="55" t="str">
        <f ca="1">IFERROR(__xludf.DUMMYFUNCTION("""COMPUTED_VALUE"""),"WANESSA DA SILVA SOUZA")</f>
        <v>WANESSA DA SILVA SOUZA</v>
      </c>
      <c r="AM74" s="55">
        <f ca="1">IFERROR(__xludf.DUMMYFUNCTION("""COMPUTED_VALUE"""),2025)</f>
        <v>2025</v>
      </c>
      <c r="AN74" s="55"/>
    </row>
    <row r="75" spans="1:40" ht="14" x14ac:dyDescent="0.35">
      <c r="A75" s="55" t="str">
        <f t="shared" ca="1" si="0"/>
        <v xml:space="preserve"> MARI/ECIT JOSE PAULO DE FRANCA/INTRODUÇAO A INTERPRETAÇAO EM LINGUA BRASILEIRA DE SINAIS (LIBRAS)/NOITE</v>
      </c>
      <c r="B75" s="55" t="str">
        <f ca="1">IFERROR(__xludf.DUMMYFUNCTION("""COMPUTED_VALUE"""),"00000001438")</f>
        <v>00000001438</v>
      </c>
      <c r="C75" s="55" t="str">
        <f ca="1">IFERROR(__xludf.DUMMYFUNCTION("""COMPUTED_VALUE"""),"T-INTRODUÇAO A INTERPRETAÇAO EM LINGUA BRASILEIRA DE SINAIS (LIBRAS)/00000001438")</f>
        <v>T-INTRODUÇAO A INTERPRETAÇAO EM LINGUA BRASILEIRA DE SINAIS (LIBRAS)/00000001438</v>
      </c>
      <c r="D75" s="56" t="str">
        <f ca="1">IFERROR(__xludf.DUMMYFUNCTION("""COMPUTED_VALUE"""),"https://docs.google.com/spreadsheets/d/1fV9T3nwYkPgjTb3QYwLIi9c2EEOwCSuZyBHAUyQL4T8/edit?usp=drivesdk")</f>
        <v>https://docs.google.com/spreadsheets/d/1fV9T3nwYkPgjTb3QYwLIi9c2EEOwCSuZyBHAUyQL4T8/edit?usp=drivesdk</v>
      </c>
      <c r="E75" s="55" t="str">
        <f ca="1">IFERROR(__xludf.DUMMYFUNCTION("""COMPUTED_VALUE"""),"17 - PARAIBATEC FIC")</f>
        <v>17 - PARAIBATEC FIC</v>
      </c>
      <c r="F75" s="55" t="str">
        <f ca="1">IFERROR(__xludf.DUMMYFUNCTION("""COMPUTED_VALUE"""),"PARAIBATEC FIC")</f>
        <v>PARAIBATEC FIC</v>
      </c>
      <c r="G75" s="55" t="str">
        <f ca="1">IFERROR(__xludf.DUMMYFUNCTION("""COMPUTED_VALUE"""),"01 - PARAIBATEC")</f>
        <v>01 - PARAIBATEC</v>
      </c>
      <c r="H75" s="55" t="str">
        <f ca="1">IFERROR(__xludf.DUMMYFUNCTION("""COMPUTED_VALUE"""),"PARAIBATEC")</f>
        <v>PARAIBATEC</v>
      </c>
      <c r="I75" s="55" t="str">
        <f ca="1">IFERROR(__xludf.DUMMYFUNCTION("""COMPUTED_VALUE"""),"532 - ECIT JOSE PAULO DE FRANCA")</f>
        <v>532 - ECIT JOSE PAULO DE FRANCA</v>
      </c>
      <c r="J75" s="55" t="str">
        <f ca="1">IFERROR(__xludf.DUMMYFUNCTION("""COMPUTED_VALUE""")," MARI")</f>
        <v xml:space="preserve"> MARI</v>
      </c>
      <c r="K75" s="55"/>
      <c r="L75" s="55"/>
      <c r="M75" s="55" t="str">
        <f ca="1">IFERROR(__xludf.DUMMYFUNCTION("""COMPUTED_VALUE"""),"ECIT JOSE PAULO DE FRANCA")</f>
        <v>ECIT JOSE PAULO DE FRANCA</v>
      </c>
      <c r="N75" s="55">
        <f ca="1">IFERROR(__xludf.DUMMYFUNCTION("""COMPUTED_VALUE"""),221448)</f>
        <v>221448</v>
      </c>
      <c r="O75" s="55" t="str">
        <f ca="1">IFERROR(__xludf.DUMMYFUNCTION("""COMPUTED_VALUE"""),"DESENVOLVIMENTO EDUCACIONAL E SOCIAL")</f>
        <v>DESENVOLVIMENTO EDUCACIONAL E SOCIAL</v>
      </c>
      <c r="P75" s="55" t="str">
        <f ca="1">IFERROR(__xludf.DUMMYFUNCTION("""COMPUTED_VALUE"""),"INTRODUÇAO A INTERPRETAÇAO EM LINGUA BRASILEIRA DE SINAIS (LIBRAS)")</f>
        <v>INTRODUÇAO A INTERPRETAÇAO EM LINGUA BRASILEIRA DE SINAIS (LIBRAS)</v>
      </c>
      <c r="Q75" s="55" t="str">
        <f ca="1">IFERROR(__xludf.DUMMYFUNCTION("""COMPUTED_VALUE"""),"FIC")</f>
        <v>FIC</v>
      </c>
      <c r="R75" s="55">
        <f ca="1">IFERROR(__xludf.DUMMYFUNCTION("""COMPUTED_VALUE"""),160)</f>
        <v>160</v>
      </c>
      <c r="S75" s="55" t="str">
        <f ca="1">IFERROR(__xludf.DUMMYFUNCTION("""COMPUTED_VALUE"""),"NOITE")</f>
        <v>NOITE</v>
      </c>
      <c r="T75" s="57">
        <f ca="1">IFERROR(__xludf.DUMMYFUNCTION("""COMPUTED_VALUE"""),45692)</f>
        <v>45692</v>
      </c>
      <c r="U75" s="57">
        <f ca="1">IFERROR(__xludf.DUMMYFUNCTION("""COMPUTED_VALUE"""),45825)</f>
        <v>45825</v>
      </c>
      <c r="V75" s="55"/>
      <c r="W75" s="55"/>
      <c r="X75" s="55"/>
      <c r="Y75" s="55" t="str">
        <f ca="1">IFERROR(__xludf.DUMMYFUNCTION("""COMPUTED_VALUE"""),"EM OFERTA")</f>
        <v>EM OFERTA</v>
      </c>
      <c r="Z75" s="55"/>
      <c r="AA75" s="55"/>
      <c r="AB75" s="55"/>
      <c r="AC75" s="55"/>
      <c r="AD75" s="55"/>
      <c r="AE75" s="55"/>
      <c r="AF75" s="55"/>
      <c r="AG75" s="55"/>
      <c r="AH75" s="55" t="str">
        <f ca="1">IFERROR(__xludf.DUMMYFUNCTION("""COMPUTED_VALUE"""),"-")</f>
        <v>-</v>
      </c>
      <c r="AI75" s="55" t="str">
        <f ca="1">IFERROR(__xludf.DUMMYFUNCTION("""COMPUTED_VALUE"""),"LIGIA MARIA DA SILVA SOARES")</f>
        <v>LIGIA MARIA DA SILVA SOARES</v>
      </c>
      <c r="AJ75" s="55" t="str">
        <f ca="1">IFERROR(__xludf.DUMMYFUNCTION("""COMPUTED_VALUE"""),"-")</f>
        <v>-</v>
      </c>
      <c r="AK75" s="55" t="str">
        <f ca="1">IFERROR(__xludf.DUMMYFUNCTION("""COMPUTED_VALUE"""),"-")</f>
        <v>-</v>
      </c>
      <c r="AL75" s="55" t="str">
        <f ca="1">IFERROR(__xludf.DUMMYFUNCTION("""COMPUTED_VALUE"""),"JOYCE DA SILVA CRUZ DE MENDONÇA")</f>
        <v>JOYCE DA SILVA CRUZ DE MENDONÇA</v>
      </c>
      <c r="AM75" s="55">
        <f ca="1">IFERROR(__xludf.DUMMYFUNCTION("""COMPUTED_VALUE"""),2025)</f>
        <v>2025</v>
      </c>
      <c r="AN75" s="55"/>
    </row>
    <row r="76" spans="1:40" ht="14" x14ac:dyDescent="0.35">
      <c r="A76" s="55" t="str">
        <f t="shared" ca="1" si="0"/>
        <v xml:space="preserve"> MARI/ECIT JOSE PAULO DE FRANCA/OPERADOR DE COMPUTADOR/NOITE</v>
      </c>
      <c r="B76" s="55" t="str">
        <f ca="1">IFERROR(__xludf.DUMMYFUNCTION("""COMPUTED_VALUE"""),"00000001439")</f>
        <v>00000001439</v>
      </c>
      <c r="C76" s="55" t="str">
        <f ca="1">IFERROR(__xludf.DUMMYFUNCTION("""COMPUTED_VALUE"""),"T-OPERADOR DE COMPUTADOR/00000001439")</f>
        <v>T-OPERADOR DE COMPUTADOR/00000001439</v>
      </c>
      <c r="D76" s="56" t="str">
        <f ca="1">IFERROR(__xludf.DUMMYFUNCTION("""COMPUTED_VALUE"""),"https://docs.google.com/spreadsheets/d/1wqI_9MUQvQesWwoqlTBbIf1_P6ewwkHVPpS8vghBfWQ/edit?usp=drivesdk")</f>
        <v>https://docs.google.com/spreadsheets/d/1wqI_9MUQvQesWwoqlTBbIf1_P6ewwkHVPpS8vghBfWQ/edit?usp=drivesdk</v>
      </c>
      <c r="E76" s="55" t="str">
        <f ca="1">IFERROR(__xludf.DUMMYFUNCTION("""COMPUTED_VALUE"""),"17 - PARAIBATEC FIC")</f>
        <v>17 - PARAIBATEC FIC</v>
      </c>
      <c r="F76" s="55" t="str">
        <f ca="1">IFERROR(__xludf.DUMMYFUNCTION("""COMPUTED_VALUE"""),"PARAIBATEC FIC")</f>
        <v>PARAIBATEC FIC</v>
      </c>
      <c r="G76" s="55" t="str">
        <f ca="1">IFERROR(__xludf.DUMMYFUNCTION("""COMPUTED_VALUE"""),"01 - PARAIBATEC")</f>
        <v>01 - PARAIBATEC</v>
      </c>
      <c r="H76" s="55" t="str">
        <f ca="1">IFERROR(__xludf.DUMMYFUNCTION("""COMPUTED_VALUE"""),"PARAIBATEC")</f>
        <v>PARAIBATEC</v>
      </c>
      <c r="I76" s="55" t="str">
        <f ca="1">IFERROR(__xludf.DUMMYFUNCTION("""COMPUTED_VALUE"""),"532 - ECIT JOSE PAULO DE FRANCA")</f>
        <v>532 - ECIT JOSE PAULO DE FRANCA</v>
      </c>
      <c r="J76" s="55" t="str">
        <f ca="1">IFERROR(__xludf.DUMMYFUNCTION("""COMPUTED_VALUE""")," MARI")</f>
        <v xml:space="preserve"> MARI</v>
      </c>
      <c r="K76" s="55"/>
      <c r="L76" s="55"/>
      <c r="M76" s="55" t="str">
        <f ca="1">IFERROR(__xludf.DUMMYFUNCTION("""COMPUTED_VALUE"""),"ECIT JOSE PAULO DE FRANCA")</f>
        <v>ECIT JOSE PAULO DE FRANCA</v>
      </c>
      <c r="N76" s="55">
        <f ca="1">IFERROR(__xludf.DUMMYFUNCTION("""COMPUTED_VALUE"""),221153)</f>
        <v>221153</v>
      </c>
      <c r="O76" s="55" t="str">
        <f ca="1">IFERROR(__xludf.DUMMYFUNCTION("""COMPUTED_VALUE"""),"INFORMAÇAO E COMUNICAÇAO")</f>
        <v>INFORMAÇAO E COMUNICAÇAO</v>
      </c>
      <c r="P76" s="55" t="str">
        <f ca="1">IFERROR(__xludf.DUMMYFUNCTION("""COMPUTED_VALUE"""),"OPERADOR DE COMPUTADOR")</f>
        <v>OPERADOR DE COMPUTADOR</v>
      </c>
      <c r="Q76" s="55" t="str">
        <f ca="1">IFERROR(__xludf.DUMMYFUNCTION("""COMPUTED_VALUE"""),"FIC")</f>
        <v>FIC</v>
      </c>
      <c r="R76" s="55">
        <f ca="1">IFERROR(__xludf.DUMMYFUNCTION("""COMPUTED_VALUE"""),160)</f>
        <v>160</v>
      </c>
      <c r="S76" s="55" t="str">
        <f ca="1">IFERROR(__xludf.DUMMYFUNCTION("""COMPUTED_VALUE"""),"NOITE")</f>
        <v>NOITE</v>
      </c>
      <c r="T76" s="57">
        <f ca="1">IFERROR(__xludf.DUMMYFUNCTION("""COMPUTED_VALUE"""),45691)</f>
        <v>45691</v>
      </c>
      <c r="U76" s="57">
        <f ca="1">IFERROR(__xludf.DUMMYFUNCTION("""COMPUTED_VALUE"""),45824)</f>
        <v>45824</v>
      </c>
      <c r="V76" s="55"/>
      <c r="W76" s="55"/>
      <c r="X76" s="55"/>
      <c r="Y76" s="55" t="str">
        <f ca="1">IFERROR(__xludf.DUMMYFUNCTION("""COMPUTED_VALUE"""),"EM OFERTA")</f>
        <v>EM OFERTA</v>
      </c>
      <c r="Z76" s="55"/>
      <c r="AA76" s="55"/>
      <c r="AB76" s="55"/>
      <c r="AC76" s="55"/>
      <c r="AD76" s="55"/>
      <c r="AE76" s="55"/>
      <c r="AF76" s="55"/>
      <c r="AG76" s="55"/>
      <c r="AH76" s="55" t="str">
        <f ca="1">IFERROR(__xludf.DUMMYFUNCTION("""COMPUTED_VALUE"""),"-")</f>
        <v>-</v>
      </c>
      <c r="AI76" s="55" t="str">
        <f ca="1">IFERROR(__xludf.DUMMYFUNCTION("""COMPUTED_VALUE"""),"LIGIA MARIA DA SILVA SOARES")</f>
        <v>LIGIA MARIA DA SILVA SOARES</v>
      </c>
      <c r="AJ76" s="55" t="str">
        <f ca="1">IFERROR(__xludf.DUMMYFUNCTION("""COMPUTED_VALUE"""),"-")</f>
        <v>-</v>
      </c>
      <c r="AK76" s="55" t="str">
        <f ca="1">IFERROR(__xludf.DUMMYFUNCTION("""COMPUTED_VALUE"""),"-")</f>
        <v>-</v>
      </c>
      <c r="AL76" s="55" t="str">
        <f ca="1">IFERROR(__xludf.DUMMYFUNCTION("""COMPUTED_VALUE"""),"BARBARA VIRGINIA SOUZA DOS ANJOS")</f>
        <v>BARBARA VIRGINIA SOUZA DOS ANJOS</v>
      </c>
      <c r="AM76" s="55">
        <f ca="1">IFERROR(__xludf.DUMMYFUNCTION("""COMPUTED_VALUE"""),2025)</f>
        <v>2025</v>
      </c>
      <c r="AN76" s="55"/>
    </row>
    <row r="77" spans="1:40" ht="14" x14ac:dyDescent="0.35">
      <c r="A77" s="55" t="str">
        <f t="shared" ca="1" si="0"/>
        <v xml:space="preserve"> MARI/ESCOLA MUNICIPAL DE PIRPIRI/MECANICO DE MOTOCICLETAS/NOITE</v>
      </c>
      <c r="B77" s="55" t="str">
        <f ca="1">IFERROR(__xludf.DUMMYFUNCTION("""COMPUTED_VALUE"""),"00000001440")</f>
        <v>00000001440</v>
      </c>
      <c r="C77" s="55" t="str">
        <f ca="1">IFERROR(__xludf.DUMMYFUNCTION("""COMPUTED_VALUE"""),"T-MECANICO DE MOTOCICLETAS/00000001440")</f>
        <v>T-MECANICO DE MOTOCICLETAS/00000001440</v>
      </c>
      <c r="D77" s="56" t="str">
        <f ca="1">IFERROR(__xludf.DUMMYFUNCTION("""COMPUTED_VALUE"""),"https://docs.google.com/spreadsheets/d/1l3ZNF3OYIkfDk_nGeH1kJ-qx_o9acjIE8nRJ9IhXXc0/edit?usp=drivesdk")</f>
        <v>https://docs.google.com/spreadsheets/d/1l3ZNF3OYIkfDk_nGeH1kJ-qx_o9acjIE8nRJ9IhXXc0/edit?usp=drivesdk</v>
      </c>
      <c r="E77" s="55" t="str">
        <f ca="1">IFERROR(__xludf.DUMMYFUNCTION("""COMPUTED_VALUE"""),"17 - PARAIBATEC FIC")</f>
        <v>17 - PARAIBATEC FIC</v>
      </c>
      <c r="F77" s="55" t="str">
        <f ca="1">IFERROR(__xludf.DUMMYFUNCTION("""COMPUTED_VALUE"""),"PARAIBATEC FIC")</f>
        <v>PARAIBATEC FIC</v>
      </c>
      <c r="G77" s="55" t="str">
        <f ca="1">IFERROR(__xludf.DUMMYFUNCTION("""COMPUTED_VALUE"""),"01 - PARAIBATEC")</f>
        <v>01 - PARAIBATEC</v>
      </c>
      <c r="H77" s="55" t="str">
        <f ca="1">IFERROR(__xludf.DUMMYFUNCTION("""COMPUTED_VALUE"""),"PARAIBATEC")</f>
        <v>PARAIBATEC</v>
      </c>
      <c r="I77" s="55" t="str">
        <f ca="1">IFERROR(__xludf.DUMMYFUNCTION("""COMPUTED_VALUE"""),"533 - ESCOLA MUNICIPAL DE PIRPIRI")</f>
        <v>533 - ESCOLA MUNICIPAL DE PIRPIRI</v>
      </c>
      <c r="J77" s="55" t="str">
        <f ca="1">IFERROR(__xludf.DUMMYFUNCTION("""COMPUTED_VALUE""")," MARI")</f>
        <v xml:space="preserve"> MARI</v>
      </c>
      <c r="K77" s="55"/>
      <c r="L77" s="55"/>
      <c r="M77" s="55" t="str">
        <f ca="1">IFERROR(__xludf.DUMMYFUNCTION("""COMPUTED_VALUE"""),"ESCOLA MUNICIPAL DE PIRPIRI")</f>
        <v>ESCOLA MUNICIPAL DE PIRPIRI</v>
      </c>
      <c r="N77" s="55">
        <f ca="1">IFERROR(__xludf.DUMMYFUNCTION("""COMPUTED_VALUE"""),221349)</f>
        <v>221349</v>
      </c>
      <c r="O77" s="55" t="str">
        <f ca="1">IFERROR(__xludf.DUMMYFUNCTION("""COMPUTED_VALUE"""),"CONTROLE E PROCESSOS INDUSTRIAIS")</f>
        <v>CONTROLE E PROCESSOS INDUSTRIAIS</v>
      </c>
      <c r="P77" s="55" t="str">
        <f ca="1">IFERROR(__xludf.DUMMYFUNCTION("""COMPUTED_VALUE"""),"MECANICO DE MOTOCICLETAS")</f>
        <v>MECANICO DE MOTOCICLETAS</v>
      </c>
      <c r="Q77" s="55" t="str">
        <f ca="1">IFERROR(__xludf.DUMMYFUNCTION("""COMPUTED_VALUE"""),"FIC")</f>
        <v>FIC</v>
      </c>
      <c r="R77" s="55">
        <f ca="1">IFERROR(__xludf.DUMMYFUNCTION("""COMPUTED_VALUE"""),280)</f>
        <v>280</v>
      </c>
      <c r="S77" s="55" t="str">
        <f ca="1">IFERROR(__xludf.DUMMYFUNCTION("""COMPUTED_VALUE"""),"NOITE")</f>
        <v>NOITE</v>
      </c>
      <c r="T77" s="57">
        <f ca="1">IFERROR(__xludf.DUMMYFUNCTION("""COMPUTED_VALUE"""),45691)</f>
        <v>45691</v>
      </c>
      <c r="U77" s="57">
        <f ca="1">IFERROR(__xludf.DUMMYFUNCTION("""COMPUTED_VALUE"""),45830)</f>
        <v>45830</v>
      </c>
      <c r="V77" s="55"/>
      <c r="W77" s="55"/>
      <c r="X77" s="55"/>
      <c r="Y77" s="55" t="str">
        <f ca="1">IFERROR(__xludf.DUMMYFUNCTION("""COMPUTED_VALUE"""),"EM OFERTA")</f>
        <v>EM OFERTA</v>
      </c>
      <c r="Z77" s="55"/>
      <c r="AA77" s="55"/>
      <c r="AB77" s="55"/>
      <c r="AC77" s="55"/>
      <c r="AD77" s="55"/>
      <c r="AE77" s="55"/>
      <c r="AF77" s="55"/>
      <c r="AG77" s="55"/>
      <c r="AH77" s="55" t="str">
        <f ca="1">IFERROR(__xludf.DUMMYFUNCTION("""COMPUTED_VALUE"""),"-")</f>
        <v>-</v>
      </c>
      <c r="AI77" s="55" t="str">
        <f ca="1">IFERROR(__xludf.DUMMYFUNCTION("""COMPUTED_VALUE"""),"GERLANE SANTOS FREIRE DE CARVALHO")</f>
        <v>GERLANE SANTOS FREIRE DE CARVALHO</v>
      </c>
      <c r="AJ77" s="55" t="str">
        <f ca="1">IFERROR(__xludf.DUMMYFUNCTION("""COMPUTED_VALUE"""),"-")</f>
        <v>-</v>
      </c>
      <c r="AK77" s="55" t="str">
        <f ca="1">IFERROR(__xludf.DUMMYFUNCTION("""COMPUTED_VALUE"""),"-")</f>
        <v>-</v>
      </c>
      <c r="AL77" s="55" t="str">
        <f ca="1">IFERROR(__xludf.DUMMYFUNCTION("""COMPUTED_VALUE"""),"BARBARA MAREGA DA SILVA OLIVEIRA")</f>
        <v>BARBARA MAREGA DA SILVA OLIVEIRA</v>
      </c>
      <c r="AM77" s="55">
        <f ca="1">IFERROR(__xludf.DUMMYFUNCTION("""COMPUTED_VALUE"""),2025)</f>
        <v>2025</v>
      </c>
      <c r="AN77" s="55"/>
    </row>
    <row r="78" spans="1:40" ht="14" x14ac:dyDescent="0.35">
      <c r="A78" s="55" t="str">
        <f t="shared" ca="1" si="0"/>
        <v xml:space="preserve"> MARI/ESCOLA MUNICIPAL DE PIRPIRI/TRATORISTA AGRICOLA/NOITE</v>
      </c>
      <c r="B78" s="55" t="str">
        <f ca="1">IFERROR(__xludf.DUMMYFUNCTION("""COMPUTED_VALUE"""),"00000001441")</f>
        <v>00000001441</v>
      </c>
      <c r="C78" s="55" t="str">
        <f ca="1">IFERROR(__xludf.DUMMYFUNCTION("""COMPUTED_VALUE"""),"T-TRATORISTA AGRICOLA/00000001441")</f>
        <v>T-TRATORISTA AGRICOLA/00000001441</v>
      </c>
      <c r="D78" s="56" t="str">
        <f ca="1">IFERROR(__xludf.DUMMYFUNCTION("""COMPUTED_VALUE"""),"https://docs.google.com/spreadsheets/d/12Si81BHsQ85z8E2yPpLtW-B2zObf0Qr6iIe_D68WbFE/edit?usp=drivesdk")</f>
        <v>https://docs.google.com/spreadsheets/d/12Si81BHsQ85z8E2yPpLtW-B2zObf0Qr6iIe_D68WbFE/edit?usp=drivesdk</v>
      </c>
      <c r="E78" s="55" t="str">
        <f ca="1">IFERROR(__xludf.DUMMYFUNCTION("""COMPUTED_VALUE"""),"17 - PARAIBATEC FIC")</f>
        <v>17 - PARAIBATEC FIC</v>
      </c>
      <c r="F78" s="55" t="str">
        <f ca="1">IFERROR(__xludf.DUMMYFUNCTION("""COMPUTED_VALUE"""),"PARAIBATEC FIC")</f>
        <v>PARAIBATEC FIC</v>
      </c>
      <c r="G78" s="55" t="str">
        <f ca="1">IFERROR(__xludf.DUMMYFUNCTION("""COMPUTED_VALUE"""),"01 - PARAIBATEC")</f>
        <v>01 - PARAIBATEC</v>
      </c>
      <c r="H78" s="55" t="str">
        <f ca="1">IFERROR(__xludf.DUMMYFUNCTION("""COMPUTED_VALUE"""),"PARAIBATEC")</f>
        <v>PARAIBATEC</v>
      </c>
      <c r="I78" s="55" t="str">
        <f ca="1">IFERROR(__xludf.DUMMYFUNCTION("""COMPUTED_VALUE"""),"533 - ESCOLA MUNICIPAL DE PIRPIRI")</f>
        <v>533 - ESCOLA MUNICIPAL DE PIRPIRI</v>
      </c>
      <c r="J78" s="55" t="str">
        <f ca="1">IFERROR(__xludf.DUMMYFUNCTION("""COMPUTED_VALUE""")," MARI")</f>
        <v xml:space="preserve"> MARI</v>
      </c>
      <c r="K78" s="55"/>
      <c r="L78" s="55"/>
      <c r="M78" s="55" t="str">
        <f ca="1">IFERROR(__xludf.DUMMYFUNCTION("""COMPUTED_VALUE"""),"ESCOLA MUNICIPAL DE PIRPIRI")</f>
        <v>ESCOLA MUNICIPAL DE PIRPIRI</v>
      </c>
      <c r="N78" s="55">
        <f ca="1">IFERROR(__xludf.DUMMYFUNCTION("""COMPUTED_VALUE"""),221436)</f>
        <v>221436</v>
      </c>
      <c r="O78" s="55" t="str">
        <f ca="1">IFERROR(__xludf.DUMMYFUNCTION("""COMPUTED_VALUE"""),"RECURSOS NATURAIS")</f>
        <v>RECURSOS NATURAIS</v>
      </c>
      <c r="P78" s="55" t="str">
        <f ca="1">IFERROR(__xludf.DUMMYFUNCTION("""COMPUTED_VALUE"""),"TRATORISTA AGRICOLA")</f>
        <v>TRATORISTA AGRICOLA</v>
      </c>
      <c r="Q78" s="55" t="str">
        <f ca="1">IFERROR(__xludf.DUMMYFUNCTION("""COMPUTED_VALUE"""),"FIC")</f>
        <v>FIC</v>
      </c>
      <c r="R78" s="55">
        <f ca="1">IFERROR(__xludf.DUMMYFUNCTION("""COMPUTED_VALUE"""),200)</f>
        <v>200</v>
      </c>
      <c r="S78" s="55" t="str">
        <f ca="1">IFERROR(__xludf.DUMMYFUNCTION("""COMPUTED_VALUE"""),"NOITE")</f>
        <v>NOITE</v>
      </c>
      <c r="T78" s="57">
        <f ca="1">IFERROR(__xludf.DUMMYFUNCTION("""COMPUTED_VALUE"""),45691)</f>
        <v>45691</v>
      </c>
      <c r="U78" s="57">
        <f ca="1">IFERROR(__xludf.DUMMYFUNCTION("""COMPUTED_VALUE"""),45792)</f>
        <v>45792</v>
      </c>
      <c r="V78" s="55"/>
      <c r="W78" s="55"/>
      <c r="X78" s="55"/>
      <c r="Y78" s="55" t="str">
        <f ca="1">IFERROR(__xludf.DUMMYFUNCTION("""COMPUTED_VALUE"""),"EM OFERTA")</f>
        <v>EM OFERTA</v>
      </c>
      <c r="Z78" s="55"/>
      <c r="AA78" s="55"/>
      <c r="AB78" s="55"/>
      <c r="AC78" s="55"/>
      <c r="AD78" s="55"/>
      <c r="AE78" s="55"/>
      <c r="AF78" s="55"/>
      <c r="AG78" s="55"/>
      <c r="AH78" s="55" t="str">
        <f ca="1">IFERROR(__xludf.DUMMYFUNCTION("""COMPUTED_VALUE"""),"-")</f>
        <v>-</v>
      </c>
      <c r="AI78" s="55" t="str">
        <f ca="1">IFERROR(__xludf.DUMMYFUNCTION("""COMPUTED_VALUE"""),"GERLANE SANTOS FREIRE DE CARVALHO")</f>
        <v>GERLANE SANTOS FREIRE DE CARVALHO</v>
      </c>
      <c r="AJ78" s="55" t="str">
        <f ca="1">IFERROR(__xludf.DUMMYFUNCTION("""COMPUTED_VALUE"""),"-")</f>
        <v>-</v>
      </c>
      <c r="AK78" s="55" t="str">
        <f ca="1">IFERROR(__xludf.DUMMYFUNCTION("""COMPUTED_VALUE"""),"-")</f>
        <v>-</v>
      </c>
      <c r="AL78" s="55" t="str">
        <f ca="1">IFERROR(__xludf.DUMMYFUNCTION("""COMPUTED_VALUE"""),"ALEXSANDRO DE SOUZA BRITO")</f>
        <v>ALEXSANDRO DE SOUZA BRITO</v>
      </c>
      <c r="AM78" s="55">
        <f ca="1">IFERROR(__xludf.DUMMYFUNCTION("""COMPUTED_VALUE"""),2025)</f>
        <v>2025</v>
      </c>
      <c r="AN78" s="55"/>
    </row>
    <row r="79" spans="1:40" ht="14" x14ac:dyDescent="0.35">
      <c r="A79" s="55" t="str">
        <f t="shared" ca="1" si="0"/>
        <v xml:space="preserve"> MASSARANDUBA/ASSOCIACAO DE DESENVOLVIMENTO COMUNITARIO DO SITIO CHUPADOURO/AGRICULTOR FAMILIAR/MANHA</v>
      </c>
      <c r="B79" s="55" t="str">
        <f ca="1">IFERROR(__xludf.DUMMYFUNCTION("""COMPUTED_VALUE"""),"00000001442")</f>
        <v>00000001442</v>
      </c>
      <c r="C79" s="55" t="str">
        <f ca="1">IFERROR(__xludf.DUMMYFUNCTION("""COMPUTED_VALUE"""),"T-AGRICULTOR FAMILIAR/00000001442")</f>
        <v>T-AGRICULTOR FAMILIAR/00000001442</v>
      </c>
      <c r="D79" s="56" t="str">
        <f ca="1">IFERROR(__xludf.DUMMYFUNCTION("""COMPUTED_VALUE"""),"https://docs.google.com/spreadsheets/d/1XJgdWKy1PakbojnAJa0F5tbMpzfrTyUQQIfosA5mIPU/edit?usp=drivesdk")</f>
        <v>https://docs.google.com/spreadsheets/d/1XJgdWKy1PakbojnAJa0F5tbMpzfrTyUQQIfosA5mIPU/edit?usp=drivesdk</v>
      </c>
      <c r="E79" s="55" t="str">
        <f ca="1">IFERROR(__xludf.DUMMYFUNCTION("""COMPUTED_VALUE"""),"17 - PARAIBATEC FIC")</f>
        <v>17 - PARAIBATEC FIC</v>
      </c>
      <c r="F79" s="55" t="str">
        <f ca="1">IFERROR(__xludf.DUMMYFUNCTION("""COMPUTED_VALUE"""),"PARAIBATEC FIC")</f>
        <v>PARAIBATEC FIC</v>
      </c>
      <c r="G79" s="55" t="str">
        <f ca="1">IFERROR(__xludf.DUMMYFUNCTION("""COMPUTED_VALUE"""),"01 - PARAIBATEC")</f>
        <v>01 - PARAIBATEC</v>
      </c>
      <c r="H79" s="55" t="str">
        <f ca="1">IFERROR(__xludf.DUMMYFUNCTION("""COMPUTED_VALUE"""),"PARAIBATEC")</f>
        <v>PARAIBATEC</v>
      </c>
      <c r="I79" s="55" t="str">
        <f ca="1">IFERROR(__xludf.DUMMYFUNCTION("""COMPUTED_VALUE"""),"476 - ASSOCIACAO DE DESENVOLVIMENTO COMUNITARIO DO SITIO CHUPADOURO")</f>
        <v>476 - ASSOCIACAO DE DESENVOLVIMENTO COMUNITARIO DO SITIO CHUPADOURO</v>
      </c>
      <c r="J79" s="55" t="str">
        <f ca="1">IFERROR(__xludf.DUMMYFUNCTION("""COMPUTED_VALUE""")," MASSARANDUBA")</f>
        <v xml:space="preserve"> MASSARANDUBA</v>
      </c>
      <c r="K79" s="55"/>
      <c r="L79" s="55"/>
      <c r="M79" s="55" t="str">
        <f ca="1">IFERROR(__xludf.DUMMYFUNCTION("""COMPUTED_VALUE"""),"ASSOCIACAO DE DESENVOLVIMENTO COMUNITARIO DO SITIO CHUPADOURO")</f>
        <v>ASSOCIACAO DE DESENVOLVIMENTO COMUNITARIO DO SITIO CHUPADOURO</v>
      </c>
      <c r="N79" s="55">
        <f ca="1">IFERROR(__xludf.DUMMYFUNCTION("""COMPUTED_VALUE"""),221289)</f>
        <v>221289</v>
      </c>
      <c r="O79" s="55" t="str">
        <f ca="1">IFERROR(__xludf.DUMMYFUNCTION("""COMPUTED_VALUE"""),"RECURSOS NATURAIS")</f>
        <v>RECURSOS NATURAIS</v>
      </c>
      <c r="P79" s="55" t="str">
        <f ca="1">IFERROR(__xludf.DUMMYFUNCTION("""COMPUTED_VALUE"""),"AGRICULTOR FAMILIAR")</f>
        <v>AGRICULTOR FAMILIAR</v>
      </c>
      <c r="Q79" s="55" t="str">
        <f ca="1">IFERROR(__xludf.DUMMYFUNCTION("""COMPUTED_VALUE"""),"FIC")</f>
        <v>FIC</v>
      </c>
      <c r="R79" s="55">
        <f ca="1">IFERROR(__xludf.DUMMYFUNCTION("""COMPUTED_VALUE"""),200)</f>
        <v>200</v>
      </c>
      <c r="S79" s="55" t="str">
        <f ca="1">IFERROR(__xludf.DUMMYFUNCTION("""COMPUTED_VALUE"""),"MANHA")</f>
        <v>MANHA</v>
      </c>
      <c r="T79" s="57">
        <f ca="1">IFERROR(__xludf.DUMMYFUNCTION("""COMPUTED_VALUE"""),45691)</f>
        <v>45691</v>
      </c>
      <c r="U79" s="57">
        <f ca="1">IFERROR(__xludf.DUMMYFUNCTION("""COMPUTED_VALUE"""),45853)</f>
        <v>45853</v>
      </c>
      <c r="V79" s="55"/>
      <c r="W79" s="55"/>
      <c r="X79" s="55"/>
      <c r="Y79" s="55" t="str">
        <f ca="1">IFERROR(__xludf.DUMMYFUNCTION("""COMPUTED_VALUE"""),"EM OFERTA")</f>
        <v>EM OFERTA</v>
      </c>
      <c r="Z79" s="55"/>
      <c r="AA79" s="55"/>
      <c r="AB79" s="55"/>
      <c r="AC79" s="55"/>
      <c r="AD79" s="55"/>
      <c r="AE79" s="55"/>
      <c r="AF79" s="55"/>
      <c r="AG79" s="55"/>
      <c r="AH79" s="55" t="str">
        <f ca="1">IFERROR(__xludf.DUMMYFUNCTION("""COMPUTED_VALUE"""),"-")</f>
        <v>-</v>
      </c>
      <c r="AI79" s="55" t="str">
        <f ca="1">IFERROR(__xludf.DUMMYFUNCTION("""COMPUTED_VALUE"""),"JOAO MATHEUS LIMA COSTA")</f>
        <v>JOAO MATHEUS LIMA COSTA</v>
      </c>
      <c r="AJ79" s="55" t="str">
        <f ca="1">IFERROR(__xludf.DUMMYFUNCTION("""COMPUTED_VALUE"""),"-")</f>
        <v>-</v>
      </c>
      <c r="AK79" s="55" t="str">
        <f ca="1">IFERROR(__xludf.DUMMYFUNCTION("""COMPUTED_VALUE"""),"-")</f>
        <v>-</v>
      </c>
      <c r="AL79" s="55" t="str">
        <f ca="1">IFERROR(__xludf.DUMMYFUNCTION("""COMPUTED_VALUE"""),"ANDREZZA MAIA DE LIMA")</f>
        <v>ANDREZZA MAIA DE LIMA</v>
      </c>
      <c r="AM79" s="55">
        <f ca="1">IFERROR(__xludf.DUMMYFUNCTION("""COMPUTED_VALUE"""),2025)</f>
        <v>2025</v>
      </c>
      <c r="AN79" s="55"/>
    </row>
    <row r="80" spans="1:40" ht="14" x14ac:dyDescent="0.35">
      <c r="A80" s="55" t="str">
        <f t="shared" ca="1" si="0"/>
        <v xml:space="preserve"> MOGEIRO/ECIT OTAVIA SILVEIRA/ASSISTENTE ADMINISTRATIVO/NOITE</v>
      </c>
      <c r="B80" s="55" t="str">
        <f ca="1">IFERROR(__xludf.DUMMYFUNCTION("""COMPUTED_VALUE"""),"00000001443")</f>
        <v>00000001443</v>
      </c>
      <c r="C80" s="55" t="str">
        <f ca="1">IFERROR(__xludf.DUMMYFUNCTION("""COMPUTED_VALUE"""),"T-ASSISTENTE ADMINISTRATIVO/00000001443")</f>
        <v>T-ASSISTENTE ADMINISTRATIVO/00000001443</v>
      </c>
      <c r="D80" s="56" t="str">
        <f ca="1">IFERROR(__xludf.DUMMYFUNCTION("""COMPUTED_VALUE"""),"https://docs.google.com/spreadsheets/d/1x4MxDxMxJld5x67NQiegvWrdJg1FnSxlIDOi3E91we0/edit?usp=drivesdk")</f>
        <v>https://docs.google.com/spreadsheets/d/1x4MxDxMxJld5x67NQiegvWrdJg1FnSxlIDOi3E91we0/edit?usp=drivesdk</v>
      </c>
      <c r="E80" s="55" t="str">
        <f ca="1">IFERROR(__xludf.DUMMYFUNCTION("""COMPUTED_VALUE"""),"17 - PARAIBATEC FIC")</f>
        <v>17 - PARAIBATEC FIC</v>
      </c>
      <c r="F80" s="55" t="str">
        <f ca="1">IFERROR(__xludf.DUMMYFUNCTION("""COMPUTED_VALUE"""),"PARAIBATEC FIC")</f>
        <v>PARAIBATEC FIC</v>
      </c>
      <c r="G80" s="55" t="str">
        <f ca="1">IFERROR(__xludf.DUMMYFUNCTION("""COMPUTED_VALUE"""),"01 - PARAIBATEC")</f>
        <v>01 - PARAIBATEC</v>
      </c>
      <c r="H80" s="55" t="str">
        <f ca="1">IFERROR(__xludf.DUMMYFUNCTION("""COMPUTED_VALUE"""),"PARAIBATEC")</f>
        <v>PARAIBATEC</v>
      </c>
      <c r="I80" s="55" t="str">
        <f ca="1">IFERROR(__xludf.DUMMYFUNCTION("""COMPUTED_VALUE"""),"534 - ECIT OTAVIA SILVEIRA")</f>
        <v>534 - ECIT OTAVIA SILVEIRA</v>
      </c>
      <c r="J80" s="55" t="str">
        <f ca="1">IFERROR(__xludf.DUMMYFUNCTION("""COMPUTED_VALUE""")," MOGEIRO")</f>
        <v xml:space="preserve"> MOGEIRO</v>
      </c>
      <c r="K80" s="55"/>
      <c r="L80" s="55"/>
      <c r="M80" s="55" t="str">
        <f ca="1">IFERROR(__xludf.DUMMYFUNCTION("""COMPUTED_VALUE"""),"ECIT OTAVIA SILVEIRA")</f>
        <v>ECIT OTAVIA SILVEIRA</v>
      </c>
      <c r="N80" s="55">
        <f ca="1">IFERROR(__xludf.DUMMYFUNCTION("""COMPUTED_VALUE"""),221012)</f>
        <v>221012</v>
      </c>
      <c r="O80" s="55" t="str">
        <f ca="1">IFERROR(__xludf.DUMMYFUNCTION("""COMPUTED_VALUE"""),"GESTAO E NEGOCIOS")</f>
        <v>GESTAO E NEGOCIOS</v>
      </c>
      <c r="P80" s="55" t="str">
        <f ca="1">IFERROR(__xludf.DUMMYFUNCTION("""COMPUTED_VALUE"""),"ASSISTENTE ADMINISTRATIVO")</f>
        <v>ASSISTENTE ADMINISTRATIVO</v>
      </c>
      <c r="Q80" s="55" t="str">
        <f ca="1">IFERROR(__xludf.DUMMYFUNCTION("""COMPUTED_VALUE"""),"FIC")</f>
        <v>FIC</v>
      </c>
      <c r="R80" s="55">
        <f ca="1">IFERROR(__xludf.DUMMYFUNCTION("""COMPUTED_VALUE"""),160)</f>
        <v>160</v>
      </c>
      <c r="S80" s="55" t="str">
        <f ca="1">IFERROR(__xludf.DUMMYFUNCTION("""COMPUTED_VALUE"""),"NOITE")</f>
        <v>NOITE</v>
      </c>
      <c r="T80" s="57">
        <f ca="1">IFERROR(__xludf.DUMMYFUNCTION("""COMPUTED_VALUE"""),45691)</f>
        <v>45691</v>
      </c>
      <c r="U80" s="57">
        <f ca="1">IFERROR(__xludf.DUMMYFUNCTION("""COMPUTED_VALUE"""),45770)</f>
        <v>45770</v>
      </c>
      <c r="V80" s="55"/>
      <c r="W80" s="55"/>
      <c r="X80" s="55"/>
      <c r="Y80" s="55" t="str">
        <f ca="1">IFERROR(__xludf.DUMMYFUNCTION("""COMPUTED_VALUE"""),"EM OFERTA")</f>
        <v>EM OFERTA</v>
      </c>
      <c r="Z80" s="55"/>
      <c r="AA80" s="55"/>
      <c r="AB80" s="55"/>
      <c r="AC80" s="55"/>
      <c r="AD80" s="55"/>
      <c r="AE80" s="55"/>
      <c r="AF80" s="55"/>
      <c r="AG80" s="55"/>
      <c r="AH80" s="55" t="str">
        <f ca="1">IFERROR(__xludf.DUMMYFUNCTION("""COMPUTED_VALUE"""),"-")</f>
        <v>-</v>
      </c>
      <c r="AI80" s="55" t="str">
        <f ca="1">IFERROR(__xludf.DUMMYFUNCTION("""COMPUTED_VALUE"""),"ONELICE CLAUDIA PEREIRA FERREIRA GALDINO")</f>
        <v>ONELICE CLAUDIA PEREIRA FERREIRA GALDINO</v>
      </c>
      <c r="AJ80" s="55" t="str">
        <f ca="1">IFERROR(__xludf.DUMMYFUNCTION("""COMPUTED_VALUE"""),"-")</f>
        <v>-</v>
      </c>
      <c r="AK80" s="55" t="str">
        <f ca="1">IFERROR(__xludf.DUMMYFUNCTION("""COMPUTED_VALUE"""),"-")</f>
        <v>-</v>
      </c>
      <c r="AL80" s="55" t="str">
        <f ca="1">IFERROR(__xludf.DUMMYFUNCTION("""COMPUTED_VALUE"""),"AUDRAY MARIA SILVEIRA NEVES GALDINO")</f>
        <v>AUDRAY MARIA SILVEIRA NEVES GALDINO</v>
      </c>
      <c r="AM80" s="55">
        <f ca="1">IFERROR(__xludf.DUMMYFUNCTION("""COMPUTED_VALUE"""),2025)</f>
        <v>2025</v>
      </c>
      <c r="AN80" s="55"/>
    </row>
    <row r="81" spans="1:40" ht="14" x14ac:dyDescent="0.35">
      <c r="A81" s="55" t="str">
        <f t="shared" ca="1" si="0"/>
        <v xml:space="preserve"> MOGEIRO/ESCOLA MUNICIPAL IRACI RODRIGUES DE FARIAS MELO/AQUICULTOR/NOITE</v>
      </c>
      <c r="B81" s="55" t="str">
        <f ca="1">IFERROR(__xludf.DUMMYFUNCTION("""COMPUTED_VALUE"""),"00000001444")</f>
        <v>00000001444</v>
      </c>
      <c r="C81" s="55" t="str">
        <f ca="1">IFERROR(__xludf.DUMMYFUNCTION("""COMPUTED_VALUE"""),"T-AQUICULTOR/00000001444")</f>
        <v>T-AQUICULTOR/00000001444</v>
      </c>
      <c r="D81" s="56" t="str">
        <f ca="1">IFERROR(__xludf.DUMMYFUNCTION("""COMPUTED_VALUE"""),"https://docs.google.com/spreadsheets/d/1F9YHn1GgNwFgl1Mq9rH4FjKzzAODuFkmssfBttkfd2U/edit?usp=drivesdk")</f>
        <v>https://docs.google.com/spreadsheets/d/1F9YHn1GgNwFgl1Mq9rH4FjKzzAODuFkmssfBttkfd2U/edit?usp=drivesdk</v>
      </c>
      <c r="E81" s="55" t="str">
        <f ca="1">IFERROR(__xludf.DUMMYFUNCTION("""COMPUTED_VALUE"""),"17 - PARAIBATEC FIC")</f>
        <v>17 - PARAIBATEC FIC</v>
      </c>
      <c r="F81" s="55" t="str">
        <f ca="1">IFERROR(__xludf.DUMMYFUNCTION("""COMPUTED_VALUE"""),"PARAIBATEC FIC")</f>
        <v>PARAIBATEC FIC</v>
      </c>
      <c r="G81" s="55" t="str">
        <f ca="1">IFERROR(__xludf.DUMMYFUNCTION("""COMPUTED_VALUE"""),"01 - PARAIBATEC")</f>
        <v>01 - PARAIBATEC</v>
      </c>
      <c r="H81" s="55" t="str">
        <f ca="1">IFERROR(__xludf.DUMMYFUNCTION("""COMPUTED_VALUE"""),"PARAIBATEC")</f>
        <v>PARAIBATEC</v>
      </c>
      <c r="I81" s="55" t="str">
        <f ca="1">IFERROR(__xludf.DUMMYFUNCTION("""COMPUTED_VALUE"""),"535 - ESCOLA MUNICIPAL IRACI RODRIGUES DE FARIAS MELO")</f>
        <v>535 - ESCOLA MUNICIPAL IRACI RODRIGUES DE FARIAS MELO</v>
      </c>
      <c r="J81" s="55" t="str">
        <f ca="1">IFERROR(__xludf.DUMMYFUNCTION("""COMPUTED_VALUE""")," MOGEIRO")</f>
        <v xml:space="preserve"> MOGEIRO</v>
      </c>
      <c r="K81" s="55"/>
      <c r="L81" s="55"/>
      <c r="M81" s="55" t="str">
        <f ca="1">IFERROR(__xludf.DUMMYFUNCTION("""COMPUTED_VALUE"""),"ESCOLA MUNICIPAL IRACI RODRIGUES DE FARIAS MELO")</f>
        <v>ESCOLA MUNICIPAL IRACI RODRIGUES DE FARIAS MELO</v>
      </c>
      <c r="N81" s="55">
        <f ca="1">IFERROR(__xludf.DUMMYFUNCTION("""COMPUTED_VALUE"""),221177)</f>
        <v>221177</v>
      </c>
      <c r="O81" s="55" t="str">
        <f ca="1">IFERROR(__xludf.DUMMYFUNCTION("""COMPUTED_VALUE"""),"RECURSOS NATURAIS")</f>
        <v>RECURSOS NATURAIS</v>
      </c>
      <c r="P81" s="55" t="str">
        <f ca="1">IFERROR(__xludf.DUMMYFUNCTION("""COMPUTED_VALUE"""),"AQUICULTOR")</f>
        <v>AQUICULTOR</v>
      </c>
      <c r="Q81" s="55" t="str">
        <f ca="1">IFERROR(__xludf.DUMMYFUNCTION("""COMPUTED_VALUE"""),"FIC")</f>
        <v>FIC</v>
      </c>
      <c r="R81" s="55">
        <f ca="1">IFERROR(__xludf.DUMMYFUNCTION("""COMPUTED_VALUE"""),160)</f>
        <v>160</v>
      </c>
      <c r="S81" s="55" t="str">
        <f ca="1">IFERROR(__xludf.DUMMYFUNCTION("""COMPUTED_VALUE"""),"NOITE")</f>
        <v>NOITE</v>
      </c>
      <c r="T81" s="57">
        <f ca="1">IFERROR(__xludf.DUMMYFUNCTION("""COMPUTED_VALUE"""),45712)</f>
        <v>45712</v>
      </c>
      <c r="U81" s="57">
        <f ca="1">IFERROR(__xludf.DUMMYFUNCTION("""COMPUTED_VALUE"""),45845)</f>
        <v>45845</v>
      </c>
      <c r="V81" s="55"/>
      <c r="W81" s="55"/>
      <c r="X81" s="55"/>
      <c r="Y81" s="55" t="str">
        <f ca="1">IFERROR(__xludf.DUMMYFUNCTION("""COMPUTED_VALUE"""),"EM OFERTA")</f>
        <v>EM OFERTA</v>
      </c>
      <c r="Z81" s="55"/>
      <c r="AA81" s="55"/>
      <c r="AB81" s="55"/>
      <c r="AC81" s="55"/>
      <c r="AD81" s="55"/>
      <c r="AE81" s="55"/>
      <c r="AF81" s="55"/>
      <c r="AG81" s="55"/>
      <c r="AH81" s="55" t="str">
        <f ca="1">IFERROR(__xludf.DUMMYFUNCTION("""COMPUTED_VALUE"""),"-")</f>
        <v>-</v>
      </c>
      <c r="AI81" s="55" t="str">
        <f ca="1">IFERROR(__xludf.DUMMYFUNCTION("""COMPUTED_VALUE"""),"JOSE MAIKON SILVA DE OLIVEIRA")</f>
        <v>JOSE MAIKON SILVA DE OLIVEIRA</v>
      </c>
      <c r="AJ81" s="55" t="str">
        <f ca="1">IFERROR(__xludf.DUMMYFUNCTION("""COMPUTED_VALUE"""),"-")</f>
        <v>-</v>
      </c>
      <c r="AK81" s="55" t="str">
        <f ca="1">IFERROR(__xludf.DUMMYFUNCTION("""COMPUTED_VALUE"""),"-")</f>
        <v>-</v>
      </c>
      <c r="AL81" s="55" t="str">
        <f ca="1">IFERROR(__xludf.DUMMYFUNCTION("""COMPUTED_VALUE"""),"JAIRTON ROMA DE SENA")</f>
        <v>JAIRTON ROMA DE SENA</v>
      </c>
      <c r="AM81" s="55">
        <f ca="1">IFERROR(__xludf.DUMMYFUNCTION("""COMPUTED_VALUE"""),2025)</f>
        <v>2025</v>
      </c>
      <c r="AN81" s="55"/>
    </row>
    <row r="82" spans="1:40" ht="14" x14ac:dyDescent="0.35">
      <c r="A82" s="55" t="str">
        <f t="shared" ca="1" si="0"/>
        <v xml:space="preserve"> MOGEIRO/ESCOLA MUNICIPAL IRACI RODRIGUES DE FARIAS MELO/OPERADOR DE MAQUINAS E IMPLEMENTOS AGRICOLAS/NOITE</v>
      </c>
      <c r="B82" s="55" t="str">
        <f ca="1">IFERROR(__xludf.DUMMYFUNCTION("""COMPUTED_VALUE"""),"00000001445")</f>
        <v>00000001445</v>
      </c>
      <c r="C82" s="55" t="str">
        <f ca="1">IFERROR(__xludf.DUMMYFUNCTION("""COMPUTED_VALUE"""),"T-OPERADOR DE MAQUINAS E IMPLEMENTOS AGRICOLAS/00000001445")</f>
        <v>T-OPERADOR DE MAQUINAS E IMPLEMENTOS AGRICOLAS/00000001445</v>
      </c>
      <c r="D82" s="56" t="str">
        <f ca="1">IFERROR(__xludf.DUMMYFUNCTION("""COMPUTED_VALUE"""),"https://docs.google.com/spreadsheets/d/1AvVrv5qgTOKMQQeBKooSoy1TNpoms9is6NZNg8O22bU/edit?usp=drivesdk")</f>
        <v>https://docs.google.com/spreadsheets/d/1AvVrv5qgTOKMQQeBKooSoy1TNpoms9is6NZNg8O22bU/edit?usp=drivesdk</v>
      </c>
      <c r="E82" s="55" t="str">
        <f ca="1">IFERROR(__xludf.DUMMYFUNCTION("""COMPUTED_VALUE"""),"17 - PARAIBATEC FIC")</f>
        <v>17 - PARAIBATEC FIC</v>
      </c>
      <c r="F82" s="55" t="str">
        <f ca="1">IFERROR(__xludf.DUMMYFUNCTION("""COMPUTED_VALUE"""),"PARAIBATEC FIC")</f>
        <v>PARAIBATEC FIC</v>
      </c>
      <c r="G82" s="55" t="str">
        <f ca="1">IFERROR(__xludf.DUMMYFUNCTION("""COMPUTED_VALUE"""),"01 - PARAIBATEC")</f>
        <v>01 - PARAIBATEC</v>
      </c>
      <c r="H82" s="55" t="str">
        <f ca="1">IFERROR(__xludf.DUMMYFUNCTION("""COMPUTED_VALUE"""),"PARAIBATEC")</f>
        <v>PARAIBATEC</v>
      </c>
      <c r="I82" s="55" t="str">
        <f ca="1">IFERROR(__xludf.DUMMYFUNCTION("""COMPUTED_VALUE"""),"535 - ESCOLA MUNICIPAL IRACI RODRIGUES DE FARIAS MELO")</f>
        <v>535 - ESCOLA MUNICIPAL IRACI RODRIGUES DE FARIAS MELO</v>
      </c>
      <c r="J82" s="55" t="str">
        <f ca="1">IFERROR(__xludf.DUMMYFUNCTION("""COMPUTED_VALUE""")," MOGEIRO")</f>
        <v xml:space="preserve"> MOGEIRO</v>
      </c>
      <c r="K82" s="55"/>
      <c r="L82" s="55"/>
      <c r="M82" s="55" t="str">
        <f ca="1">IFERROR(__xludf.DUMMYFUNCTION("""COMPUTED_VALUE"""),"ESCOLA MUNICIPAL IRACI RODRIGUES DE FARIAS MELO")</f>
        <v>ESCOLA MUNICIPAL IRACI RODRIGUES DE FARIAS MELO</v>
      </c>
      <c r="N82" s="55">
        <f ca="1">IFERROR(__xludf.DUMMYFUNCTION("""COMPUTED_VALUE"""),221279)</f>
        <v>221279</v>
      </c>
      <c r="O82" s="55" t="str">
        <f ca="1">IFERROR(__xludf.DUMMYFUNCTION("""COMPUTED_VALUE"""),"RECURSOS NATURAIS")</f>
        <v>RECURSOS NATURAIS</v>
      </c>
      <c r="P82" s="55" t="str">
        <f ca="1">IFERROR(__xludf.DUMMYFUNCTION("""COMPUTED_VALUE"""),"OPERADOR DE MAQUINAS E IMPLEMENTOS AGRICOLAS")</f>
        <v>OPERADOR DE MAQUINAS E IMPLEMENTOS AGRICOLAS</v>
      </c>
      <c r="Q82" s="55" t="str">
        <f ca="1">IFERROR(__xludf.DUMMYFUNCTION("""COMPUTED_VALUE"""),"FIC")</f>
        <v>FIC</v>
      </c>
      <c r="R82" s="55">
        <f ca="1">IFERROR(__xludf.DUMMYFUNCTION("""COMPUTED_VALUE"""),160)</f>
        <v>160</v>
      </c>
      <c r="S82" s="55" t="str">
        <f ca="1">IFERROR(__xludf.DUMMYFUNCTION("""COMPUTED_VALUE"""),"NOITE")</f>
        <v>NOITE</v>
      </c>
      <c r="T82" s="57">
        <f ca="1">IFERROR(__xludf.DUMMYFUNCTION("""COMPUTED_VALUE"""),45692)</f>
        <v>45692</v>
      </c>
      <c r="U82" s="57">
        <f ca="1">IFERROR(__xludf.DUMMYFUNCTION("""COMPUTED_VALUE"""),45825)</f>
        <v>45825</v>
      </c>
      <c r="V82" s="55"/>
      <c r="W82" s="55"/>
      <c r="X82" s="55"/>
      <c r="Y82" s="55" t="str">
        <f ca="1">IFERROR(__xludf.DUMMYFUNCTION("""COMPUTED_VALUE"""),"EM OFERTA")</f>
        <v>EM OFERTA</v>
      </c>
      <c r="Z82" s="55"/>
      <c r="AA82" s="55"/>
      <c r="AB82" s="55"/>
      <c r="AC82" s="55"/>
      <c r="AD82" s="55"/>
      <c r="AE82" s="55"/>
      <c r="AF82" s="55"/>
      <c r="AG82" s="55"/>
      <c r="AH82" s="55" t="str">
        <f ca="1">IFERROR(__xludf.DUMMYFUNCTION("""COMPUTED_VALUE"""),"-")</f>
        <v>-</v>
      </c>
      <c r="AI82" s="55" t="str">
        <f ca="1">IFERROR(__xludf.DUMMYFUNCTION("""COMPUTED_VALUE"""),"JOSE MAIKON SILVA DE OLIVEIRA")</f>
        <v>JOSE MAIKON SILVA DE OLIVEIRA</v>
      </c>
      <c r="AJ82" s="55" t="str">
        <f ca="1">IFERROR(__xludf.DUMMYFUNCTION("""COMPUTED_VALUE"""),"-")</f>
        <v>-</v>
      </c>
      <c r="AK82" s="55" t="str">
        <f ca="1">IFERROR(__xludf.DUMMYFUNCTION("""COMPUTED_VALUE"""),"-")</f>
        <v>-</v>
      </c>
      <c r="AL82" s="55" t="str">
        <f ca="1">IFERROR(__xludf.DUMMYFUNCTION("""COMPUTED_VALUE"""),"ANTONIO CRISTOVAO DOS SANTOS LOPES")</f>
        <v>ANTONIO CRISTOVAO DOS SANTOS LOPES</v>
      </c>
      <c r="AM82" s="55">
        <f ca="1">IFERROR(__xludf.DUMMYFUNCTION("""COMPUTED_VALUE"""),2025)</f>
        <v>2025</v>
      </c>
      <c r="AN82" s="55"/>
    </row>
    <row r="83" spans="1:40" ht="14" x14ac:dyDescent="0.35">
      <c r="A83" s="55" t="str">
        <f t="shared" ca="1" si="0"/>
        <v xml:space="preserve"> MOGEIRO/ESCOLA MUNICIPAL IRACI RODRIGUES DE FARIAS MELO/OPERADOR DE RETROESCAVADEIRA/NOITE</v>
      </c>
      <c r="B83" s="55" t="str">
        <f ca="1">IFERROR(__xludf.DUMMYFUNCTION("""COMPUTED_VALUE"""),"00000001446")</f>
        <v>00000001446</v>
      </c>
      <c r="C83" s="55" t="str">
        <f ca="1">IFERROR(__xludf.DUMMYFUNCTION("""COMPUTED_VALUE"""),"T-OPERADOR DE RETROESCAVADEIRA/00000001446")</f>
        <v>T-OPERADOR DE RETROESCAVADEIRA/00000001446</v>
      </c>
      <c r="D83" s="56" t="str">
        <f ca="1">IFERROR(__xludf.DUMMYFUNCTION("""COMPUTED_VALUE"""),"https://docs.google.com/spreadsheets/d/18QTzySxQCn4BPjvceArR2RZkFkZW699uVZ_ymX3Ux04/edit?usp=drivesdk")</f>
        <v>https://docs.google.com/spreadsheets/d/18QTzySxQCn4BPjvceArR2RZkFkZW699uVZ_ymX3Ux04/edit?usp=drivesdk</v>
      </c>
      <c r="E83" s="55" t="str">
        <f ca="1">IFERROR(__xludf.DUMMYFUNCTION("""COMPUTED_VALUE"""),"17 - PARAIBATEC FIC")</f>
        <v>17 - PARAIBATEC FIC</v>
      </c>
      <c r="F83" s="55" t="str">
        <f ca="1">IFERROR(__xludf.DUMMYFUNCTION("""COMPUTED_VALUE"""),"PARAIBATEC FIC")</f>
        <v>PARAIBATEC FIC</v>
      </c>
      <c r="G83" s="55" t="str">
        <f ca="1">IFERROR(__xludf.DUMMYFUNCTION("""COMPUTED_VALUE"""),"01 - PARAIBATEC")</f>
        <v>01 - PARAIBATEC</v>
      </c>
      <c r="H83" s="55" t="str">
        <f ca="1">IFERROR(__xludf.DUMMYFUNCTION("""COMPUTED_VALUE"""),"PARAIBATEC")</f>
        <v>PARAIBATEC</v>
      </c>
      <c r="I83" s="55" t="str">
        <f ca="1">IFERROR(__xludf.DUMMYFUNCTION("""COMPUTED_VALUE"""),"535 - ESCOLA MUNICIPAL IRACI RODRIGUES DE FARIAS MELO")</f>
        <v>535 - ESCOLA MUNICIPAL IRACI RODRIGUES DE FARIAS MELO</v>
      </c>
      <c r="J83" s="55" t="str">
        <f ca="1">IFERROR(__xludf.DUMMYFUNCTION("""COMPUTED_VALUE""")," MOGEIRO")</f>
        <v xml:space="preserve"> MOGEIRO</v>
      </c>
      <c r="K83" s="55"/>
      <c r="L83" s="55"/>
      <c r="M83" s="55" t="str">
        <f ca="1">IFERROR(__xludf.DUMMYFUNCTION("""COMPUTED_VALUE"""),"ESCOLA MUNICIPAL IRACI RODRIGUES DE FARIAS MELO")</f>
        <v>ESCOLA MUNICIPAL IRACI RODRIGUES DE FARIAS MELO</v>
      </c>
      <c r="N83" s="55">
        <f ca="1">IFERROR(__xludf.DUMMYFUNCTION("""COMPUTED_VALUE"""),221305)</f>
        <v>221305</v>
      </c>
      <c r="O83" s="55" t="str">
        <f ca="1">IFERROR(__xludf.DUMMYFUNCTION("""COMPUTED_VALUE"""),"INFRAESTRUTURA")</f>
        <v>INFRAESTRUTURA</v>
      </c>
      <c r="P83" s="55" t="str">
        <f ca="1">IFERROR(__xludf.DUMMYFUNCTION("""COMPUTED_VALUE"""),"OPERADOR DE RETROESCAVADEIRA")</f>
        <v>OPERADOR DE RETROESCAVADEIRA</v>
      </c>
      <c r="Q83" s="55" t="str">
        <f ca="1">IFERROR(__xludf.DUMMYFUNCTION("""COMPUTED_VALUE"""),"FIC")</f>
        <v>FIC</v>
      </c>
      <c r="R83" s="55">
        <f ca="1">IFERROR(__xludf.DUMMYFUNCTION("""COMPUTED_VALUE"""),160)</f>
        <v>160</v>
      </c>
      <c r="S83" s="55" t="str">
        <f ca="1">IFERROR(__xludf.DUMMYFUNCTION("""COMPUTED_VALUE"""),"NOITE")</f>
        <v>NOITE</v>
      </c>
      <c r="T83" s="57">
        <f ca="1">IFERROR(__xludf.DUMMYFUNCTION("""COMPUTED_VALUE"""),45691)</f>
        <v>45691</v>
      </c>
      <c r="U83" s="57">
        <f ca="1">IFERROR(__xludf.DUMMYFUNCTION("""COMPUTED_VALUE"""),45824)</f>
        <v>45824</v>
      </c>
      <c r="V83" s="55"/>
      <c r="W83" s="55"/>
      <c r="X83" s="55"/>
      <c r="Y83" s="55" t="str">
        <f ca="1">IFERROR(__xludf.DUMMYFUNCTION("""COMPUTED_VALUE"""),"EM OFERTA")</f>
        <v>EM OFERTA</v>
      </c>
      <c r="Z83" s="55"/>
      <c r="AA83" s="55"/>
      <c r="AB83" s="55"/>
      <c r="AC83" s="55"/>
      <c r="AD83" s="55"/>
      <c r="AE83" s="55"/>
      <c r="AF83" s="55"/>
      <c r="AG83" s="55"/>
      <c r="AH83" s="55" t="str">
        <f ca="1">IFERROR(__xludf.DUMMYFUNCTION("""COMPUTED_VALUE"""),"-")</f>
        <v>-</v>
      </c>
      <c r="AI83" s="55" t="str">
        <f ca="1">IFERROR(__xludf.DUMMYFUNCTION("""COMPUTED_VALUE"""),"JOSE MAIKON SILVA DE OLIVEIRA")</f>
        <v>JOSE MAIKON SILVA DE OLIVEIRA</v>
      </c>
      <c r="AJ83" s="55" t="str">
        <f ca="1">IFERROR(__xludf.DUMMYFUNCTION("""COMPUTED_VALUE"""),"-")</f>
        <v>-</v>
      </c>
      <c r="AK83" s="55" t="str">
        <f ca="1">IFERROR(__xludf.DUMMYFUNCTION("""COMPUTED_VALUE"""),"-")</f>
        <v>-</v>
      </c>
      <c r="AL83" s="55" t="str">
        <f ca="1">IFERROR(__xludf.DUMMYFUNCTION("""COMPUTED_VALUE"""),"LUZENILTON DINIZ LIMA FILHO")</f>
        <v>LUZENILTON DINIZ LIMA FILHO</v>
      </c>
      <c r="AM83" s="55">
        <f ca="1">IFERROR(__xludf.DUMMYFUNCTION("""COMPUTED_VALUE"""),2025)</f>
        <v>2025</v>
      </c>
      <c r="AN83" s="55"/>
    </row>
    <row r="84" spans="1:40" ht="14" x14ac:dyDescent="0.35">
      <c r="A84" s="55" t="str">
        <f t="shared" ca="1" si="0"/>
        <v xml:space="preserve"> MONTEIRO/ESCOLA MUNICIPAL PROFESSOR JOSE DE ARAUJO VALENCA/AGRICULTOR FAMILIAR/NOITE</v>
      </c>
      <c r="B84" s="55" t="str">
        <f ca="1">IFERROR(__xludf.DUMMYFUNCTION("""COMPUTED_VALUE"""),"00000001447")</f>
        <v>00000001447</v>
      </c>
      <c r="C84" s="55" t="str">
        <f ca="1">IFERROR(__xludf.DUMMYFUNCTION("""COMPUTED_VALUE"""),"T-AGRICULTOR FAMILIAR/00000001447")</f>
        <v>T-AGRICULTOR FAMILIAR/00000001447</v>
      </c>
      <c r="D84" s="56" t="str">
        <f ca="1">IFERROR(__xludf.DUMMYFUNCTION("""COMPUTED_VALUE"""),"https://docs.google.com/spreadsheets/d/1LHPn9cuSWwJ1lMdAWMyDO34e_viCcN1y7Ll4uyGnqqI/edit?usp=drivesdk")</f>
        <v>https://docs.google.com/spreadsheets/d/1LHPn9cuSWwJ1lMdAWMyDO34e_viCcN1y7Ll4uyGnqqI/edit?usp=drivesdk</v>
      </c>
      <c r="E84" s="55" t="str">
        <f ca="1">IFERROR(__xludf.DUMMYFUNCTION("""COMPUTED_VALUE"""),"17 - PARAIBATEC FIC")</f>
        <v>17 - PARAIBATEC FIC</v>
      </c>
      <c r="F84" s="55" t="str">
        <f ca="1">IFERROR(__xludf.DUMMYFUNCTION("""COMPUTED_VALUE"""),"PARAIBATEC FIC")</f>
        <v>PARAIBATEC FIC</v>
      </c>
      <c r="G84" s="55" t="str">
        <f ca="1">IFERROR(__xludf.DUMMYFUNCTION("""COMPUTED_VALUE"""),"01 - PARAIBATEC")</f>
        <v>01 - PARAIBATEC</v>
      </c>
      <c r="H84" s="55" t="str">
        <f ca="1">IFERROR(__xludf.DUMMYFUNCTION("""COMPUTED_VALUE"""),"PARAIBATEC")</f>
        <v>PARAIBATEC</v>
      </c>
      <c r="I84" s="55" t="str">
        <f ca="1">IFERROR(__xludf.DUMMYFUNCTION("""COMPUTED_VALUE"""),"536 - ESCOLA MUNICIPAL PROFESSOR JOSE DE ARAUJO VALENCA")</f>
        <v>536 - ESCOLA MUNICIPAL PROFESSOR JOSE DE ARAUJO VALENCA</v>
      </c>
      <c r="J84" s="55" t="str">
        <f ca="1">IFERROR(__xludf.DUMMYFUNCTION("""COMPUTED_VALUE""")," MONTEIRO")</f>
        <v xml:space="preserve"> MONTEIRO</v>
      </c>
      <c r="K84" s="55"/>
      <c r="L84" s="55"/>
      <c r="M84" s="55" t="str">
        <f ca="1">IFERROR(__xludf.DUMMYFUNCTION("""COMPUTED_VALUE"""),"ESCOLA MUNICIPAL PROFESSOR JOSE DE ARAUJO VALENCA")</f>
        <v>ESCOLA MUNICIPAL PROFESSOR JOSE DE ARAUJO VALENCA</v>
      </c>
      <c r="N84" s="55">
        <f ca="1">IFERROR(__xludf.DUMMYFUNCTION("""COMPUTED_VALUE"""),221289)</f>
        <v>221289</v>
      </c>
      <c r="O84" s="55" t="str">
        <f ca="1">IFERROR(__xludf.DUMMYFUNCTION("""COMPUTED_VALUE"""),"RECURSOS NATURAIS")</f>
        <v>RECURSOS NATURAIS</v>
      </c>
      <c r="P84" s="55" t="str">
        <f ca="1">IFERROR(__xludf.DUMMYFUNCTION("""COMPUTED_VALUE"""),"AGRICULTOR FAMILIAR")</f>
        <v>AGRICULTOR FAMILIAR</v>
      </c>
      <c r="Q84" s="55" t="str">
        <f ca="1">IFERROR(__xludf.DUMMYFUNCTION("""COMPUTED_VALUE"""),"FIC")</f>
        <v>FIC</v>
      </c>
      <c r="R84" s="55">
        <f ca="1">IFERROR(__xludf.DUMMYFUNCTION("""COMPUTED_VALUE"""),200)</f>
        <v>200</v>
      </c>
      <c r="S84" s="55" t="str">
        <f ca="1">IFERROR(__xludf.DUMMYFUNCTION("""COMPUTED_VALUE"""),"NOITE")</f>
        <v>NOITE</v>
      </c>
      <c r="T84" s="57">
        <f ca="1">IFERROR(__xludf.DUMMYFUNCTION("""COMPUTED_VALUE"""),45692)</f>
        <v>45692</v>
      </c>
      <c r="U84" s="57">
        <f ca="1">IFERROR(__xludf.DUMMYFUNCTION("""COMPUTED_VALUE"""),45817)</f>
        <v>45817</v>
      </c>
      <c r="V84" s="55"/>
      <c r="W84" s="55"/>
      <c r="X84" s="55"/>
      <c r="Y84" s="55" t="str">
        <f ca="1">IFERROR(__xludf.DUMMYFUNCTION("""COMPUTED_VALUE"""),"EM OFERTA")</f>
        <v>EM OFERTA</v>
      </c>
      <c r="Z84" s="55"/>
      <c r="AA84" s="55"/>
      <c r="AB84" s="55"/>
      <c r="AC84" s="55"/>
      <c r="AD84" s="55"/>
      <c r="AE84" s="55"/>
      <c r="AF84" s="55"/>
      <c r="AG84" s="55"/>
      <c r="AH84" s="55" t="str">
        <f ca="1">IFERROR(__xludf.DUMMYFUNCTION("""COMPUTED_VALUE"""),"-")</f>
        <v>-</v>
      </c>
      <c r="AI84" s="55" t="str">
        <f ca="1">IFERROR(__xludf.DUMMYFUNCTION("""COMPUTED_VALUE"""),"ARYSTTOTENES DA SILVA PRATA")</f>
        <v>ARYSTTOTENES DA SILVA PRATA</v>
      </c>
      <c r="AJ84" s="55" t="str">
        <f ca="1">IFERROR(__xludf.DUMMYFUNCTION("""COMPUTED_VALUE"""),"-")</f>
        <v>-</v>
      </c>
      <c r="AK84" s="55" t="str">
        <f ca="1">IFERROR(__xludf.DUMMYFUNCTION("""COMPUTED_VALUE"""),"-")</f>
        <v>-</v>
      </c>
      <c r="AL84" s="55" t="str">
        <f ca="1">IFERROR(__xludf.DUMMYFUNCTION("""COMPUTED_VALUE"""),"ROSIMEIRE JESSICA DA SILVA")</f>
        <v>ROSIMEIRE JESSICA DA SILVA</v>
      </c>
      <c r="AM84" s="55">
        <f ca="1">IFERROR(__xludf.DUMMYFUNCTION("""COMPUTED_VALUE"""),2025)</f>
        <v>2025</v>
      </c>
      <c r="AN84" s="55"/>
    </row>
    <row r="85" spans="1:40" ht="14" x14ac:dyDescent="0.35">
      <c r="A85" s="55" t="str">
        <f t="shared" ca="1" si="0"/>
        <v xml:space="preserve"> MONTEIRO/ESCOLA MUNICIPAL PROFESSOR JOSE DE ARAUJO VALENCA/OPERADOR DE CAIXA/NOITE</v>
      </c>
      <c r="B85" s="55" t="str">
        <f ca="1">IFERROR(__xludf.DUMMYFUNCTION("""COMPUTED_VALUE"""),"00000001448")</f>
        <v>00000001448</v>
      </c>
      <c r="C85" s="55" t="str">
        <f ca="1">IFERROR(__xludf.DUMMYFUNCTION("""COMPUTED_VALUE"""),"T-OPERADOR DE CAIXA/00000001448")</f>
        <v>T-OPERADOR DE CAIXA/00000001448</v>
      </c>
      <c r="D85" s="56" t="str">
        <f ca="1">IFERROR(__xludf.DUMMYFUNCTION("""COMPUTED_VALUE"""),"https://docs.google.com/spreadsheets/d/1C8x8Ia8THZq9X3GhY-8BHIJAIVfrcl7eeVVc3TvJlFw/edit?usp=drivesdk")</f>
        <v>https://docs.google.com/spreadsheets/d/1C8x8Ia8THZq9X3GhY-8BHIJAIVfrcl7eeVVc3TvJlFw/edit?usp=drivesdk</v>
      </c>
      <c r="E85" s="55" t="str">
        <f ca="1">IFERROR(__xludf.DUMMYFUNCTION("""COMPUTED_VALUE"""),"17 - PARAIBATEC FIC")</f>
        <v>17 - PARAIBATEC FIC</v>
      </c>
      <c r="F85" s="55" t="str">
        <f ca="1">IFERROR(__xludf.DUMMYFUNCTION("""COMPUTED_VALUE"""),"PARAIBATEC FIC")</f>
        <v>PARAIBATEC FIC</v>
      </c>
      <c r="G85" s="55" t="str">
        <f ca="1">IFERROR(__xludf.DUMMYFUNCTION("""COMPUTED_VALUE"""),"01 - PARAIBATEC")</f>
        <v>01 - PARAIBATEC</v>
      </c>
      <c r="H85" s="55" t="str">
        <f ca="1">IFERROR(__xludf.DUMMYFUNCTION("""COMPUTED_VALUE"""),"PARAIBATEC")</f>
        <v>PARAIBATEC</v>
      </c>
      <c r="I85" s="55" t="str">
        <f ca="1">IFERROR(__xludf.DUMMYFUNCTION("""COMPUTED_VALUE"""),"536 - ESCOLA MUNICIPAL PROFESSOR JOSE DE ARAUJO VALENCA")</f>
        <v>536 - ESCOLA MUNICIPAL PROFESSOR JOSE DE ARAUJO VALENCA</v>
      </c>
      <c r="J85" s="55" t="str">
        <f ca="1">IFERROR(__xludf.DUMMYFUNCTION("""COMPUTED_VALUE""")," MONTEIRO")</f>
        <v xml:space="preserve"> MONTEIRO</v>
      </c>
      <c r="K85" s="55"/>
      <c r="L85" s="55"/>
      <c r="M85" s="55" t="str">
        <f ca="1">IFERROR(__xludf.DUMMYFUNCTION("""COMPUTED_VALUE"""),"ESCOLA MUNICIPAL PROFESSOR JOSE DE ARAUJO VALENCA")</f>
        <v>ESCOLA MUNICIPAL PROFESSOR JOSE DE ARAUJO VALENCA</v>
      </c>
      <c r="N85" s="55">
        <f ca="1">IFERROR(__xludf.DUMMYFUNCTION("""COMPUTED_VALUE"""),221172)</f>
        <v>221172</v>
      </c>
      <c r="O85" s="55" t="str">
        <f ca="1">IFERROR(__xludf.DUMMYFUNCTION("""COMPUTED_VALUE"""),"GESTAO E NEGOCIOS")</f>
        <v>GESTAO E NEGOCIOS</v>
      </c>
      <c r="P85" s="55" t="str">
        <f ca="1">IFERROR(__xludf.DUMMYFUNCTION("""COMPUTED_VALUE"""),"OPERADOR DE CAIXA")</f>
        <v>OPERADOR DE CAIXA</v>
      </c>
      <c r="Q85" s="55" t="str">
        <f ca="1">IFERROR(__xludf.DUMMYFUNCTION("""COMPUTED_VALUE"""),"FIC")</f>
        <v>FIC</v>
      </c>
      <c r="R85" s="55">
        <f ca="1">IFERROR(__xludf.DUMMYFUNCTION("""COMPUTED_VALUE"""),160)</f>
        <v>160</v>
      </c>
      <c r="S85" s="55" t="str">
        <f ca="1">IFERROR(__xludf.DUMMYFUNCTION("""COMPUTED_VALUE"""),"NOITE")</f>
        <v>NOITE</v>
      </c>
      <c r="T85" s="57">
        <f ca="1">IFERROR(__xludf.DUMMYFUNCTION("""COMPUTED_VALUE"""),45692)</f>
        <v>45692</v>
      </c>
      <c r="U85" s="57">
        <f ca="1">IFERROR(__xludf.DUMMYFUNCTION("""COMPUTED_VALUE"""),45790)</f>
        <v>45790</v>
      </c>
      <c r="V85" s="55"/>
      <c r="W85" s="55"/>
      <c r="X85" s="55"/>
      <c r="Y85" s="55" t="str">
        <f ca="1">IFERROR(__xludf.DUMMYFUNCTION("""COMPUTED_VALUE"""),"EM OFERTA")</f>
        <v>EM OFERTA</v>
      </c>
      <c r="Z85" s="55"/>
      <c r="AA85" s="55"/>
      <c r="AB85" s="55"/>
      <c r="AC85" s="55"/>
      <c r="AD85" s="55"/>
      <c r="AE85" s="55"/>
      <c r="AF85" s="55"/>
      <c r="AG85" s="55"/>
      <c r="AH85" s="55" t="str">
        <f ca="1">IFERROR(__xludf.DUMMYFUNCTION("""COMPUTED_VALUE"""),"-")</f>
        <v>-</v>
      </c>
      <c r="AI85" s="55" t="str">
        <f ca="1">IFERROR(__xludf.DUMMYFUNCTION("""COMPUTED_VALUE"""),"ARYSTTOTENES DA SILVA PRATA")</f>
        <v>ARYSTTOTENES DA SILVA PRATA</v>
      </c>
      <c r="AJ85" s="55" t="str">
        <f ca="1">IFERROR(__xludf.DUMMYFUNCTION("""COMPUTED_VALUE"""),"-")</f>
        <v>-</v>
      </c>
      <c r="AK85" s="55" t="str">
        <f ca="1">IFERROR(__xludf.DUMMYFUNCTION("""COMPUTED_VALUE"""),"-")</f>
        <v>-</v>
      </c>
      <c r="AL85" s="55" t="str">
        <f ca="1">IFERROR(__xludf.DUMMYFUNCTION("""COMPUTED_VALUE"""),"WILTON CARLOS HOLANDA DO NASCIMENTO")</f>
        <v>WILTON CARLOS HOLANDA DO NASCIMENTO</v>
      </c>
      <c r="AM85" s="55">
        <f ca="1">IFERROR(__xludf.DUMMYFUNCTION("""COMPUTED_VALUE"""),2025)</f>
        <v>2025</v>
      </c>
      <c r="AN85" s="55"/>
    </row>
    <row r="86" spans="1:40" ht="14" x14ac:dyDescent="0.35">
      <c r="A86" s="55" t="str">
        <f t="shared" ca="1" si="0"/>
        <v xml:space="preserve"> NAZAREZINHO/COOPERATIVA DOS AGRICULTORES E AQUICULTORES DE NAZAREZINHO E REGIAO (COOPENAZA)/OPERADOR DE PROCESSAMENTO DE FRUTAS E HORTALIÇAS/MANHA</v>
      </c>
      <c r="B86" s="55" t="str">
        <f ca="1">IFERROR(__xludf.DUMMYFUNCTION("""COMPUTED_VALUE"""),"00000001449")</f>
        <v>00000001449</v>
      </c>
      <c r="C86" s="55" t="str">
        <f ca="1">IFERROR(__xludf.DUMMYFUNCTION("""COMPUTED_VALUE"""),"T-OPERADOR DE PROCESSAMENTO DE FRUTAS E HORTALIÇAS/00000001449")</f>
        <v>T-OPERADOR DE PROCESSAMENTO DE FRUTAS E HORTALIÇAS/00000001449</v>
      </c>
      <c r="D86" s="56" t="str">
        <f ca="1">IFERROR(__xludf.DUMMYFUNCTION("""COMPUTED_VALUE"""),"https://docs.google.com/spreadsheets/d/1NGA2iZ7UA1JAWMoRb89xvK7FNUk0r1YHLsXdbJf47eU/edit?usp=drivesdk")</f>
        <v>https://docs.google.com/spreadsheets/d/1NGA2iZ7UA1JAWMoRb89xvK7FNUk0r1YHLsXdbJf47eU/edit?usp=drivesdk</v>
      </c>
      <c r="E86" s="55" t="str">
        <f ca="1">IFERROR(__xludf.DUMMYFUNCTION("""COMPUTED_VALUE"""),"17 - PARAIBATEC FIC")</f>
        <v>17 - PARAIBATEC FIC</v>
      </c>
      <c r="F86" s="55" t="str">
        <f ca="1">IFERROR(__xludf.DUMMYFUNCTION("""COMPUTED_VALUE"""),"PARAIBATEC FIC")</f>
        <v>PARAIBATEC FIC</v>
      </c>
      <c r="G86" s="55" t="str">
        <f ca="1">IFERROR(__xludf.DUMMYFUNCTION("""COMPUTED_VALUE"""),"01 - PARAIBATEC")</f>
        <v>01 - PARAIBATEC</v>
      </c>
      <c r="H86" s="55" t="str">
        <f ca="1">IFERROR(__xludf.DUMMYFUNCTION("""COMPUTED_VALUE"""),"PARAIBATEC")</f>
        <v>PARAIBATEC</v>
      </c>
      <c r="I86" s="55" t="str">
        <f ca="1">IFERROR(__xludf.DUMMYFUNCTION("""COMPUTED_VALUE"""),"537 - COOPERATIVA DOS AGRICULTORES E AQUICULTORES DE NAZAREZINHO E REGIAO (COOPENAZA)")</f>
        <v>537 - COOPERATIVA DOS AGRICULTORES E AQUICULTORES DE NAZAREZINHO E REGIAO (COOPENAZA)</v>
      </c>
      <c r="J86" s="55" t="str">
        <f ca="1">IFERROR(__xludf.DUMMYFUNCTION("""COMPUTED_VALUE""")," NAZAREZINHO")</f>
        <v xml:space="preserve"> NAZAREZINHO</v>
      </c>
      <c r="K86" s="55"/>
      <c r="L86" s="55"/>
      <c r="M86" s="55" t="str">
        <f ca="1">IFERROR(__xludf.DUMMYFUNCTION("""COMPUTED_VALUE"""),"COOPERATIVA DOS AGRICULTORES E AQUICULTORES DE NAZAREZINHO E REGIAO (COOPENAZA)")</f>
        <v>COOPERATIVA DOS AGRICULTORES E AQUICULTORES DE NAZAREZINHO E REGIAO (COOPENAZA)</v>
      </c>
      <c r="N86" s="55">
        <f ca="1">IFERROR(__xludf.DUMMYFUNCTION("""COMPUTED_VALUE"""),264085)</f>
        <v>264085</v>
      </c>
      <c r="O86" s="55" t="str">
        <f ca="1">IFERROR(__xludf.DUMMYFUNCTION("""COMPUTED_VALUE"""),"PRODUÇAO ALIMENTICIA")</f>
        <v>PRODUÇAO ALIMENTICIA</v>
      </c>
      <c r="P86" s="55" t="str">
        <f ca="1">IFERROR(__xludf.DUMMYFUNCTION("""COMPUTED_VALUE"""),"OPERADOR DE PROCESSAMENTO DE FRUTAS E HORTALIÇAS")</f>
        <v>OPERADOR DE PROCESSAMENTO DE FRUTAS E HORTALIÇAS</v>
      </c>
      <c r="Q86" s="55" t="str">
        <f ca="1">IFERROR(__xludf.DUMMYFUNCTION("""COMPUTED_VALUE"""),"FIC")</f>
        <v>FIC</v>
      </c>
      <c r="R86" s="55">
        <f ca="1">IFERROR(__xludf.DUMMYFUNCTION("""COMPUTED_VALUE"""),270)</f>
        <v>270</v>
      </c>
      <c r="S86" s="55" t="str">
        <f ca="1">IFERROR(__xludf.DUMMYFUNCTION("""COMPUTED_VALUE"""),"MANHA")</f>
        <v>MANHA</v>
      </c>
      <c r="T86" s="57">
        <f ca="1">IFERROR(__xludf.DUMMYFUNCTION("""COMPUTED_VALUE"""),45692)</f>
        <v>45692</v>
      </c>
      <c r="U86" s="57">
        <f ca="1">IFERROR(__xludf.DUMMYFUNCTION("""COMPUTED_VALUE"""),45887)</f>
        <v>45887</v>
      </c>
      <c r="V86" s="55"/>
      <c r="W86" s="55"/>
      <c r="X86" s="55"/>
      <c r="Y86" s="55" t="str">
        <f ca="1">IFERROR(__xludf.DUMMYFUNCTION("""COMPUTED_VALUE"""),"EM OFERTA")</f>
        <v>EM OFERTA</v>
      </c>
      <c r="Z86" s="55"/>
      <c r="AA86" s="55"/>
      <c r="AB86" s="55"/>
      <c r="AC86" s="55"/>
      <c r="AD86" s="55"/>
      <c r="AE86" s="55"/>
      <c r="AF86" s="55"/>
      <c r="AG86" s="55"/>
      <c r="AH86" s="55" t="str">
        <f ca="1">IFERROR(__xludf.DUMMYFUNCTION("""COMPUTED_VALUE"""),"-")</f>
        <v>-</v>
      </c>
      <c r="AI86" s="55" t="str">
        <f ca="1">IFERROR(__xludf.DUMMYFUNCTION("""COMPUTED_VALUE"""),"RAYLESSA VIEIRA MACIEL")</f>
        <v>RAYLESSA VIEIRA MACIEL</v>
      </c>
      <c r="AJ86" s="55" t="str">
        <f ca="1">IFERROR(__xludf.DUMMYFUNCTION("""COMPUTED_VALUE"""),"-")</f>
        <v>-</v>
      </c>
      <c r="AK86" s="55" t="str">
        <f ca="1">IFERROR(__xludf.DUMMYFUNCTION("""COMPUTED_VALUE"""),"-")</f>
        <v>-</v>
      </c>
      <c r="AL86" s="55" t="str">
        <f ca="1">IFERROR(__xludf.DUMMYFUNCTION("""COMPUTED_VALUE"""),"GISELE MARQUES ALBUQUERQUE")</f>
        <v>GISELE MARQUES ALBUQUERQUE</v>
      </c>
      <c r="AM86" s="55">
        <f ca="1">IFERROR(__xludf.DUMMYFUNCTION("""COMPUTED_VALUE"""),2025)</f>
        <v>2025</v>
      </c>
      <c r="AN86" s="55"/>
    </row>
    <row r="87" spans="1:40" ht="14" x14ac:dyDescent="0.35">
      <c r="A87" s="55" t="str">
        <f t="shared" ca="1" si="0"/>
        <v xml:space="preserve"> NOVA OLINDA/EMEF GENESIO PINTO RAMALHO/ASSISTENTE ADMINISTRATIVO/NOITE</v>
      </c>
      <c r="B87" s="55" t="str">
        <f ca="1">IFERROR(__xludf.DUMMYFUNCTION("""COMPUTED_VALUE"""),"00000001450")</f>
        <v>00000001450</v>
      </c>
      <c r="C87" s="55" t="str">
        <f ca="1">IFERROR(__xludf.DUMMYFUNCTION("""COMPUTED_VALUE"""),"T-ASSISTENTE ADMINISTRATIVO/00000001450")</f>
        <v>T-ASSISTENTE ADMINISTRATIVO/00000001450</v>
      </c>
      <c r="D87" s="56" t="str">
        <f ca="1">IFERROR(__xludf.DUMMYFUNCTION("""COMPUTED_VALUE"""),"https://docs.google.com/spreadsheets/d/1guqxnJoJl4C4sFiHvQibjhSpLSg0mEOJSo5oCHbQJ6s/edit?usp=drivesdk")</f>
        <v>https://docs.google.com/spreadsheets/d/1guqxnJoJl4C4sFiHvQibjhSpLSg0mEOJSo5oCHbQJ6s/edit?usp=drivesdk</v>
      </c>
      <c r="E87" s="55" t="str">
        <f ca="1">IFERROR(__xludf.DUMMYFUNCTION("""COMPUTED_VALUE"""),"17 - PARAIBATEC FIC")</f>
        <v>17 - PARAIBATEC FIC</v>
      </c>
      <c r="F87" s="55" t="str">
        <f ca="1">IFERROR(__xludf.DUMMYFUNCTION("""COMPUTED_VALUE"""),"PARAIBATEC FIC")</f>
        <v>PARAIBATEC FIC</v>
      </c>
      <c r="G87" s="55" t="str">
        <f ca="1">IFERROR(__xludf.DUMMYFUNCTION("""COMPUTED_VALUE"""),"01 - PARAIBATEC")</f>
        <v>01 - PARAIBATEC</v>
      </c>
      <c r="H87" s="55" t="str">
        <f ca="1">IFERROR(__xludf.DUMMYFUNCTION("""COMPUTED_VALUE"""),"PARAIBATEC")</f>
        <v>PARAIBATEC</v>
      </c>
      <c r="I87" s="55" t="str">
        <f ca="1">IFERROR(__xludf.DUMMYFUNCTION("""COMPUTED_VALUE"""),"538 - EMEF GENESIO PINTO RAMALHO")</f>
        <v>538 - EMEF GENESIO PINTO RAMALHO</v>
      </c>
      <c r="J87" s="55" t="str">
        <f ca="1">IFERROR(__xludf.DUMMYFUNCTION("""COMPUTED_VALUE""")," NOVA OLINDA")</f>
        <v xml:space="preserve"> NOVA OLINDA</v>
      </c>
      <c r="K87" s="55"/>
      <c r="L87" s="55"/>
      <c r="M87" s="55" t="str">
        <f ca="1">IFERROR(__xludf.DUMMYFUNCTION("""COMPUTED_VALUE"""),"EMEF GENESIO PINTO RAMALHO")</f>
        <v>EMEF GENESIO PINTO RAMALHO</v>
      </c>
      <c r="N87" s="55">
        <f ca="1">IFERROR(__xludf.DUMMYFUNCTION("""COMPUTED_VALUE"""),221012)</f>
        <v>221012</v>
      </c>
      <c r="O87" s="55" t="str">
        <f ca="1">IFERROR(__xludf.DUMMYFUNCTION("""COMPUTED_VALUE"""),"GESTAO E NEGOCIOS")</f>
        <v>GESTAO E NEGOCIOS</v>
      </c>
      <c r="P87" s="55" t="str">
        <f ca="1">IFERROR(__xludf.DUMMYFUNCTION("""COMPUTED_VALUE"""),"ASSISTENTE ADMINISTRATIVO")</f>
        <v>ASSISTENTE ADMINISTRATIVO</v>
      </c>
      <c r="Q87" s="55" t="str">
        <f ca="1">IFERROR(__xludf.DUMMYFUNCTION("""COMPUTED_VALUE"""),"FIC")</f>
        <v>FIC</v>
      </c>
      <c r="R87" s="55">
        <f ca="1">IFERROR(__xludf.DUMMYFUNCTION("""COMPUTED_VALUE"""),160)</f>
        <v>160</v>
      </c>
      <c r="S87" s="55" t="str">
        <f ca="1">IFERROR(__xludf.DUMMYFUNCTION("""COMPUTED_VALUE"""),"NOITE")</f>
        <v>NOITE</v>
      </c>
      <c r="T87" s="57">
        <f ca="1">IFERROR(__xludf.DUMMYFUNCTION("""COMPUTED_VALUE"""),45691)</f>
        <v>45691</v>
      </c>
      <c r="U87" s="57">
        <f ca="1">IFERROR(__xludf.DUMMYFUNCTION("""COMPUTED_VALUE"""),45770)</f>
        <v>45770</v>
      </c>
      <c r="V87" s="55"/>
      <c r="W87" s="55"/>
      <c r="X87" s="55"/>
      <c r="Y87" s="55" t="str">
        <f ca="1">IFERROR(__xludf.DUMMYFUNCTION("""COMPUTED_VALUE"""),"EM OFERTA")</f>
        <v>EM OFERTA</v>
      </c>
      <c r="Z87" s="55"/>
      <c r="AA87" s="55"/>
      <c r="AB87" s="55"/>
      <c r="AC87" s="55"/>
      <c r="AD87" s="55"/>
      <c r="AE87" s="55"/>
      <c r="AF87" s="55"/>
      <c r="AG87" s="55"/>
      <c r="AH87" s="55" t="str">
        <f ca="1">IFERROR(__xludf.DUMMYFUNCTION("""COMPUTED_VALUE"""),"-")</f>
        <v>-</v>
      </c>
      <c r="AI87" s="55" t="str">
        <f ca="1">IFERROR(__xludf.DUMMYFUNCTION("""COMPUTED_VALUE"""),"ILDERLANDIO GOMES DE CARVALHO")</f>
        <v>ILDERLANDIO GOMES DE CARVALHO</v>
      </c>
      <c r="AJ87" s="55" t="str">
        <f ca="1">IFERROR(__xludf.DUMMYFUNCTION("""COMPUTED_VALUE"""),"-")</f>
        <v>-</v>
      </c>
      <c r="AK87" s="55" t="str">
        <f ca="1">IFERROR(__xludf.DUMMYFUNCTION("""COMPUTED_VALUE"""),"-")</f>
        <v>-</v>
      </c>
      <c r="AL87" s="55" t="str">
        <f ca="1">IFERROR(__xludf.DUMMYFUNCTION("""COMPUTED_VALUE"""),"KELIANE SABINO DE SOUZA")</f>
        <v>KELIANE SABINO DE SOUZA</v>
      </c>
      <c r="AM87" s="55">
        <f ca="1">IFERROR(__xludf.DUMMYFUNCTION("""COMPUTED_VALUE"""),2025)</f>
        <v>2025</v>
      </c>
      <c r="AN87" s="55"/>
    </row>
    <row r="88" spans="1:40" ht="14" x14ac:dyDescent="0.35">
      <c r="A88" s="55" t="str">
        <f t="shared" ca="1" si="0"/>
        <v xml:space="preserve"> NOVA OLINDA/EMEF GENESIO PINTO RAMALHO/CUIDADOR INFANTIL/NOITE</v>
      </c>
      <c r="B88" s="55" t="str">
        <f ca="1">IFERROR(__xludf.DUMMYFUNCTION("""COMPUTED_VALUE"""),"00000001451")</f>
        <v>00000001451</v>
      </c>
      <c r="C88" s="55" t="str">
        <f ca="1">IFERROR(__xludf.DUMMYFUNCTION("""COMPUTED_VALUE"""),"T-CUIDADOR INFANTIL/00000001451")</f>
        <v>T-CUIDADOR INFANTIL/00000001451</v>
      </c>
      <c r="D88" s="56" t="str">
        <f ca="1">IFERROR(__xludf.DUMMYFUNCTION("""COMPUTED_VALUE"""),"https://docs.google.com/spreadsheets/d/1UcDbrgtZZGxQ9QiB74gFBDEKDTshDgLaMpfUkYPjnmI/edit?usp=drivesdk")</f>
        <v>https://docs.google.com/spreadsheets/d/1UcDbrgtZZGxQ9QiB74gFBDEKDTshDgLaMpfUkYPjnmI/edit?usp=drivesdk</v>
      </c>
      <c r="E88" s="55" t="str">
        <f ca="1">IFERROR(__xludf.DUMMYFUNCTION("""COMPUTED_VALUE"""),"17 - PARAIBATEC FIC")</f>
        <v>17 - PARAIBATEC FIC</v>
      </c>
      <c r="F88" s="55" t="str">
        <f ca="1">IFERROR(__xludf.DUMMYFUNCTION("""COMPUTED_VALUE"""),"PARAIBATEC FIC")</f>
        <v>PARAIBATEC FIC</v>
      </c>
      <c r="G88" s="55" t="str">
        <f ca="1">IFERROR(__xludf.DUMMYFUNCTION("""COMPUTED_VALUE"""),"01 - PARAIBATEC")</f>
        <v>01 - PARAIBATEC</v>
      </c>
      <c r="H88" s="55" t="str">
        <f ca="1">IFERROR(__xludf.DUMMYFUNCTION("""COMPUTED_VALUE"""),"PARAIBATEC")</f>
        <v>PARAIBATEC</v>
      </c>
      <c r="I88" s="55" t="str">
        <f ca="1">IFERROR(__xludf.DUMMYFUNCTION("""COMPUTED_VALUE"""),"538 - EMEF GENESIO PINTO RAMALHO")</f>
        <v>538 - EMEF GENESIO PINTO RAMALHO</v>
      </c>
      <c r="J88" s="55" t="str">
        <f ca="1">IFERROR(__xludf.DUMMYFUNCTION("""COMPUTED_VALUE""")," NOVA OLINDA")</f>
        <v xml:space="preserve"> NOVA OLINDA</v>
      </c>
      <c r="K88" s="55"/>
      <c r="L88" s="55"/>
      <c r="M88" s="55" t="str">
        <f ca="1">IFERROR(__xludf.DUMMYFUNCTION("""COMPUTED_VALUE"""),"EMEF GENESIO PINTO RAMALHO")</f>
        <v>EMEF GENESIO PINTO RAMALHO</v>
      </c>
      <c r="N88" s="55">
        <f ca="1">IFERROR(__xludf.DUMMYFUNCTION("""COMPUTED_VALUE"""),221538)</f>
        <v>221538</v>
      </c>
      <c r="O88" s="55" t="str">
        <f ca="1">IFERROR(__xludf.DUMMYFUNCTION("""COMPUTED_VALUE"""),"AMBIENTE E SAUDE")</f>
        <v>AMBIENTE E SAUDE</v>
      </c>
      <c r="P88" s="55" t="str">
        <f ca="1">IFERROR(__xludf.DUMMYFUNCTION("""COMPUTED_VALUE"""),"CUIDADOR INFANTIL")</f>
        <v>CUIDADOR INFANTIL</v>
      </c>
      <c r="Q88" s="55" t="str">
        <f ca="1">IFERROR(__xludf.DUMMYFUNCTION("""COMPUTED_VALUE"""),"FIC")</f>
        <v>FIC</v>
      </c>
      <c r="R88" s="55">
        <f ca="1">IFERROR(__xludf.DUMMYFUNCTION("""COMPUTED_VALUE"""),160)</f>
        <v>160</v>
      </c>
      <c r="S88" s="55" t="str">
        <f ca="1">IFERROR(__xludf.DUMMYFUNCTION("""COMPUTED_VALUE"""),"NOITE")</f>
        <v>NOITE</v>
      </c>
      <c r="T88" s="57">
        <f ca="1">IFERROR(__xludf.DUMMYFUNCTION("""COMPUTED_VALUE"""),45691)</f>
        <v>45691</v>
      </c>
      <c r="U88" s="57">
        <f ca="1">IFERROR(__xludf.DUMMYFUNCTION("""COMPUTED_VALUE"""),45770)</f>
        <v>45770</v>
      </c>
      <c r="V88" s="55"/>
      <c r="W88" s="55"/>
      <c r="X88" s="55"/>
      <c r="Y88" s="55" t="str">
        <f ca="1">IFERROR(__xludf.DUMMYFUNCTION("""COMPUTED_VALUE"""),"EM OFERTA")</f>
        <v>EM OFERTA</v>
      </c>
      <c r="Z88" s="55"/>
      <c r="AA88" s="55"/>
      <c r="AB88" s="55"/>
      <c r="AC88" s="55"/>
      <c r="AD88" s="55"/>
      <c r="AE88" s="55"/>
      <c r="AF88" s="55"/>
      <c r="AG88" s="55"/>
      <c r="AH88" s="55" t="str">
        <f ca="1">IFERROR(__xludf.DUMMYFUNCTION("""COMPUTED_VALUE"""),"-")</f>
        <v>-</v>
      </c>
      <c r="AI88" s="55" t="str">
        <f ca="1">IFERROR(__xludf.DUMMYFUNCTION("""COMPUTED_VALUE"""),"ILDERLANDIO GOMES DE CARVALHO")</f>
        <v>ILDERLANDIO GOMES DE CARVALHO</v>
      </c>
      <c r="AJ88" s="55" t="str">
        <f ca="1">IFERROR(__xludf.DUMMYFUNCTION("""COMPUTED_VALUE"""),"-")</f>
        <v>-</v>
      </c>
      <c r="AK88" s="55" t="str">
        <f ca="1">IFERROR(__xludf.DUMMYFUNCTION("""COMPUTED_VALUE"""),"-")</f>
        <v>-</v>
      </c>
      <c r="AL88" s="55" t="str">
        <f ca="1">IFERROR(__xludf.DUMMYFUNCTION("""COMPUTED_VALUE"""),"CARLOS CEZAR BARREIRO DA SILVA")</f>
        <v>CARLOS CEZAR BARREIRO DA SILVA</v>
      </c>
      <c r="AM88" s="55">
        <f ca="1">IFERROR(__xludf.DUMMYFUNCTION("""COMPUTED_VALUE"""),2025)</f>
        <v>2025</v>
      </c>
      <c r="AN88" s="55"/>
    </row>
    <row r="89" spans="1:40" ht="14" x14ac:dyDescent="0.35">
      <c r="A89" s="55" t="str">
        <f t="shared" ca="1" si="0"/>
        <v xml:space="preserve"> OLHO D´AGUA/ECIT ANTONIO AVELINO DE ALMEIDA/RECEPCIONISTA EM SERVICOS DE SAUDE/NOITE</v>
      </c>
      <c r="B89" s="55" t="str">
        <f ca="1">IFERROR(__xludf.DUMMYFUNCTION("""COMPUTED_VALUE"""),"00000001452")</f>
        <v>00000001452</v>
      </c>
      <c r="C89" s="55" t="str">
        <f ca="1">IFERROR(__xludf.DUMMYFUNCTION("""COMPUTED_VALUE"""),"T-RECEPCIONISTA EM SERVICOS DE SAUDE/00000001452")</f>
        <v>T-RECEPCIONISTA EM SERVICOS DE SAUDE/00000001452</v>
      </c>
      <c r="D89" s="56" t="str">
        <f ca="1">IFERROR(__xludf.DUMMYFUNCTION("""COMPUTED_VALUE"""),"https://docs.google.com/spreadsheets/d/1G2hhM4aVMOaE2XVFpv3T-PAIsXN_BmnmUUyfRjPeOE4/edit?usp=drivesdk")</f>
        <v>https://docs.google.com/spreadsheets/d/1G2hhM4aVMOaE2XVFpv3T-PAIsXN_BmnmUUyfRjPeOE4/edit?usp=drivesdk</v>
      </c>
      <c r="E89" s="55" t="str">
        <f ca="1">IFERROR(__xludf.DUMMYFUNCTION("""COMPUTED_VALUE"""),"17 - PARAIBATEC FIC")</f>
        <v>17 - PARAIBATEC FIC</v>
      </c>
      <c r="F89" s="55" t="str">
        <f ca="1">IFERROR(__xludf.DUMMYFUNCTION("""COMPUTED_VALUE"""),"PARAIBATEC FIC")</f>
        <v>PARAIBATEC FIC</v>
      </c>
      <c r="G89" s="55" t="str">
        <f ca="1">IFERROR(__xludf.DUMMYFUNCTION("""COMPUTED_VALUE"""),"01 - PARAIBATEC")</f>
        <v>01 - PARAIBATEC</v>
      </c>
      <c r="H89" s="55" t="str">
        <f ca="1">IFERROR(__xludf.DUMMYFUNCTION("""COMPUTED_VALUE"""),"PARAIBATEC")</f>
        <v>PARAIBATEC</v>
      </c>
      <c r="I89" s="55" t="str">
        <f ca="1">IFERROR(__xludf.DUMMYFUNCTION("""COMPUTED_VALUE"""),"477 - ECIT ANTONIO AVELINO DE ALMEIDA")</f>
        <v>477 - ECIT ANTONIO AVELINO DE ALMEIDA</v>
      </c>
      <c r="J89" s="55" t="str">
        <f ca="1">IFERROR(__xludf.DUMMYFUNCTION("""COMPUTED_VALUE""")," OLHO D´AGUA")</f>
        <v xml:space="preserve"> OLHO D´AGUA</v>
      </c>
      <c r="K89" s="55"/>
      <c r="L89" s="55"/>
      <c r="M89" s="55" t="str">
        <f ca="1">IFERROR(__xludf.DUMMYFUNCTION("""COMPUTED_VALUE"""),"ECIT ANTONIO AVELINO DE ALMEIDA")</f>
        <v>ECIT ANTONIO AVELINO DE ALMEIDA</v>
      </c>
      <c r="N89" s="55">
        <f ca="1">IFERROR(__xludf.DUMMYFUNCTION("""COMPUTED_VALUE"""),221536)</f>
        <v>221536</v>
      </c>
      <c r="O89" s="55" t="str">
        <f ca="1">IFERROR(__xludf.DUMMYFUNCTION("""COMPUTED_VALUE"""),"AMBIENTE E SAUDE")</f>
        <v>AMBIENTE E SAUDE</v>
      </c>
      <c r="P89" s="55" t="str">
        <f ca="1">IFERROR(__xludf.DUMMYFUNCTION("""COMPUTED_VALUE"""),"RECEPCIONISTA EM SERVICOS DE SAUDE")</f>
        <v>RECEPCIONISTA EM SERVICOS DE SAUDE</v>
      </c>
      <c r="Q89" s="55" t="str">
        <f ca="1">IFERROR(__xludf.DUMMYFUNCTION("""COMPUTED_VALUE"""),"FIC")</f>
        <v>FIC</v>
      </c>
      <c r="R89" s="55">
        <f ca="1">IFERROR(__xludf.DUMMYFUNCTION("""COMPUTED_VALUE"""),240)</f>
        <v>240</v>
      </c>
      <c r="S89" s="55" t="str">
        <f ca="1">IFERROR(__xludf.DUMMYFUNCTION("""COMPUTED_VALUE"""),"NOITE")</f>
        <v>NOITE</v>
      </c>
      <c r="T89" s="57">
        <f ca="1">IFERROR(__xludf.DUMMYFUNCTION("""COMPUTED_VALUE"""),45691)</f>
        <v>45691</v>
      </c>
      <c r="U89" s="57">
        <f ca="1">IFERROR(__xludf.DUMMYFUNCTION("""COMPUTED_VALUE"""),45882)</f>
        <v>45882</v>
      </c>
      <c r="V89" s="55"/>
      <c r="W89" s="55"/>
      <c r="X89" s="55"/>
      <c r="Y89" s="55" t="str">
        <f ca="1">IFERROR(__xludf.DUMMYFUNCTION("""COMPUTED_VALUE"""),"EM OFERTA")</f>
        <v>EM OFERTA</v>
      </c>
      <c r="Z89" s="55"/>
      <c r="AA89" s="55"/>
      <c r="AB89" s="55"/>
      <c r="AC89" s="55"/>
      <c r="AD89" s="55"/>
      <c r="AE89" s="55"/>
      <c r="AF89" s="55"/>
      <c r="AG89" s="55"/>
      <c r="AH89" s="55" t="str">
        <f ca="1">IFERROR(__xludf.DUMMYFUNCTION("""COMPUTED_VALUE"""),"-")</f>
        <v>-</v>
      </c>
      <c r="AI89" s="55" t="str">
        <f ca="1">IFERROR(__xludf.DUMMYFUNCTION("""COMPUTED_VALUE"""),"MARIA DA CONCEIÇAO RUFINO ARAUJO CARVALHO")</f>
        <v>MARIA DA CONCEIÇAO RUFINO ARAUJO CARVALHO</v>
      </c>
      <c r="AJ89" s="55" t="str">
        <f ca="1">IFERROR(__xludf.DUMMYFUNCTION("""COMPUTED_VALUE"""),"-")</f>
        <v>-</v>
      </c>
      <c r="AK89" s="55" t="str">
        <f ca="1">IFERROR(__xludf.DUMMYFUNCTION("""COMPUTED_VALUE"""),"-")</f>
        <v>-</v>
      </c>
      <c r="AL89" s="55" t="str">
        <f ca="1">IFERROR(__xludf.DUMMYFUNCTION("""COMPUTED_VALUE"""),"ANA LIGIA BATISTA DE SOUSA")</f>
        <v>ANA LIGIA BATISTA DE SOUSA</v>
      </c>
      <c r="AM89" s="55">
        <f ca="1">IFERROR(__xludf.DUMMYFUNCTION("""COMPUTED_VALUE"""),2025)</f>
        <v>2025</v>
      </c>
      <c r="AN89" s="55"/>
    </row>
    <row r="90" spans="1:40" ht="14" x14ac:dyDescent="0.35">
      <c r="A90" s="55" t="str">
        <f t="shared" ca="1" si="0"/>
        <v xml:space="preserve"> OLHO D´AGUA/EEEF CONEGO MANOEL OTAVIANO/AUXILIAR PEDAGOGICO/NOITE</v>
      </c>
      <c r="B90" s="55" t="str">
        <f ca="1">IFERROR(__xludf.DUMMYFUNCTION("""COMPUTED_VALUE"""),"00000001453")</f>
        <v>00000001453</v>
      </c>
      <c r="C90" s="55" t="str">
        <f ca="1">IFERROR(__xludf.DUMMYFUNCTION("""COMPUTED_VALUE"""),"T-AUXILIAR PEDAGOGICO/00000001453")</f>
        <v>T-AUXILIAR PEDAGOGICO/00000001453</v>
      </c>
      <c r="D90" s="56" t="str">
        <f ca="1">IFERROR(__xludf.DUMMYFUNCTION("""COMPUTED_VALUE"""),"https://docs.google.com/spreadsheets/d/1e0ixqPXayjltUrwYBU0bFnCyFy38Dqi6CxYgbix2a58/edit?usp=drivesdk")</f>
        <v>https://docs.google.com/spreadsheets/d/1e0ixqPXayjltUrwYBU0bFnCyFy38Dqi6CxYgbix2a58/edit?usp=drivesdk</v>
      </c>
      <c r="E90" s="55" t="str">
        <f ca="1">IFERROR(__xludf.DUMMYFUNCTION("""COMPUTED_VALUE"""),"17 - PARAIBATEC FIC")</f>
        <v>17 - PARAIBATEC FIC</v>
      </c>
      <c r="F90" s="55" t="str">
        <f ca="1">IFERROR(__xludf.DUMMYFUNCTION("""COMPUTED_VALUE"""),"PARAIBATEC FIC")</f>
        <v>PARAIBATEC FIC</v>
      </c>
      <c r="G90" s="55" t="str">
        <f ca="1">IFERROR(__xludf.DUMMYFUNCTION("""COMPUTED_VALUE"""),"01 - PARAIBATEC")</f>
        <v>01 - PARAIBATEC</v>
      </c>
      <c r="H90" s="55" t="str">
        <f ca="1">IFERROR(__xludf.DUMMYFUNCTION("""COMPUTED_VALUE"""),"PARAIBATEC")</f>
        <v>PARAIBATEC</v>
      </c>
      <c r="I90" s="55" t="str">
        <f ca="1">IFERROR(__xludf.DUMMYFUNCTION("""COMPUTED_VALUE"""),"539 - EEEF CONEGO MANOEL OTAVIANO")</f>
        <v>539 - EEEF CONEGO MANOEL OTAVIANO</v>
      </c>
      <c r="J90" s="55" t="str">
        <f ca="1">IFERROR(__xludf.DUMMYFUNCTION("""COMPUTED_VALUE""")," OLHO D´AGUA")</f>
        <v xml:space="preserve"> OLHO D´AGUA</v>
      </c>
      <c r="K90" s="55"/>
      <c r="L90" s="55"/>
      <c r="M90" s="55" t="str">
        <f ca="1">IFERROR(__xludf.DUMMYFUNCTION("""COMPUTED_VALUE"""),"EEEF CONEGO MANOEL OTAVIANO")</f>
        <v>EEEF CONEGO MANOEL OTAVIANO</v>
      </c>
      <c r="N90" s="55">
        <f ca="1">IFERROR(__xludf.DUMMYFUNCTION("""COMPUTED_VALUE"""),273098)</f>
        <v>273098</v>
      </c>
      <c r="O90" s="55" t="str">
        <f ca="1">IFERROR(__xludf.DUMMYFUNCTION("""COMPUTED_VALUE"""),"DESENVOLVIMENTO EDUCACIONAL E SOCIAL")</f>
        <v>DESENVOLVIMENTO EDUCACIONAL E SOCIAL</v>
      </c>
      <c r="P90" s="55" t="str">
        <f ca="1">IFERROR(__xludf.DUMMYFUNCTION("""COMPUTED_VALUE"""),"AUXILIAR PEDAGOGICO")</f>
        <v>AUXILIAR PEDAGOGICO</v>
      </c>
      <c r="Q90" s="55" t="str">
        <f ca="1">IFERROR(__xludf.DUMMYFUNCTION("""COMPUTED_VALUE"""),"FIC")</f>
        <v>FIC</v>
      </c>
      <c r="R90" s="55">
        <f ca="1">IFERROR(__xludf.DUMMYFUNCTION("""COMPUTED_VALUE"""),200)</f>
        <v>200</v>
      </c>
      <c r="S90" s="55" t="str">
        <f ca="1">IFERROR(__xludf.DUMMYFUNCTION("""COMPUTED_VALUE"""),"NOITE")</f>
        <v>NOITE</v>
      </c>
      <c r="T90" s="57">
        <f ca="1">IFERROR(__xludf.DUMMYFUNCTION("""COMPUTED_VALUE"""),45691)</f>
        <v>45691</v>
      </c>
      <c r="U90" s="57">
        <f ca="1">IFERROR(__xludf.DUMMYFUNCTION("""COMPUTED_VALUE"""),45812)</f>
        <v>45812</v>
      </c>
      <c r="V90" s="55"/>
      <c r="W90" s="55"/>
      <c r="X90" s="55"/>
      <c r="Y90" s="55" t="str">
        <f ca="1">IFERROR(__xludf.DUMMYFUNCTION("""COMPUTED_VALUE"""),"EM OFERTA")</f>
        <v>EM OFERTA</v>
      </c>
      <c r="Z90" s="55"/>
      <c r="AA90" s="55"/>
      <c r="AB90" s="55"/>
      <c r="AC90" s="55"/>
      <c r="AD90" s="55"/>
      <c r="AE90" s="55"/>
      <c r="AF90" s="55"/>
      <c r="AG90" s="55"/>
      <c r="AH90" s="55" t="str">
        <f ca="1">IFERROR(__xludf.DUMMYFUNCTION("""COMPUTED_VALUE"""),"-")</f>
        <v>-</v>
      </c>
      <c r="AI90" s="55" t="str">
        <f ca="1">IFERROR(__xludf.DUMMYFUNCTION("""COMPUTED_VALUE"""),"MARIA DO SOCORRO BARBOZA DE CARVALHO")</f>
        <v>MARIA DO SOCORRO BARBOZA DE CARVALHO</v>
      </c>
      <c r="AJ90" s="55" t="str">
        <f ca="1">IFERROR(__xludf.DUMMYFUNCTION("""COMPUTED_VALUE"""),"-")</f>
        <v>-</v>
      </c>
      <c r="AK90" s="55" t="str">
        <f ca="1">IFERROR(__xludf.DUMMYFUNCTION("""COMPUTED_VALUE"""),"-")</f>
        <v>-</v>
      </c>
      <c r="AL90" s="55" t="str">
        <f ca="1">IFERROR(__xludf.DUMMYFUNCTION("""COMPUTED_VALUE"""),"GRACINILDA TIBURTINO DE CARVALHO BRASIL")</f>
        <v>GRACINILDA TIBURTINO DE CARVALHO BRASIL</v>
      </c>
      <c r="AM90" s="55">
        <f ca="1">IFERROR(__xludf.DUMMYFUNCTION("""COMPUTED_VALUE"""),2025)</f>
        <v>2025</v>
      </c>
      <c r="AN90" s="55"/>
    </row>
    <row r="91" spans="1:40" ht="14" x14ac:dyDescent="0.35">
      <c r="A91" s="55" t="str">
        <f t="shared" ca="1" si="0"/>
        <v xml:space="preserve"> OLHO D´AGUA/EEEF CONEGO MANOEL OTAVIANO/INSPETOR ESCOLAR/NOITE</v>
      </c>
      <c r="B91" s="55" t="str">
        <f ca="1">IFERROR(__xludf.DUMMYFUNCTION("""COMPUTED_VALUE"""),"00000001454")</f>
        <v>00000001454</v>
      </c>
      <c r="C91" s="55" t="str">
        <f ca="1">IFERROR(__xludf.DUMMYFUNCTION("""COMPUTED_VALUE"""),"T-INSPETOR ESCOLAR/00000001454")</f>
        <v>T-INSPETOR ESCOLAR/00000001454</v>
      </c>
      <c r="D91" s="56" t="str">
        <f ca="1">IFERROR(__xludf.DUMMYFUNCTION("""COMPUTED_VALUE"""),"https://docs.google.com/spreadsheets/d/1_8-beV9QV2eEOm6vGY_Fu5LTxqb9o1T_6zKhyPlaDIc/edit?usp=drivesdk")</f>
        <v>https://docs.google.com/spreadsheets/d/1_8-beV9QV2eEOm6vGY_Fu5LTxqb9o1T_6zKhyPlaDIc/edit?usp=drivesdk</v>
      </c>
      <c r="E91" s="55" t="str">
        <f ca="1">IFERROR(__xludf.DUMMYFUNCTION("""COMPUTED_VALUE"""),"17 - PARAIBATEC FIC")</f>
        <v>17 - PARAIBATEC FIC</v>
      </c>
      <c r="F91" s="55" t="str">
        <f ca="1">IFERROR(__xludf.DUMMYFUNCTION("""COMPUTED_VALUE"""),"PARAIBATEC FIC")</f>
        <v>PARAIBATEC FIC</v>
      </c>
      <c r="G91" s="55" t="str">
        <f ca="1">IFERROR(__xludf.DUMMYFUNCTION("""COMPUTED_VALUE"""),"01 - PARAIBATEC")</f>
        <v>01 - PARAIBATEC</v>
      </c>
      <c r="H91" s="55" t="str">
        <f ca="1">IFERROR(__xludf.DUMMYFUNCTION("""COMPUTED_VALUE"""),"PARAIBATEC")</f>
        <v>PARAIBATEC</v>
      </c>
      <c r="I91" s="55" t="str">
        <f ca="1">IFERROR(__xludf.DUMMYFUNCTION("""COMPUTED_VALUE"""),"539 - EEEF CONEGO MANOEL OTAVIANO")</f>
        <v>539 - EEEF CONEGO MANOEL OTAVIANO</v>
      </c>
      <c r="J91" s="55" t="str">
        <f ca="1">IFERROR(__xludf.DUMMYFUNCTION("""COMPUTED_VALUE""")," OLHO D´AGUA")</f>
        <v xml:space="preserve"> OLHO D´AGUA</v>
      </c>
      <c r="K91" s="55"/>
      <c r="L91" s="55"/>
      <c r="M91" s="55" t="str">
        <f ca="1">IFERROR(__xludf.DUMMYFUNCTION("""COMPUTED_VALUE"""),"EEEF CONEGO MANOEL OTAVIANO")</f>
        <v>EEEF CONEGO MANOEL OTAVIANO</v>
      </c>
      <c r="N91" s="55">
        <f ca="1">IFERROR(__xludf.DUMMYFUNCTION("""COMPUTED_VALUE"""),278101)</f>
        <v>278101</v>
      </c>
      <c r="O91" s="55" t="str">
        <f ca="1">IFERROR(__xludf.DUMMYFUNCTION("""COMPUTED_VALUE"""),"DESENVOLVIMENTO EDUCACIONAL E SOCIAL")</f>
        <v>DESENVOLVIMENTO EDUCACIONAL E SOCIAL</v>
      </c>
      <c r="P91" s="55" t="str">
        <f ca="1">IFERROR(__xludf.DUMMYFUNCTION("""COMPUTED_VALUE"""),"INSPETOR ESCOLAR")</f>
        <v>INSPETOR ESCOLAR</v>
      </c>
      <c r="Q91" s="55" t="str">
        <f ca="1">IFERROR(__xludf.DUMMYFUNCTION("""COMPUTED_VALUE"""),"FIC")</f>
        <v>FIC</v>
      </c>
      <c r="R91" s="55">
        <f ca="1">IFERROR(__xludf.DUMMYFUNCTION("""COMPUTED_VALUE"""),160)</f>
        <v>160</v>
      </c>
      <c r="S91" s="55" t="str">
        <f ca="1">IFERROR(__xludf.DUMMYFUNCTION("""COMPUTED_VALUE"""),"NOITE")</f>
        <v>NOITE</v>
      </c>
      <c r="T91" s="57">
        <f ca="1">IFERROR(__xludf.DUMMYFUNCTION("""COMPUTED_VALUE"""),45691)</f>
        <v>45691</v>
      </c>
      <c r="U91" s="57">
        <f ca="1">IFERROR(__xludf.DUMMYFUNCTION("""COMPUTED_VALUE"""),45770)</f>
        <v>45770</v>
      </c>
      <c r="V91" s="55"/>
      <c r="W91" s="55"/>
      <c r="X91" s="55"/>
      <c r="Y91" s="55" t="str">
        <f ca="1">IFERROR(__xludf.DUMMYFUNCTION("""COMPUTED_VALUE"""),"EM OFERTA")</f>
        <v>EM OFERTA</v>
      </c>
      <c r="Z91" s="55"/>
      <c r="AA91" s="55"/>
      <c r="AB91" s="55"/>
      <c r="AC91" s="55"/>
      <c r="AD91" s="55"/>
      <c r="AE91" s="55"/>
      <c r="AF91" s="55"/>
      <c r="AG91" s="55"/>
      <c r="AH91" s="55" t="str">
        <f ca="1">IFERROR(__xludf.DUMMYFUNCTION("""COMPUTED_VALUE"""),"-")</f>
        <v>-</v>
      </c>
      <c r="AI91" s="55" t="str">
        <f ca="1">IFERROR(__xludf.DUMMYFUNCTION("""COMPUTED_VALUE"""),"MARIA DO SOCORRO BARBOZA DE CARVALHO")</f>
        <v>MARIA DO SOCORRO BARBOZA DE CARVALHO</v>
      </c>
      <c r="AJ91" s="55" t="str">
        <f ca="1">IFERROR(__xludf.DUMMYFUNCTION("""COMPUTED_VALUE"""),"-")</f>
        <v>-</v>
      </c>
      <c r="AK91" s="55" t="str">
        <f ca="1">IFERROR(__xludf.DUMMYFUNCTION("""COMPUTED_VALUE"""),"-")</f>
        <v>-</v>
      </c>
      <c r="AL91" s="55" t="str">
        <f ca="1">IFERROR(__xludf.DUMMYFUNCTION("""COMPUTED_VALUE"""),"MARIA APARECIDA BATISTA DE CALDAS")</f>
        <v>MARIA APARECIDA BATISTA DE CALDAS</v>
      </c>
      <c r="AM91" s="55">
        <f ca="1">IFERROR(__xludf.DUMMYFUNCTION("""COMPUTED_VALUE"""),2025)</f>
        <v>2025</v>
      </c>
      <c r="AN91" s="55"/>
    </row>
    <row r="92" spans="1:40" ht="14" x14ac:dyDescent="0.35">
      <c r="A92" s="55" t="str">
        <f t="shared" ca="1" si="0"/>
        <v xml:space="preserve"> OLHO D´AGUA/ESCOLA MUNICIPAL JULIO MINERVINO/HORTICULTOR ORGÂNICO/NOITE</v>
      </c>
      <c r="B92" s="55" t="str">
        <f ca="1">IFERROR(__xludf.DUMMYFUNCTION("""COMPUTED_VALUE"""),"00000001455")</f>
        <v>00000001455</v>
      </c>
      <c r="C92" s="55" t="str">
        <f ca="1">IFERROR(__xludf.DUMMYFUNCTION("""COMPUTED_VALUE"""),"T-HORTICULTOR ORGÂNICO/00000001455")</f>
        <v>T-HORTICULTOR ORGÂNICO/00000001455</v>
      </c>
      <c r="D92" s="56" t="str">
        <f ca="1">IFERROR(__xludf.DUMMYFUNCTION("""COMPUTED_VALUE"""),"https://docs.google.com/spreadsheets/d/1UUTZmlVuFSXwI23yPi0430GRTTOOf5f_eaERjCe8_9s/edit?usp=drivesdk")</f>
        <v>https://docs.google.com/spreadsheets/d/1UUTZmlVuFSXwI23yPi0430GRTTOOf5f_eaERjCe8_9s/edit?usp=drivesdk</v>
      </c>
      <c r="E92" s="55" t="str">
        <f ca="1">IFERROR(__xludf.DUMMYFUNCTION("""COMPUTED_VALUE"""),"17 - PARAIBATEC FIC")</f>
        <v>17 - PARAIBATEC FIC</v>
      </c>
      <c r="F92" s="55" t="str">
        <f ca="1">IFERROR(__xludf.DUMMYFUNCTION("""COMPUTED_VALUE"""),"PARAIBATEC FIC")</f>
        <v>PARAIBATEC FIC</v>
      </c>
      <c r="G92" s="55" t="str">
        <f ca="1">IFERROR(__xludf.DUMMYFUNCTION("""COMPUTED_VALUE"""),"01 - PARAIBATEC")</f>
        <v>01 - PARAIBATEC</v>
      </c>
      <c r="H92" s="55" t="str">
        <f ca="1">IFERROR(__xludf.DUMMYFUNCTION("""COMPUTED_VALUE"""),"PARAIBATEC")</f>
        <v>PARAIBATEC</v>
      </c>
      <c r="I92" s="55" t="str">
        <f ca="1">IFERROR(__xludf.DUMMYFUNCTION("""COMPUTED_VALUE"""),"540 - ESCOLA MUNICIPAL JULIO MINERVINO")</f>
        <v>540 - ESCOLA MUNICIPAL JULIO MINERVINO</v>
      </c>
      <c r="J92" s="55" t="str">
        <f ca="1">IFERROR(__xludf.DUMMYFUNCTION("""COMPUTED_VALUE""")," OLHO D´AGUA")</f>
        <v xml:space="preserve"> OLHO D´AGUA</v>
      </c>
      <c r="K92" s="55"/>
      <c r="L92" s="55"/>
      <c r="M92" s="55" t="str">
        <f ca="1">IFERROR(__xludf.DUMMYFUNCTION("""COMPUTED_VALUE"""),"ESCOLA MUNICIPAL JULIO MINERVINO")</f>
        <v>ESCOLA MUNICIPAL JULIO MINERVINO</v>
      </c>
      <c r="N92" s="55">
        <f ca="1">IFERROR(__xludf.DUMMYFUNCTION("""COMPUTED_VALUE"""),221105)</f>
        <v>221105</v>
      </c>
      <c r="O92" s="55" t="str">
        <f ca="1">IFERROR(__xludf.DUMMYFUNCTION("""COMPUTED_VALUE"""),"RECURSOS NATURAIS")</f>
        <v>RECURSOS NATURAIS</v>
      </c>
      <c r="P92" s="55" t="str">
        <f ca="1">IFERROR(__xludf.DUMMYFUNCTION("""COMPUTED_VALUE"""),"HORTICULTOR ORGÂNICO")</f>
        <v>HORTICULTOR ORGÂNICO</v>
      </c>
      <c r="Q92" s="55" t="str">
        <f ca="1">IFERROR(__xludf.DUMMYFUNCTION("""COMPUTED_VALUE"""),"FIC")</f>
        <v>FIC</v>
      </c>
      <c r="R92" s="55">
        <f ca="1">IFERROR(__xludf.DUMMYFUNCTION("""COMPUTED_VALUE"""),160)</f>
        <v>160</v>
      </c>
      <c r="S92" s="55" t="str">
        <f ca="1">IFERROR(__xludf.DUMMYFUNCTION("""COMPUTED_VALUE"""),"NOITE")</f>
        <v>NOITE</v>
      </c>
      <c r="T92" s="57">
        <f ca="1">IFERROR(__xludf.DUMMYFUNCTION("""COMPUTED_VALUE"""),45693)</f>
        <v>45693</v>
      </c>
      <c r="U92" s="57">
        <f ca="1">IFERROR(__xludf.DUMMYFUNCTION("""COMPUTED_VALUE"""),45826)</f>
        <v>45826</v>
      </c>
      <c r="V92" s="55"/>
      <c r="W92" s="55"/>
      <c r="X92" s="55"/>
      <c r="Y92" s="55" t="str">
        <f ca="1">IFERROR(__xludf.DUMMYFUNCTION("""COMPUTED_VALUE"""),"EM OFERTA")</f>
        <v>EM OFERTA</v>
      </c>
      <c r="Z92" s="55"/>
      <c r="AA92" s="55"/>
      <c r="AB92" s="55"/>
      <c r="AC92" s="55"/>
      <c r="AD92" s="55"/>
      <c r="AE92" s="55"/>
      <c r="AF92" s="55"/>
      <c r="AG92" s="55"/>
      <c r="AH92" s="55" t="str">
        <f ca="1">IFERROR(__xludf.DUMMYFUNCTION("""COMPUTED_VALUE"""),"-")</f>
        <v>-</v>
      </c>
      <c r="AI92" s="55" t="str">
        <f ca="1">IFERROR(__xludf.DUMMYFUNCTION("""COMPUTED_VALUE"""),"ERIKA MICHELLE LEITE SOARES MEDEIROS")</f>
        <v>ERIKA MICHELLE LEITE SOARES MEDEIROS</v>
      </c>
      <c r="AJ92" s="55" t="str">
        <f ca="1">IFERROR(__xludf.DUMMYFUNCTION("""COMPUTED_VALUE"""),"-")</f>
        <v>-</v>
      </c>
      <c r="AK92" s="55" t="str">
        <f ca="1">IFERROR(__xludf.DUMMYFUNCTION("""COMPUTED_VALUE"""),"-")</f>
        <v>-</v>
      </c>
      <c r="AL92" s="55" t="str">
        <f ca="1">IFERROR(__xludf.DUMMYFUNCTION("""COMPUTED_VALUE"""),"FRANCISCO SALES FERNANDES")</f>
        <v>FRANCISCO SALES FERNANDES</v>
      </c>
      <c r="AM92" s="55">
        <f ca="1">IFERROR(__xludf.DUMMYFUNCTION("""COMPUTED_VALUE"""),2025)</f>
        <v>2025</v>
      </c>
      <c r="AN92" s="55"/>
    </row>
    <row r="93" spans="1:40" ht="14" x14ac:dyDescent="0.35">
      <c r="A93" s="55" t="str">
        <f t="shared" ca="1" si="0"/>
        <v xml:space="preserve"> PAULISTA/EECIT FRANCISCO DE SA CAVALCANTE/ASSISTENTE ADMINISTRATIVO/NOITE</v>
      </c>
      <c r="B93" s="55" t="str">
        <f ca="1">IFERROR(__xludf.DUMMYFUNCTION("""COMPUTED_VALUE"""),"00000001456")</f>
        <v>00000001456</v>
      </c>
      <c r="C93" s="55" t="str">
        <f ca="1">IFERROR(__xludf.DUMMYFUNCTION("""COMPUTED_VALUE"""),"T-ASSISTENTE ADMINISTRATIVO/00000001456")</f>
        <v>T-ASSISTENTE ADMINISTRATIVO/00000001456</v>
      </c>
      <c r="D93" s="56" t="str">
        <f ca="1">IFERROR(__xludf.DUMMYFUNCTION("""COMPUTED_VALUE"""),"https://docs.google.com/spreadsheets/d/15opuX87TZYf_18Kot8lh48NkRncl3JyYoUeVPVycEbw/edit?usp=drivesdk")</f>
        <v>https://docs.google.com/spreadsheets/d/15opuX87TZYf_18Kot8lh48NkRncl3JyYoUeVPVycEbw/edit?usp=drivesdk</v>
      </c>
      <c r="E93" s="55" t="str">
        <f ca="1">IFERROR(__xludf.DUMMYFUNCTION("""COMPUTED_VALUE"""),"17 - PARAIBATEC FIC")</f>
        <v>17 - PARAIBATEC FIC</v>
      </c>
      <c r="F93" s="55" t="str">
        <f ca="1">IFERROR(__xludf.DUMMYFUNCTION("""COMPUTED_VALUE"""),"PARAIBATEC FIC")</f>
        <v>PARAIBATEC FIC</v>
      </c>
      <c r="G93" s="55" t="str">
        <f ca="1">IFERROR(__xludf.DUMMYFUNCTION("""COMPUTED_VALUE"""),"01 - PARAIBATEC")</f>
        <v>01 - PARAIBATEC</v>
      </c>
      <c r="H93" s="55" t="str">
        <f ca="1">IFERROR(__xludf.DUMMYFUNCTION("""COMPUTED_VALUE"""),"PARAIBATEC")</f>
        <v>PARAIBATEC</v>
      </c>
      <c r="I93" s="55" t="str">
        <f ca="1">IFERROR(__xludf.DUMMYFUNCTION("""COMPUTED_VALUE"""),"541 - EECIT FRANCISCO DE SA CAVALCANTE")</f>
        <v>541 - EECIT FRANCISCO DE SA CAVALCANTE</v>
      </c>
      <c r="J93" s="55" t="str">
        <f ca="1">IFERROR(__xludf.DUMMYFUNCTION("""COMPUTED_VALUE""")," PAULISTA")</f>
        <v xml:space="preserve"> PAULISTA</v>
      </c>
      <c r="K93" s="55"/>
      <c r="L93" s="55"/>
      <c r="M93" s="55" t="str">
        <f ca="1">IFERROR(__xludf.DUMMYFUNCTION("""COMPUTED_VALUE"""),"EECIT FRANCISCO DE SA CAVALCANTE")</f>
        <v>EECIT FRANCISCO DE SA CAVALCANTE</v>
      </c>
      <c r="N93" s="55">
        <f ca="1">IFERROR(__xludf.DUMMYFUNCTION("""COMPUTED_VALUE"""),221012)</f>
        <v>221012</v>
      </c>
      <c r="O93" s="55" t="str">
        <f ca="1">IFERROR(__xludf.DUMMYFUNCTION("""COMPUTED_VALUE"""),"GESTAO E NEGOCIOS")</f>
        <v>GESTAO E NEGOCIOS</v>
      </c>
      <c r="P93" s="55" t="str">
        <f ca="1">IFERROR(__xludf.DUMMYFUNCTION("""COMPUTED_VALUE"""),"ASSISTENTE ADMINISTRATIVO")</f>
        <v>ASSISTENTE ADMINISTRATIVO</v>
      </c>
      <c r="Q93" s="55" t="str">
        <f ca="1">IFERROR(__xludf.DUMMYFUNCTION("""COMPUTED_VALUE"""),"FIC")</f>
        <v>FIC</v>
      </c>
      <c r="R93" s="55">
        <f ca="1">IFERROR(__xludf.DUMMYFUNCTION("""COMPUTED_VALUE"""),160)</f>
        <v>160</v>
      </c>
      <c r="S93" s="55" t="str">
        <f ca="1">IFERROR(__xludf.DUMMYFUNCTION("""COMPUTED_VALUE"""),"NOITE")</f>
        <v>NOITE</v>
      </c>
      <c r="T93" s="57">
        <f ca="1">IFERROR(__xludf.DUMMYFUNCTION("""COMPUTED_VALUE"""),45698)</f>
        <v>45698</v>
      </c>
      <c r="U93" s="57">
        <f ca="1">IFERROR(__xludf.DUMMYFUNCTION("""COMPUTED_VALUE"""),45831)</f>
        <v>45831</v>
      </c>
      <c r="V93" s="55"/>
      <c r="W93" s="55"/>
      <c r="X93" s="55"/>
      <c r="Y93" s="55" t="str">
        <f ca="1">IFERROR(__xludf.DUMMYFUNCTION("""COMPUTED_VALUE"""),"EM OFERTA")</f>
        <v>EM OFERTA</v>
      </c>
      <c r="Z93" s="55"/>
      <c r="AA93" s="55"/>
      <c r="AB93" s="55"/>
      <c r="AC93" s="55"/>
      <c r="AD93" s="55"/>
      <c r="AE93" s="55"/>
      <c r="AF93" s="55"/>
      <c r="AG93" s="55"/>
      <c r="AH93" s="55" t="str">
        <f ca="1">IFERROR(__xludf.DUMMYFUNCTION("""COMPUTED_VALUE"""),"-")</f>
        <v>-</v>
      </c>
      <c r="AI93" s="55" t="str">
        <f ca="1">IFERROR(__xludf.DUMMYFUNCTION("""COMPUTED_VALUE"""),"DALIANE DE OLIVEIRA LUCENA")</f>
        <v>DALIANE DE OLIVEIRA LUCENA</v>
      </c>
      <c r="AJ93" s="55" t="str">
        <f ca="1">IFERROR(__xludf.DUMMYFUNCTION("""COMPUTED_VALUE"""),"-")</f>
        <v>-</v>
      </c>
      <c r="AK93" s="55" t="str">
        <f ca="1">IFERROR(__xludf.DUMMYFUNCTION("""COMPUTED_VALUE"""),"-")</f>
        <v>-</v>
      </c>
      <c r="AL93" s="55" t="str">
        <f ca="1">IFERROR(__xludf.DUMMYFUNCTION("""COMPUTED_VALUE"""),"GILLIANNO ALMEIDA DA SILVA")</f>
        <v>GILLIANNO ALMEIDA DA SILVA</v>
      </c>
      <c r="AM93" s="55">
        <f ca="1">IFERROR(__xludf.DUMMYFUNCTION("""COMPUTED_VALUE"""),2025)</f>
        <v>2025</v>
      </c>
      <c r="AN93" s="55"/>
    </row>
    <row r="94" spans="1:40" ht="14" x14ac:dyDescent="0.35">
      <c r="A94" s="55" t="str">
        <f t="shared" ca="1" si="0"/>
        <v xml:space="preserve"> PIANCÓ/ECIT SANTO ANTONIO/ELETRICISTA INSTALADOR PREDIAL DE BAIXA TENSAO/NOITE</v>
      </c>
      <c r="B94" s="55" t="str">
        <f ca="1">IFERROR(__xludf.DUMMYFUNCTION("""COMPUTED_VALUE"""),"00000001457")</f>
        <v>00000001457</v>
      </c>
      <c r="C94" s="55" t="str">
        <f ca="1">IFERROR(__xludf.DUMMYFUNCTION("""COMPUTED_VALUE"""),"T-ELETRICISTA INSTALADOR PREDIAL DE BAIXA TENSAO/00000001457")</f>
        <v>T-ELETRICISTA INSTALADOR PREDIAL DE BAIXA TENSAO/00000001457</v>
      </c>
      <c r="D94" s="56" t="str">
        <f ca="1">IFERROR(__xludf.DUMMYFUNCTION("""COMPUTED_VALUE"""),"https://docs.google.com/spreadsheets/d/1WwfezWrXgUURJ3T4jqChNAS6Mq5CAcvNkx1is1CaeRw/edit?usp=drivesdk")</f>
        <v>https://docs.google.com/spreadsheets/d/1WwfezWrXgUURJ3T4jqChNAS6Mq5CAcvNkx1is1CaeRw/edit?usp=drivesdk</v>
      </c>
      <c r="E94" s="55" t="str">
        <f ca="1">IFERROR(__xludf.DUMMYFUNCTION("""COMPUTED_VALUE"""),"17 - PARAIBATEC FIC")</f>
        <v>17 - PARAIBATEC FIC</v>
      </c>
      <c r="F94" s="55" t="str">
        <f ca="1">IFERROR(__xludf.DUMMYFUNCTION("""COMPUTED_VALUE"""),"PARAIBATEC FIC")</f>
        <v>PARAIBATEC FIC</v>
      </c>
      <c r="G94" s="55" t="str">
        <f ca="1">IFERROR(__xludf.DUMMYFUNCTION("""COMPUTED_VALUE"""),"01 - PARAIBATEC")</f>
        <v>01 - PARAIBATEC</v>
      </c>
      <c r="H94" s="55" t="str">
        <f ca="1">IFERROR(__xludf.DUMMYFUNCTION("""COMPUTED_VALUE"""),"PARAIBATEC")</f>
        <v>PARAIBATEC</v>
      </c>
      <c r="I94" s="55" t="str">
        <f ca="1">IFERROR(__xludf.DUMMYFUNCTION("""COMPUTED_VALUE"""),"542 - ECIT SANTO ANTONIO")</f>
        <v>542 - ECIT SANTO ANTONIO</v>
      </c>
      <c r="J94" s="55" t="str">
        <f ca="1">IFERROR(__xludf.DUMMYFUNCTION("""COMPUTED_VALUE""")," PIANCÓ")</f>
        <v xml:space="preserve"> PIANCÓ</v>
      </c>
      <c r="K94" s="55"/>
      <c r="L94" s="55"/>
      <c r="M94" s="55" t="str">
        <f ca="1">IFERROR(__xludf.DUMMYFUNCTION("""COMPUTED_VALUE"""),"ECIT SANTO ANTONIO")</f>
        <v>ECIT SANTO ANTONIO</v>
      </c>
      <c r="N94" s="55">
        <f ca="1">IFERROR(__xludf.DUMMYFUNCTION("""COMPUTED_VALUE"""),221502)</f>
        <v>221502</v>
      </c>
      <c r="O94" s="55" t="str">
        <f ca="1">IFERROR(__xludf.DUMMYFUNCTION("""COMPUTED_VALUE"""),"CONTROLE E PROCESSOS INDUSTRIAIS")</f>
        <v>CONTROLE E PROCESSOS INDUSTRIAIS</v>
      </c>
      <c r="P94" s="55" t="str">
        <f ca="1">IFERROR(__xludf.DUMMYFUNCTION("""COMPUTED_VALUE"""),"ELETRICISTA INSTALADOR PREDIAL DE BAIXA TENSAO")</f>
        <v>ELETRICISTA INSTALADOR PREDIAL DE BAIXA TENSAO</v>
      </c>
      <c r="Q94" s="55" t="str">
        <f ca="1">IFERROR(__xludf.DUMMYFUNCTION("""COMPUTED_VALUE"""),"FIC")</f>
        <v>FIC</v>
      </c>
      <c r="R94" s="55">
        <f ca="1">IFERROR(__xludf.DUMMYFUNCTION("""COMPUTED_VALUE"""),160)</f>
        <v>160</v>
      </c>
      <c r="S94" s="55" t="str">
        <f ca="1">IFERROR(__xludf.DUMMYFUNCTION("""COMPUTED_VALUE"""),"NOITE")</f>
        <v>NOITE</v>
      </c>
      <c r="T94" s="57">
        <f ca="1">IFERROR(__xludf.DUMMYFUNCTION("""COMPUTED_VALUE"""),45706)</f>
        <v>45706</v>
      </c>
      <c r="U94" s="57">
        <f ca="1">IFERROR(__xludf.DUMMYFUNCTION("""COMPUTED_VALUE"""),45792)</f>
        <v>45792</v>
      </c>
      <c r="V94" s="55"/>
      <c r="W94" s="55"/>
      <c r="X94" s="55"/>
      <c r="Y94" s="55" t="str">
        <f ca="1">IFERROR(__xludf.DUMMYFUNCTION("""COMPUTED_VALUE"""),"EM OFERTA")</f>
        <v>EM OFERTA</v>
      </c>
      <c r="Z94" s="55"/>
      <c r="AA94" s="55"/>
      <c r="AB94" s="55"/>
      <c r="AC94" s="55"/>
      <c r="AD94" s="55"/>
      <c r="AE94" s="55"/>
      <c r="AF94" s="55"/>
      <c r="AG94" s="55"/>
      <c r="AH94" s="55" t="str">
        <f ca="1">IFERROR(__xludf.DUMMYFUNCTION("""COMPUTED_VALUE"""),"-")</f>
        <v>-</v>
      </c>
      <c r="AI94" s="55" t="str">
        <f ca="1">IFERROR(__xludf.DUMMYFUNCTION("""COMPUTED_VALUE"""),"ARTUNHO DE ARAUJO FARIAS")</f>
        <v>ARTUNHO DE ARAUJO FARIAS</v>
      </c>
      <c r="AJ94" s="55" t="str">
        <f ca="1">IFERROR(__xludf.DUMMYFUNCTION("""COMPUTED_VALUE"""),"-")</f>
        <v>-</v>
      </c>
      <c r="AK94" s="55" t="str">
        <f ca="1">IFERROR(__xludf.DUMMYFUNCTION("""COMPUTED_VALUE"""),"-")</f>
        <v>-</v>
      </c>
      <c r="AL94" s="55" t="str">
        <f ca="1">IFERROR(__xludf.DUMMYFUNCTION("""COMPUTED_VALUE"""),"ALISSON ANDRADE DA SILVA")</f>
        <v>ALISSON ANDRADE DA SILVA</v>
      </c>
      <c r="AM94" s="55">
        <f ca="1">IFERROR(__xludf.DUMMYFUNCTION("""COMPUTED_VALUE"""),2025)</f>
        <v>2025</v>
      </c>
      <c r="AN94" s="55"/>
    </row>
    <row r="95" spans="1:40" ht="14" x14ac:dyDescent="0.35">
      <c r="A95" s="55" t="str">
        <f t="shared" ca="1" si="0"/>
        <v xml:space="preserve"> PILOES/EMEF BRAZ BARACUHY/OPERADOR DE MAQUINAS E IMPLEMENTOS AGRICOLAS/TARDE</v>
      </c>
      <c r="B95" s="55" t="str">
        <f ca="1">IFERROR(__xludf.DUMMYFUNCTION("""COMPUTED_VALUE"""),"00000001458")</f>
        <v>00000001458</v>
      </c>
      <c r="C95" s="55" t="str">
        <f ca="1">IFERROR(__xludf.DUMMYFUNCTION("""COMPUTED_VALUE"""),"T-OPERADOR DE MAQUINAS E IMPLEMENTOS AGRICOLAS/00000001458")</f>
        <v>T-OPERADOR DE MAQUINAS E IMPLEMENTOS AGRICOLAS/00000001458</v>
      </c>
      <c r="D95" s="56" t="str">
        <f ca="1">IFERROR(__xludf.DUMMYFUNCTION("""COMPUTED_VALUE"""),"https://docs.google.com/spreadsheets/d/1AQfbFHFz-NdoVQ3szVOpOiijpx83CHbJr63fit181wc/edit?usp=drivesdk")</f>
        <v>https://docs.google.com/spreadsheets/d/1AQfbFHFz-NdoVQ3szVOpOiijpx83CHbJr63fit181wc/edit?usp=drivesdk</v>
      </c>
      <c r="E95" s="55" t="str">
        <f ca="1">IFERROR(__xludf.DUMMYFUNCTION("""COMPUTED_VALUE"""),"17 - PARAIBATEC FIC")</f>
        <v>17 - PARAIBATEC FIC</v>
      </c>
      <c r="F95" s="55" t="str">
        <f ca="1">IFERROR(__xludf.DUMMYFUNCTION("""COMPUTED_VALUE"""),"PARAIBATEC FIC")</f>
        <v>PARAIBATEC FIC</v>
      </c>
      <c r="G95" s="55" t="str">
        <f ca="1">IFERROR(__xludf.DUMMYFUNCTION("""COMPUTED_VALUE"""),"01 - PARAIBATEC")</f>
        <v>01 - PARAIBATEC</v>
      </c>
      <c r="H95" s="55" t="str">
        <f ca="1">IFERROR(__xludf.DUMMYFUNCTION("""COMPUTED_VALUE"""),"PARAIBATEC")</f>
        <v>PARAIBATEC</v>
      </c>
      <c r="I95" s="55" t="str">
        <f ca="1">IFERROR(__xludf.DUMMYFUNCTION("""COMPUTED_VALUE"""),"543 - EMEF BRAZ BARACUHY")</f>
        <v>543 - EMEF BRAZ BARACUHY</v>
      </c>
      <c r="J95" s="55" t="str">
        <f ca="1">IFERROR(__xludf.DUMMYFUNCTION("""COMPUTED_VALUE""")," PILOES")</f>
        <v xml:space="preserve"> PILOES</v>
      </c>
      <c r="K95" s="55"/>
      <c r="L95" s="55"/>
      <c r="M95" s="55" t="str">
        <f ca="1">IFERROR(__xludf.DUMMYFUNCTION("""COMPUTED_VALUE"""),"EMEF BRAZ BARACUHY")</f>
        <v>EMEF BRAZ BARACUHY</v>
      </c>
      <c r="N95" s="55">
        <f ca="1">IFERROR(__xludf.DUMMYFUNCTION("""COMPUTED_VALUE"""),221279)</f>
        <v>221279</v>
      </c>
      <c r="O95" s="55" t="str">
        <f ca="1">IFERROR(__xludf.DUMMYFUNCTION("""COMPUTED_VALUE"""),"RECURSOS NATURAIS")</f>
        <v>RECURSOS NATURAIS</v>
      </c>
      <c r="P95" s="55" t="str">
        <f ca="1">IFERROR(__xludf.DUMMYFUNCTION("""COMPUTED_VALUE"""),"OPERADOR DE MAQUINAS E IMPLEMENTOS AGRICOLAS")</f>
        <v>OPERADOR DE MAQUINAS E IMPLEMENTOS AGRICOLAS</v>
      </c>
      <c r="Q95" s="55" t="str">
        <f ca="1">IFERROR(__xludf.DUMMYFUNCTION("""COMPUTED_VALUE"""),"FIC")</f>
        <v>FIC</v>
      </c>
      <c r="R95" s="55">
        <f ca="1">IFERROR(__xludf.DUMMYFUNCTION("""COMPUTED_VALUE"""),160)</f>
        <v>160</v>
      </c>
      <c r="S95" s="55" t="str">
        <f ca="1">IFERROR(__xludf.DUMMYFUNCTION("""COMPUTED_VALUE"""),"TARDE")</f>
        <v>TARDE</v>
      </c>
      <c r="T95" s="57">
        <f ca="1">IFERROR(__xludf.DUMMYFUNCTION("""COMPUTED_VALUE"""),45692)</f>
        <v>45692</v>
      </c>
      <c r="U95" s="57">
        <f ca="1">IFERROR(__xludf.DUMMYFUNCTION("""COMPUTED_VALUE"""),45784)</f>
        <v>45784</v>
      </c>
      <c r="V95" s="55"/>
      <c r="W95" s="55"/>
      <c r="X95" s="55"/>
      <c r="Y95" s="55" t="str">
        <f ca="1">IFERROR(__xludf.DUMMYFUNCTION("""COMPUTED_VALUE"""),"EM OFERTA")</f>
        <v>EM OFERTA</v>
      </c>
      <c r="Z95" s="55"/>
      <c r="AA95" s="55"/>
      <c r="AB95" s="55"/>
      <c r="AC95" s="55"/>
      <c r="AD95" s="55"/>
      <c r="AE95" s="55"/>
      <c r="AF95" s="55"/>
      <c r="AG95" s="55"/>
      <c r="AH95" s="55" t="str">
        <f ca="1">IFERROR(__xludf.DUMMYFUNCTION("""COMPUTED_VALUE"""),"-")</f>
        <v>-</v>
      </c>
      <c r="AI95" s="55" t="str">
        <f ca="1">IFERROR(__xludf.DUMMYFUNCTION("""COMPUTED_VALUE"""),"RUCELIO GOMES SARMENTO")</f>
        <v>RUCELIO GOMES SARMENTO</v>
      </c>
      <c r="AJ95" s="55" t="str">
        <f ca="1">IFERROR(__xludf.DUMMYFUNCTION("""COMPUTED_VALUE"""),"-")</f>
        <v>-</v>
      </c>
      <c r="AK95" s="55" t="str">
        <f ca="1">IFERROR(__xludf.DUMMYFUNCTION("""COMPUTED_VALUE"""),"-")</f>
        <v>-</v>
      </c>
      <c r="AL95" s="55" t="str">
        <f ca="1">IFERROR(__xludf.DUMMYFUNCTION("""COMPUTED_VALUE"""),"RUBENS RANGEL ROLIM")</f>
        <v>RUBENS RANGEL ROLIM</v>
      </c>
      <c r="AM95" s="55">
        <f ca="1">IFERROR(__xludf.DUMMYFUNCTION("""COMPUTED_VALUE"""),2025)</f>
        <v>2025</v>
      </c>
      <c r="AN95" s="55"/>
    </row>
    <row r="96" spans="1:40" ht="14" x14ac:dyDescent="0.35">
      <c r="A96" s="55" t="str">
        <f t="shared" ca="1" si="0"/>
        <v xml:space="preserve"> POCINHOS/COLEGIO MUNICIPAL PADRE GALVAO/CUIDADOR INFANTIL/TARDE</v>
      </c>
      <c r="B96" s="55" t="str">
        <f ca="1">IFERROR(__xludf.DUMMYFUNCTION("""COMPUTED_VALUE"""),"00000001459")</f>
        <v>00000001459</v>
      </c>
      <c r="C96" s="55" t="str">
        <f ca="1">IFERROR(__xludf.DUMMYFUNCTION("""COMPUTED_VALUE"""),"T-CUIDADOR INFANTIL/00000001459")</f>
        <v>T-CUIDADOR INFANTIL/00000001459</v>
      </c>
      <c r="D96" s="56" t="str">
        <f ca="1">IFERROR(__xludf.DUMMYFUNCTION("""COMPUTED_VALUE"""),"https://docs.google.com/spreadsheets/d/1dbS-PehzjhjTChAGBWKJdIYH-j3UTYLeVwgg0vCYHxQ/edit?usp=drivesdk")</f>
        <v>https://docs.google.com/spreadsheets/d/1dbS-PehzjhjTChAGBWKJdIYH-j3UTYLeVwgg0vCYHxQ/edit?usp=drivesdk</v>
      </c>
      <c r="E96" s="55" t="str">
        <f ca="1">IFERROR(__xludf.DUMMYFUNCTION("""COMPUTED_VALUE"""),"17 - PARAIBATEC FIC")</f>
        <v>17 - PARAIBATEC FIC</v>
      </c>
      <c r="F96" s="55" t="str">
        <f ca="1">IFERROR(__xludf.DUMMYFUNCTION("""COMPUTED_VALUE"""),"PARAIBATEC FIC")</f>
        <v>PARAIBATEC FIC</v>
      </c>
      <c r="G96" s="55" t="str">
        <f ca="1">IFERROR(__xludf.DUMMYFUNCTION("""COMPUTED_VALUE"""),"01 - PARAIBATEC")</f>
        <v>01 - PARAIBATEC</v>
      </c>
      <c r="H96" s="55" t="str">
        <f ca="1">IFERROR(__xludf.DUMMYFUNCTION("""COMPUTED_VALUE"""),"PARAIBATEC")</f>
        <v>PARAIBATEC</v>
      </c>
      <c r="I96" s="55" t="str">
        <f ca="1">IFERROR(__xludf.DUMMYFUNCTION("""COMPUTED_VALUE"""),"571 - COLEGIO MUNICIPAL PADRE GALVAO")</f>
        <v>571 - COLEGIO MUNICIPAL PADRE GALVAO</v>
      </c>
      <c r="J96" s="55" t="str">
        <f ca="1">IFERROR(__xludf.DUMMYFUNCTION("""COMPUTED_VALUE""")," POCINHOS")</f>
        <v xml:space="preserve"> POCINHOS</v>
      </c>
      <c r="K96" s="55"/>
      <c r="L96" s="55"/>
      <c r="M96" s="55" t="str">
        <f ca="1">IFERROR(__xludf.DUMMYFUNCTION("""COMPUTED_VALUE"""),"COLEGIO MUNICIPAL PADRE GALVAO")</f>
        <v>COLEGIO MUNICIPAL PADRE GALVAO</v>
      </c>
      <c r="N96" s="55">
        <f ca="1">IFERROR(__xludf.DUMMYFUNCTION("""COMPUTED_VALUE"""),221538)</f>
        <v>221538</v>
      </c>
      <c r="O96" s="55" t="str">
        <f ca="1">IFERROR(__xludf.DUMMYFUNCTION("""COMPUTED_VALUE"""),"AMBIENTE E SAUDE")</f>
        <v>AMBIENTE E SAUDE</v>
      </c>
      <c r="P96" s="55" t="str">
        <f ca="1">IFERROR(__xludf.DUMMYFUNCTION("""COMPUTED_VALUE"""),"CUIDADOR INFANTIL")</f>
        <v>CUIDADOR INFANTIL</v>
      </c>
      <c r="Q96" s="55" t="str">
        <f ca="1">IFERROR(__xludf.DUMMYFUNCTION("""COMPUTED_VALUE"""),"FIC")</f>
        <v>FIC</v>
      </c>
      <c r="R96" s="55">
        <f ca="1">IFERROR(__xludf.DUMMYFUNCTION("""COMPUTED_VALUE"""),160)</f>
        <v>160</v>
      </c>
      <c r="S96" s="55" t="str">
        <f ca="1">IFERROR(__xludf.DUMMYFUNCTION("""COMPUTED_VALUE"""),"TARDE")</f>
        <v>TARDE</v>
      </c>
      <c r="T96" s="57">
        <f ca="1">IFERROR(__xludf.DUMMYFUNCTION("""COMPUTED_VALUE"""),45705)</f>
        <v>45705</v>
      </c>
      <c r="U96" s="57">
        <f ca="1">IFERROR(__xludf.DUMMYFUNCTION("""COMPUTED_VALUE"""),45838)</f>
        <v>45838</v>
      </c>
      <c r="V96" s="55"/>
      <c r="W96" s="55"/>
      <c r="X96" s="55"/>
      <c r="Y96" s="55" t="str">
        <f ca="1">IFERROR(__xludf.DUMMYFUNCTION("""COMPUTED_VALUE"""),"EM OFERTA")</f>
        <v>EM OFERTA</v>
      </c>
      <c r="Z96" s="55"/>
      <c r="AA96" s="55"/>
      <c r="AB96" s="55"/>
      <c r="AC96" s="55"/>
      <c r="AD96" s="55"/>
      <c r="AE96" s="55"/>
      <c r="AF96" s="55"/>
      <c r="AG96" s="55"/>
      <c r="AH96" s="55" t="str">
        <f ca="1">IFERROR(__xludf.DUMMYFUNCTION("""COMPUTED_VALUE"""),"-")</f>
        <v>-</v>
      </c>
      <c r="AI96" s="55" t="str">
        <f ca="1">IFERROR(__xludf.DUMMYFUNCTION("""COMPUTED_VALUE"""),"ADRIANA DE SOUZA COSTA")</f>
        <v>ADRIANA DE SOUZA COSTA</v>
      </c>
      <c r="AJ96" s="55" t="str">
        <f ca="1">IFERROR(__xludf.DUMMYFUNCTION("""COMPUTED_VALUE"""),"-")</f>
        <v>-</v>
      </c>
      <c r="AK96" s="55" t="str">
        <f ca="1">IFERROR(__xludf.DUMMYFUNCTION("""COMPUTED_VALUE"""),"-")</f>
        <v>-</v>
      </c>
      <c r="AL96" s="55" t="str">
        <f ca="1">IFERROR(__xludf.DUMMYFUNCTION("""COMPUTED_VALUE"""),"MERCIA DE SOUZA COSTA")</f>
        <v>MERCIA DE SOUZA COSTA</v>
      </c>
      <c r="AM96" s="55">
        <f ca="1">IFERROR(__xludf.DUMMYFUNCTION("""COMPUTED_VALUE"""),2025)</f>
        <v>2025</v>
      </c>
      <c r="AN96" s="55"/>
    </row>
    <row r="97" spans="1:40" ht="14" x14ac:dyDescent="0.35">
      <c r="A97" s="55" t="str">
        <f t="shared" ca="1" si="0"/>
        <v xml:space="preserve"> PRATA/ECIT FRANCISCO DE ASSIS GONZAGA/CUIDADOR DE IDOSO/NOITE</v>
      </c>
      <c r="B97" s="55" t="str">
        <f ca="1">IFERROR(__xludf.DUMMYFUNCTION("""COMPUTED_VALUE"""),"00000001460")</f>
        <v>00000001460</v>
      </c>
      <c r="C97" s="55" t="str">
        <f ca="1">IFERROR(__xludf.DUMMYFUNCTION("""COMPUTED_VALUE"""),"T-CUIDADOR DE IDOSO/00000001460")</f>
        <v>T-CUIDADOR DE IDOSO/00000001460</v>
      </c>
      <c r="D97" s="56" t="str">
        <f ca="1">IFERROR(__xludf.DUMMYFUNCTION("""COMPUTED_VALUE"""),"https://docs.google.com/spreadsheets/d/1DR7UlFxVqZ0kMWJ8cWVb18imuyrthcH6OVm09gf-aCY/edit?usp=drivesdk")</f>
        <v>https://docs.google.com/spreadsheets/d/1DR7UlFxVqZ0kMWJ8cWVb18imuyrthcH6OVm09gf-aCY/edit?usp=drivesdk</v>
      </c>
      <c r="E97" s="55" t="str">
        <f ca="1">IFERROR(__xludf.DUMMYFUNCTION("""COMPUTED_VALUE"""),"17 - PARAIBATEC FIC")</f>
        <v>17 - PARAIBATEC FIC</v>
      </c>
      <c r="F97" s="55" t="str">
        <f ca="1">IFERROR(__xludf.DUMMYFUNCTION("""COMPUTED_VALUE"""),"PARAIBATEC FIC")</f>
        <v>PARAIBATEC FIC</v>
      </c>
      <c r="G97" s="55" t="str">
        <f ca="1">IFERROR(__xludf.DUMMYFUNCTION("""COMPUTED_VALUE"""),"01 - PARAIBATEC")</f>
        <v>01 - PARAIBATEC</v>
      </c>
      <c r="H97" s="55" t="str">
        <f ca="1">IFERROR(__xludf.DUMMYFUNCTION("""COMPUTED_VALUE"""),"PARAIBATEC")</f>
        <v>PARAIBATEC</v>
      </c>
      <c r="I97" s="55" t="str">
        <f ca="1">IFERROR(__xludf.DUMMYFUNCTION("""COMPUTED_VALUE"""),"544 - ECIT FRANCISCO DE ASSIS GONZAGA")</f>
        <v>544 - ECIT FRANCISCO DE ASSIS GONZAGA</v>
      </c>
      <c r="J97" s="55" t="str">
        <f ca="1">IFERROR(__xludf.DUMMYFUNCTION("""COMPUTED_VALUE""")," PRATA")</f>
        <v xml:space="preserve"> PRATA</v>
      </c>
      <c r="K97" s="55"/>
      <c r="L97" s="55"/>
      <c r="M97" s="55" t="str">
        <f ca="1">IFERROR(__xludf.DUMMYFUNCTION("""COMPUTED_VALUE"""),"ECIT FRANCISCO DE ASSIS GONZAGA")</f>
        <v>ECIT FRANCISCO DE ASSIS GONZAGA</v>
      </c>
      <c r="N97" s="55">
        <f ca="1">IFERROR(__xludf.DUMMYFUNCTION("""COMPUTED_VALUE"""),221539)</f>
        <v>221539</v>
      </c>
      <c r="O97" s="55" t="str">
        <f ca="1">IFERROR(__xludf.DUMMYFUNCTION("""COMPUTED_VALUE"""),"AMBIENTE E SAUDE")</f>
        <v>AMBIENTE E SAUDE</v>
      </c>
      <c r="P97" s="55" t="str">
        <f ca="1">IFERROR(__xludf.DUMMYFUNCTION("""COMPUTED_VALUE"""),"CUIDADOR DE IDOSO")</f>
        <v>CUIDADOR DE IDOSO</v>
      </c>
      <c r="Q97" s="55" t="str">
        <f ca="1">IFERROR(__xludf.DUMMYFUNCTION("""COMPUTED_VALUE"""),"FIC")</f>
        <v>FIC</v>
      </c>
      <c r="R97" s="55">
        <f ca="1">IFERROR(__xludf.DUMMYFUNCTION("""COMPUTED_VALUE"""),160)</f>
        <v>160</v>
      </c>
      <c r="S97" s="55" t="str">
        <f ca="1">IFERROR(__xludf.DUMMYFUNCTION("""COMPUTED_VALUE"""),"NOITE")</f>
        <v>NOITE</v>
      </c>
      <c r="T97" s="57">
        <f ca="1">IFERROR(__xludf.DUMMYFUNCTION("""COMPUTED_VALUE"""),45691)</f>
        <v>45691</v>
      </c>
      <c r="U97" s="57">
        <f ca="1">IFERROR(__xludf.DUMMYFUNCTION("""COMPUTED_VALUE"""),45824)</f>
        <v>45824</v>
      </c>
      <c r="V97" s="55"/>
      <c r="W97" s="55"/>
      <c r="X97" s="55"/>
      <c r="Y97" s="55" t="str">
        <f ca="1">IFERROR(__xludf.DUMMYFUNCTION("""COMPUTED_VALUE"""),"EM OFERTA")</f>
        <v>EM OFERTA</v>
      </c>
      <c r="Z97" s="55"/>
      <c r="AA97" s="55"/>
      <c r="AB97" s="55"/>
      <c r="AC97" s="55"/>
      <c r="AD97" s="55"/>
      <c r="AE97" s="55"/>
      <c r="AF97" s="55"/>
      <c r="AG97" s="55"/>
      <c r="AH97" s="55" t="str">
        <f ca="1">IFERROR(__xludf.DUMMYFUNCTION("""COMPUTED_VALUE"""),"-")</f>
        <v>-</v>
      </c>
      <c r="AI97" s="55" t="str">
        <f ca="1">IFERROR(__xludf.DUMMYFUNCTION("""COMPUTED_VALUE"""),"MARIA EDUARDA NUNES ISIDRO")</f>
        <v>MARIA EDUARDA NUNES ISIDRO</v>
      </c>
      <c r="AJ97" s="55" t="str">
        <f ca="1">IFERROR(__xludf.DUMMYFUNCTION("""COMPUTED_VALUE"""),"-")</f>
        <v>-</v>
      </c>
      <c r="AK97" s="55" t="str">
        <f ca="1">IFERROR(__xludf.DUMMYFUNCTION("""COMPUTED_VALUE"""),"-")</f>
        <v>-</v>
      </c>
      <c r="AL97" s="55" t="str">
        <f ca="1">IFERROR(__xludf.DUMMYFUNCTION("""COMPUTED_VALUE"""),"ANDRE KENNY COSTA SILVA")</f>
        <v>ANDRE KENNY COSTA SILVA</v>
      </c>
      <c r="AM97" s="55">
        <f ca="1">IFERROR(__xludf.DUMMYFUNCTION("""COMPUTED_VALUE"""),2025)</f>
        <v>2025</v>
      </c>
      <c r="AN97" s="55"/>
    </row>
    <row r="98" spans="1:40" ht="14" x14ac:dyDescent="0.35">
      <c r="A98" s="55" t="str">
        <f t="shared" ca="1" si="0"/>
        <v xml:space="preserve"> QUEIMADAS/SALAO DE COSTURA ANEXO DO CRAS/COSTUREIRO INDUSTRIAL DO VESTUARIO/TARDE</v>
      </c>
      <c r="B98" s="55" t="str">
        <f ca="1">IFERROR(__xludf.DUMMYFUNCTION("""COMPUTED_VALUE"""),"00000001461")</f>
        <v>00000001461</v>
      </c>
      <c r="C98" s="55" t="str">
        <f ca="1">IFERROR(__xludf.DUMMYFUNCTION("""COMPUTED_VALUE"""),"T-COSTUREIRO INDUSTRIAL DO VESTUARIO/00000001461")</f>
        <v>T-COSTUREIRO INDUSTRIAL DO VESTUARIO/00000001461</v>
      </c>
      <c r="D98" s="56" t="str">
        <f ca="1">IFERROR(__xludf.DUMMYFUNCTION("""COMPUTED_VALUE"""),"https://docs.google.com/spreadsheets/d/1VGsTY_Rqj8lKgzIHfMSqP1krOM5Q9uc1IL3shLHnV4o/edit?usp=drivesdk")</f>
        <v>https://docs.google.com/spreadsheets/d/1VGsTY_Rqj8lKgzIHfMSqP1krOM5Q9uc1IL3shLHnV4o/edit?usp=drivesdk</v>
      </c>
      <c r="E98" s="55" t="str">
        <f ca="1">IFERROR(__xludf.DUMMYFUNCTION("""COMPUTED_VALUE"""),"17 - PARAIBATEC FIC")</f>
        <v>17 - PARAIBATEC FIC</v>
      </c>
      <c r="F98" s="55" t="str">
        <f ca="1">IFERROR(__xludf.DUMMYFUNCTION("""COMPUTED_VALUE"""),"PARAIBATEC FIC")</f>
        <v>PARAIBATEC FIC</v>
      </c>
      <c r="G98" s="55" t="str">
        <f ca="1">IFERROR(__xludf.DUMMYFUNCTION("""COMPUTED_VALUE"""),"01 - PARAIBATEC")</f>
        <v>01 - PARAIBATEC</v>
      </c>
      <c r="H98" s="55" t="str">
        <f ca="1">IFERROR(__xludf.DUMMYFUNCTION("""COMPUTED_VALUE"""),"PARAIBATEC")</f>
        <v>PARAIBATEC</v>
      </c>
      <c r="I98" s="55" t="str">
        <f ca="1">IFERROR(__xludf.DUMMYFUNCTION("""COMPUTED_VALUE"""),"545 - SALAO DE COSTURA ANEXO DO CRAS")</f>
        <v>545 - SALAO DE COSTURA ANEXO DO CRAS</v>
      </c>
      <c r="J98" s="55" t="str">
        <f ca="1">IFERROR(__xludf.DUMMYFUNCTION("""COMPUTED_VALUE""")," QUEIMADAS")</f>
        <v xml:space="preserve"> QUEIMADAS</v>
      </c>
      <c r="K98" s="55"/>
      <c r="L98" s="55"/>
      <c r="M98" s="55" t="str">
        <f ca="1">IFERROR(__xludf.DUMMYFUNCTION("""COMPUTED_VALUE"""),"SALAO DE COSTURA ANEXO DO CRAS")</f>
        <v>SALAO DE COSTURA ANEXO DO CRAS</v>
      </c>
      <c r="N98" s="55">
        <f ca="1">IFERROR(__xludf.DUMMYFUNCTION("""COMPUTED_VALUE"""),221270)</f>
        <v>221270</v>
      </c>
      <c r="O98" s="55" t="str">
        <f ca="1">IFERROR(__xludf.DUMMYFUNCTION("""COMPUTED_VALUE"""),"PRODUÇAO INDUSTRIAL")</f>
        <v>PRODUÇAO INDUSTRIAL</v>
      </c>
      <c r="P98" s="55" t="str">
        <f ca="1">IFERROR(__xludf.DUMMYFUNCTION("""COMPUTED_VALUE"""),"COSTUREIRO INDUSTRIAL DO VESTUARIO")</f>
        <v>COSTUREIRO INDUSTRIAL DO VESTUARIO</v>
      </c>
      <c r="Q98" s="55" t="str">
        <f ca="1">IFERROR(__xludf.DUMMYFUNCTION("""COMPUTED_VALUE"""),"FIC")</f>
        <v>FIC</v>
      </c>
      <c r="R98" s="55">
        <f ca="1">IFERROR(__xludf.DUMMYFUNCTION("""COMPUTED_VALUE"""),200)</f>
        <v>200</v>
      </c>
      <c r="S98" s="55" t="str">
        <f ca="1">IFERROR(__xludf.DUMMYFUNCTION("""COMPUTED_VALUE"""),"TARDE")</f>
        <v>TARDE</v>
      </c>
      <c r="T98" s="57">
        <f ca="1">IFERROR(__xludf.DUMMYFUNCTION("""COMPUTED_VALUE"""),45692)</f>
        <v>45692</v>
      </c>
      <c r="U98" s="57">
        <f ca="1">IFERROR(__xludf.DUMMYFUNCTION("""COMPUTED_VALUE"""),45854)</f>
        <v>45854</v>
      </c>
      <c r="V98" s="55"/>
      <c r="W98" s="55"/>
      <c r="X98" s="55"/>
      <c r="Y98" s="55" t="str">
        <f ca="1">IFERROR(__xludf.DUMMYFUNCTION("""COMPUTED_VALUE"""),"EM OFERTA")</f>
        <v>EM OFERTA</v>
      </c>
      <c r="Z98" s="55"/>
      <c r="AA98" s="55"/>
      <c r="AB98" s="55"/>
      <c r="AC98" s="55"/>
      <c r="AD98" s="55"/>
      <c r="AE98" s="55"/>
      <c r="AF98" s="55"/>
      <c r="AG98" s="55"/>
      <c r="AH98" s="55" t="str">
        <f ca="1">IFERROR(__xludf.DUMMYFUNCTION("""COMPUTED_VALUE"""),"-")</f>
        <v>-</v>
      </c>
      <c r="AI98" s="55" t="str">
        <f ca="1">IFERROR(__xludf.DUMMYFUNCTION("""COMPUTED_VALUE"""),"FLAVIA MORGANA MONTEIRO")</f>
        <v>FLAVIA MORGANA MONTEIRO</v>
      </c>
      <c r="AJ98" s="55" t="str">
        <f ca="1">IFERROR(__xludf.DUMMYFUNCTION("""COMPUTED_VALUE"""),"-")</f>
        <v>-</v>
      </c>
      <c r="AK98" s="55" t="str">
        <f ca="1">IFERROR(__xludf.DUMMYFUNCTION("""COMPUTED_VALUE"""),"-")</f>
        <v>-</v>
      </c>
      <c r="AL98" s="55" t="str">
        <f ca="1">IFERROR(__xludf.DUMMYFUNCTION("""COMPUTED_VALUE"""),"FABIANE DA SILVA LIMA")</f>
        <v>FABIANE DA SILVA LIMA</v>
      </c>
      <c r="AM98" s="55">
        <f ca="1">IFERROR(__xludf.DUMMYFUNCTION("""COMPUTED_VALUE"""),2025)</f>
        <v>2025</v>
      </c>
      <c r="AN98" s="55"/>
    </row>
    <row r="99" spans="1:40" ht="14" x14ac:dyDescent="0.35">
      <c r="A99" s="55" t="str">
        <f t="shared" ca="1" si="0"/>
        <v xml:space="preserve"> QUEIMADAS/SECRETARIA DE DESENVOLVIMENTO SOCIAL QUALIFICA/MONTADOR E REPARADOR DE COMPUTADORES/TARDE</v>
      </c>
      <c r="B99" s="55" t="str">
        <f ca="1">IFERROR(__xludf.DUMMYFUNCTION("""COMPUTED_VALUE"""),"00000001462")</f>
        <v>00000001462</v>
      </c>
      <c r="C99" s="55" t="str">
        <f ca="1">IFERROR(__xludf.DUMMYFUNCTION("""COMPUTED_VALUE"""),"T-MONTADOR E REPARADOR DE COMPUTADORES/00000001462")</f>
        <v>T-MONTADOR E REPARADOR DE COMPUTADORES/00000001462</v>
      </c>
      <c r="D99" s="56" t="str">
        <f ca="1">IFERROR(__xludf.DUMMYFUNCTION("""COMPUTED_VALUE"""),"https://docs.google.com/spreadsheets/d/1I-fMIzvQI47z-oz8qemN6xiwJ_0e7YL2xIKzjd435XY/edit?usp=drivesdk")</f>
        <v>https://docs.google.com/spreadsheets/d/1I-fMIzvQI47z-oz8qemN6xiwJ_0e7YL2xIKzjd435XY/edit?usp=drivesdk</v>
      </c>
      <c r="E99" s="55" t="str">
        <f ca="1">IFERROR(__xludf.DUMMYFUNCTION("""COMPUTED_VALUE"""),"17 - PARAIBATEC FIC")</f>
        <v>17 - PARAIBATEC FIC</v>
      </c>
      <c r="F99" s="55" t="str">
        <f ca="1">IFERROR(__xludf.DUMMYFUNCTION("""COMPUTED_VALUE"""),"PARAIBATEC FIC")</f>
        <v>PARAIBATEC FIC</v>
      </c>
      <c r="G99" s="55" t="str">
        <f ca="1">IFERROR(__xludf.DUMMYFUNCTION("""COMPUTED_VALUE"""),"01 - PARAIBATEC")</f>
        <v>01 - PARAIBATEC</v>
      </c>
      <c r="H99" s="55" t="str">
        <f ca="1">IFERROR(__xludf.DUMMYFUNCTION("""COMPUTED_VALUE"""),"PARAIBATEC")</f>
        <v>PARAIBATEC</v>
      </c>
      <c r="I99" s="55" t="str">
        <f ca="1">IFERROR(__xludf.DUMMYFUNCTION("""COMPUTED_VALUE"""),"546 - SECRETARIA DE DESENVOLVIMENTO SOCIAL QUALIFICA")</f>
        <v>546 - SECRETARIA DE DESENVOLVIMENTO SOCIAL QUALIFICA</v>
      </c>
      <c r="J99" s="55" t="str">
        <f ca="1">IFERROR(__xludf.DUMMYFUNCTION("""COMPUTED_VALUE""")," QUEIMADAS")</f>
        <v xml:space="preserve"> QUEIMADAS</v>
      </c>
      <c r="K99" s="55"/>
      <c r="L99" s="55"/>
      <c r="M99" s="55" t="str">
        <f ca="1">IFERROR(__xludf.DUMMYFUNCTION("""COMPUTED_VALUE"""),"SECRETARIA DE DESENVOLVIMENTO SOCIAL QUALIFICA")</f>
        <v>SECRETARIA DE DESENVOLVIMENTO SOCIAL QUALIFICA</v>
      </c>
      <c r="N99" s="55">
        <f ca="1">IFERROR(__xludf.DUMMYFUNCTION("""COMPUTED_VALUE"""),221154)</f>
        <v>221154</v>
      </c>
      <c r="O99" s="55" t="str">
        <f ca="1">IFERROR(__xludf.DUMMYFUNCTION("""COMPUTED_VALUE"""),"INFORMAÇAO E COMUNICAÇAO")</f>
        <v>INFORMAÇAO E COMUNICAÇAO</v>
      </c>
      <c r="P99" s="55" t="str">
        <f ca="1">IFERROR(__xludf.DUMMYFUNCTION("""COMPUTED_VALUE"""),"MONTADOR E REPARADOR DE COMPUTADORES")</f>
        <v>MONTADOR E REPARADOR DE COMPUTADORES</v>
      </c>
      <c r="Q99" s="55" t="str">
        <f ca="1">IFERROR(__xludf.DUMMYFUNCTION("""COMPUTED_VALUE"""),"FIC")</f>
        <v>FIC</v>
      </c>
      <c r="R99" s="55">
        <f ca="1">IFERROR(__xludf.DUMMYFUNCTION("""COMPUTED_VALUE"""),160)</f>
        <v>160</v>
      </c>
      <c r="S99" s="55" t="str">
        <f ca="1">IFERROR(__xludf.DUMMYFUNCTION("""COMPUTED_VALUE"""),"TARDE")</f>
        <v>TARDE</v>
      </c>
      <c r="T99" s="57">
        <f ca="1">IFERROR(__xludf.DUMMYFUNCTION("""COMPUTED_VALUE"""),45693)</f>
        <v>45693</v>
      </c>
      <c r="U99" s="57">
        <f ca="1">IFERROR(__xludf.DUMMYFUNCTION("""COMPUTED_VALUE"""),45826)</f>
        <v>45826</v>
      </c>
      <c r="V99" s="55"/>
      <c r="W99" s="55"/>
      <c r="X99" s="55"/>
      <c r="Y99" s="55" t="str">
        <f ca="1">IFERROR(__xludf.DUMMYFUNCTION("""COMPUTED_VALUE"""),"EM OFERTA")</f>
        <v>EM OFERTA</v>
      </c>
      <c r="Z99" s="55"/>
      <c r="AA99" s="55"/>
      <c r="AB99" s="55"/>
      <c r="AC99" s="55"/>
      <c r="AD99" s="55"/>
      <c r="AE99" s="55"/>
      <c r="AF99" s="55"/>
      <c r="AG99" s="55"/>
      <c r="AH99" s="55" t="str">
        <f ca="1">IFERROR(__xludf.DUMMYFUNCTION("""COMPUTED_VALUE"""),"-")</f>
        <v>-</v>
      </c>
      <c r="AI99" s="55" t="str">
        <f ca="1">IFERROR(__xludf.DUMMYFUNCTION("""COMPUTED_VALUE"""),"MARIA ISABEL DE OLIVEIRA SOUZA")</f>
        <v>MARIA ISABEL DE OLIVEIRA SOUZA</v>
      </c>
      <c r="AJ99" s="55" t="str">
        <f ca="1">IFERROR(__xludf.DUMMYFUNCTION("""COMPUTED_VALUE"""),"-")</f>
        <v>-</v>
      </c>
      <c r="AK99" s="55" t="str">
        <f ca="1">IFERROR(__xludf.DUMMYFUNCTION("""COMPUTED_VALUE"""),"-")</f>
        <v>-</v>
      </c>
      <c r="AL99" s="55" t="str">
        <f ca="1">IFERROR(__xludf.DUMMYFUNCTION("""COMPUTED_VALUE"""),"ANA PAULA DE SOUZA DO O LOPES")</f>
        <v>ANA PAULA DE SOUZA DO O LOPES</v>
      </c>
      <c r="AM99" s="55">
        <f ca="1">IFERROR(__xludf.DUMMYFUNCTION("""COMPUTED_VALUE"""),2025)</f>
        <v>2025</v>
      </c>
      <c r="AN99" s="55"/>
    </row>
    <row r="100" spans="1:40" ht="14" x14ac:dyDescent="0.35">
      <c r="A100" s="55" t="str">
        <f t="shared" ca="1" si="0"/>
        <v xml:space="preserve"> RIACHO DOS CAVALOS/CENTRO DE REFERENCIA DE ASSISTENCIA SOCIAL/AGRICULTOR FAMILIAR/MANHA</v>
      </c>
      <c r="B100" s="55" t="str">
        <f ca="1">IFERROR(__xludf.DUMMYFUNCTION("""COMPUTED_VALUE"""),"00000001463")</f>
        <v>00000001463</v>
      </c>
      <c r="C100" s="55" t="str">
        <f ca="1">IFERROR(__xludf.DUMMYFUNCTION("""COMPUTED_VALUE"""),"T-AGRICULTOR FAMILIAR/00000001463")</f>
        <v>T-AGRICULTOR FAMILIAR/00000001463</v>
      </c>
      <c r="D100" s="56" t="str">
        <f ca="1">IFERROR(__xludf.DUMMYFUNCTION("""COMPUTED_VALUE"""),"https://docs.google.com/spreadsheets/d/14zBiv2Kf9VvoHpmSMv_5Bltn2XUbP_WpbQp6N4FRbf8/edit?usp=drivesdk")</f>
        <v>https://docs.google.com/spreadsheets/d/14zBiv2Kf9VvoHpmSMv_5Bltn2XUbP_WpbQp6N4FRbf8/edit?usp=drivesdk</v>
      </c>
      <c r="E100" s="55" t="str">
        <f ca="1">IFERROR(__xludf.DUMMYFUNCTION("""COMPUTED_VALUE"""),"17 - PARAIBATEC FIC")</f>
        <v>17 - PARAIBATEC FIC</v>
      </c>
      <c r="F100" s="55" t="str">
        <f ca="1">IFERROR(__xludf.DUMMYFUNCTION("""COMPUTED_VALUE"""),"PARAIBATEC FIC")</f>
        <v>PARAIBATEC FIC</v>
      </c>
      <c r="G100" s="55" t="str">
        <f ca="1">IFERROR(__xludf.DUMMYFUNCTION("""COMPUTED_VALUE"""),"01 - PARAIBATEC")</f>
        <v>01 - PARAIBATEC</v>
      </c>
      <c r="H100" s="55" t="str">
        <f ca="1">IFERROR(__xludf.DUMMYFUNCTION("""COMPUTED_VALUE"""),"PARAIBATEC")</f>
        <v>PARAIBATEC</v>
      </c>
      <c r="I100" s="55" t="str">
        <f ca="1">IFERROR(__xludf.DUMMYFUNCTION("""COMPUTED_VALUE"""),"481 - CENTRO DE REFERENCIA DE ASSISTENCIA SOCIAL")</f>
        <v>481 - CENTRO DE REFERENCIA DE ASSISTENCIA SOCIAL</v>
      </c>
      <c r="J100" s="55" t="str">
        <f ca="1">IFERROR(__xludf.DUMMYFUNCTION("""COMPUTED_VALUE""")," RIACHO DOS CAVALOS")</f>
        <v xml:space="preserve"> RIACHO DOS CAVALOS</v>
      </c>
      <c r="K100" s="55"/>
      <c r="L100" s="55"/>
      <c r="M100" s="55" t="str">
        <f ca="1">IFERROR(__xludf.DUMMYFUNCTION("""COMPUTED_VALUE"""),"CENTRO DE REFERENCIA DE ASSISTENCIA SOCIAL")</f>
        <v>CENTRO DE REFERENCIA DE ASSISTENCIA SOCIAL</v>
      </c>
      <c r="N100" s="55">
        <f ca="1">IFERROR(__xludf.DUMMYFUNCTION("""COMPUTED_VALUE"""),221289)</f>
        <v>221289</v>
      </c>
      <c r="O100" s="55" t="str">
        <f ca="1">IFERROR(__xludf.DUMMYFUNCTION("""COMPUTED_VALUE"""),"RECURSOS NATURAIS")</f>
        <v>RECURSOS NATURAIS</v>
      </c>
      <c r="P100" s="55" t="str">
        <f ca="1">IFERROR(__xludf.DUMMYFUNCTION("""COMPUTED_VALUE"""),"AGRICULTOR FAMILIAR")</f>
        <v>AGRICULTOR FAMILIAR</v>
      </c>
      <c r="Q100" s="55" t="str">
        <f ca="1">IFERROR(__xludf.DUMMYFUNCTION("""COMPUTED_VALUE"""),"FIC")</f>
        <v>FIC</v>
      </c>
      <c r="R100" s="55">
        <f ca="1">IFERROR(__xludf.DUMMYFUNCTION("""COMPUTED_VALUE"""),200)</f>
        <v>200</v>
      </c>
      <c r="S100" s="55" t="str">
        <f ca="1">IFERROR(__xludf.DUMMYFUNCTION("""COMPUTED_VALUE"""),"MANHA")</f>
        <v>MANHA</v>
      </c>
      <c r="T100" s="57">
        <f ca="1">IFERROR(__xludf.DUMMYFUNCTION("""COMPUTED_VALUE"""),45693)</f>
        <v>45693</v>
      </c>
      <c r="U100" s="57">
        <f ca="1">IFERROR(__xludf.DUMMYFUNCTION("""COMPUTED_VALUE"""),45859)</f>
        <v>45859</v>
      </c>
      <c r="V100" s="55"/>
      <c r="W100" s="55"/>
      <c r="X100" s="55"/>
      <c r="Y100" s="55" t="str">
        <f ca="1">IFERROR(__xludf.DUMMYFUNCTION("""COMPUTED_VALUE"""),"EM OFERTA")</f>
        <v>EM OFERTA</v>
      </c>
      <c r="Z100" s="55"/>
      <c r="AA100" s="55"/>
      <c r="AB100" s="55"/>
      <c r="AC100" s="55"/>
      <c r="AD100" s="55"/>
      <c r="AE100" s="55"/>
      <c r="AF100" s="55"/>
      <c r="AG100" s="55"/>
      <c r="AH100" s="55" t="str">
        <f ca="1">IFERROR(__xludf.DUMMYFUNCTION("""COMPUTED_VALUE"""),"-")</f>
        <v>-</v>
      </c>
      <c r="AI100" s="55" t="str">
        <f ca="1">IFERROR(__xludf.DUMMYFUNCTION("""COMPUTED_VALUE"""),"TAYSE RICCELLY DE MELO LISBOA VIEIRA")</f>
        <v>TAYSE RICCELLY DE MELO LISBOA VIEIRA</v>
      </c>
      <c r="AJ100" s="55" t="str">
        <f ca="1">IFERROR(__xludf.DUMMYFUNCTION("""COMPUTED_VALUE"""),"-")</f>
        <v>-</v>
      </c>
      <c r="AK100" s="55" t="str">
        <f ca="1">IFERROR(__xludf.DUMMYFUNCTION("""COMPUTED_VALUE"""),"-")</f>
        <v>-</v>
      </c>
      <c r="AL100" s="55" t="str">
        <f ca="1">IFERROR(__xludf.DUMMYFUNCTION("""COMPUTED_VALUE"""),"ALBANISA PEREIRA DE LIMA SANTOS")</f>
        <v>ALBANISA PEREIRA DE LIMA SANTOS</v>
      </c>
      <c r="AM100" s="55">
        <f ca="1">IFERROR(__xludf.DUMMYFUNCTION("""COMPUTED_VALUE"""),2025)</f>
        <v>2025</v>
      </c>
      <c r="AN100" s="55"/>
    </row>
    <row r="101" spans="1:40" ht="14" x14ac:dyDescent="0.35">
      <c r="A101" s="55" t="str">
        <f t="shared" ca="1" si="0"/>
        <v xml:space="preserve"> RIO TINTO/CENTRO DE CONVIVENCIA DO IDOSO/AGENTE DE INFORMAÇOES TURISTICAS/MANHA</v>
      </c>
      <c r="B101" s="55" t="str">
        <f ca="1">IFERROR(__xludf.DUMMYFUNCTION("""COMPUTED_VALUE"""),"00000001464")</f>
        <v>00000001464</v>
      </c>
      <c r="C101" s="55" t="str">
        <f ca="1">IFERROR(__xludf.DUMMYFUNCTION("""COMPUTED_VALUE"""),"T-AGENTE DE INFORMAÇOES TURISTICAS/00000001464")</f>
        <v>T-AGENTE DE INFORMAÇOES TURISTICAS/00000001464</v>
      </c>
      <c r="D101" s="56" t="str">
        <f ca="1">IFERROR(__xludf.DUMMYFUNCTION("""COMPUTED_VALUE"""),"https://docs.google.com/spreadsheets/d/1q0YflCtITrAQ4ETANxe2mSyy1jZwgls9jItl2mx-ZMg/edit?usp=drivesdk")</f>
        <v>https://docs.google.com/spreadsheets/d/1q0YflCtITrAQ4ETANxe2mSyy1jZwgls9jItl2mx-ZMg/edit?usp=drivesdk</v>
      </c>
      <c r="E101" s="55" t="str">
        <f ca="1">IFERROR(__xludf.DUMMYFUNCTION("""COMPUTED_VALUE"""),"17 - PARAIBATEC FIC")</f>
        <v>17 - PARAIBATEC FIC</v>
      </c>
      <c r="F101" s="55" t="str">
        <f ca="1">IFERROR(__xludf.DUMMYFUNCTION("""COMPUTED_VALUE"""),"PARAIBATEC FIC")</f>
        <v>PARAIBATEC FIC</v>
      </c>
      <c r="G101" s="55" t="str">
        <f ca="1">IFERROR(__xludf.DUMMYFUNCTION("""COMPUTED_VALUE"""),"01 - PARAIBATEC")</f>
        <v>01 - PARAIBATEC</v>
      </c>
      <c r="H101" s="55" t="str">
        <f ca="1">IFERROR(__xludf.DUMMYFUNCTION("""COMPUTED_VALUE"""),"PARAIBATEC")</f>
        <v>PARAIBATEC</v>
      </c>
      <c r="I101" s="55" t="str">
        <f ca="1">IFERROR(__xludf.DUMMYFUNCTION("""COMPUTED_VALUE"""),"547 - CENTRO DE CONVIVENCIA DO IDOSO")</f>
        <v>547 - CENTRO DE CONVIVENCIA DO IDOSO</v>
      </c>
      <c r="J101" s="55" t="str">
        <f ca="1">IFERROR(__xludf.DUMMYFUNCTION("""COMPUTED_VALUE""")," RIO TINTO")</f>
        <v xml:space="preserve"> RIO TINTO</v>
      </c>
      <c r="K101" s="55"/>
      <c r="L101" s="55"/>
      <c r="M101" s="55" t="str">
        <f ca="1">IFERROR(__xludf.DUMMYFUNCTION("""COMPUTED_VALUE"""),"CENTRO DE CONVIVENCIA DO IDOSO")</f>
        <v>CENTRO DE CONVIVENCIA DO IDOSO</v>
      </c>
      <c r="N101" s="55">
        <f ca="1">IFERROR(__xludf.DUMMYFUNCTION("""COMPUTED_VALUE"""),221465)</f>
        <v>221465</v>
      </c>
      <c r="O101" s="55" t="str">
        <f ca="1">IFERROR(__xludf.DUMMYFUNCTION("""COMPUTED_VALUE"""),"TURISMO, HOSPITALIDADE E LAZER")</f>
        <v>TURISMO, HOSPITALIDADE E LAZER</v>
      </c>
      <c r="P101" s="55" t="str">
        <f ca="1">IFERROR(__xludf.DUMMYFUNCTION("""COMPUTED_VALUE"""),"AGENTE DE INFORMAÇOES TURISTICAS")</f>
        <v>AGENTE DE INFORMAÇOES TURISTICAS</v>
      </c>
      <c r="Q101" s="55" t="str">
        <f ca="1">IFERROR(__xludf.DUMMYFUNCTION("""COMPUTED_VALUE"""),"FIC")</f>
        <v>FIC</v>
      </c>
      <c r="R101" s="55">
        <f ca="1">IFERROR(__xludf.DUMMYFUNCTION("""COMPUTED_VALUE"""),200)</f>
        <v>200</v>
      </c>
      <c r="S101" s="55" t="str">
        <f ca="1">IFERROR(__xludf.DUMMYFUNCTION("""COMPUTED_VALUE"""),"MANHA")</f>
        <v>MANHA</v>
      </c>
      <c r="T101" s="57">
        <f ca="1">IFERROR(__xludf.DUMMYFUNCTION("""COMPUTED_VALUE"""),45691)</f>
        <v>45691</v>
      </c>
      <c r="U101" s="57">
        <f ca="1">IFERROR(__xludf.DUMMYFUNCTION("""COMPUTED_VALUE"""),45853)</f>
        <v>45853</v>
      </c>
      <c r="V101" s="55"/>
      <c r="W101" s="55"/>
      <c r="X101" s="55"/>
      <c r="Y101" s="55" t="str">
        <f ca="1">IFERROR(__xludf.DUMMYFUNCTION("""COMPUTED_VALUE"""),"EM OFERTA")</f>
        <v>EM OFERTA</v>
      </c>
      <c r="Z101" s="55"/>
      <c r="AA101" s="55"/>
      <c r="AB101" s="55"/>
      <c r="AC101" s="55"/>
      <c r="AD101" s="55"/>
      <c r="AE101" s="55"/>
      <c r="AF101" s="55"/>
      <c r="AG101" s="55"/>
      <c r="AH101" s="55" t="str">
        <f ca="1">IFERROR(__xludf.DUMMYFUNCTION("""COMPUTED_VALUE"""),"-")</f>
        <v>-</v>
      </c>
      <c r="AI101" s="55" t="str">
        <f ca="1">IFERROR(__xludf.DUMMYFUNCTION("""COMPUTED_VALUE"""),"EVERSON CARLOS DA SILVA")</f>
        <v>EVERSON CARLOS DA SILVA</v>
      </c>
      <c r="AJ101" s="55" t="str">
        <f ca="1">IFERROR(__xludf.DUMMYFUNCTION("""COMPUTED_VALUE"""),"-")</f>
        <v>-</v>
      </c>
      <c r="AK101" s="55" t="str">
        <f ca="1">IFERROR(__xludf.DUMMYFUNCTION("""COMPUTED_VALUE"""),"-")</f>
        <v>-</v>
      </c>
      <c r="AL101" s="55" t="str">
        <f ca="1">IFERROR(__xludf.DUMMYFUNCTION("""COMPUTED_VALUE"""),"FABIANA GUEDES DA SILVA")</f>
        <v>FABIANA GUEDES DA SILVA</v>
      </c>
      <c r="AM101" s="55">
        <f ca="1">IFERROR(__xludf.DUMMYFUNCTION("""COMPUTED_VALUE"""),2025)</f>
        <v>2025</v>
      </c>
      <c r="AN101" s="55"/>
    </row>
    <row r="102" spans="1:40" ht="14" x14ac:dyDescent="0.35">
      <c r="A102" s="55" t="str">
        <f t="shared" ca="1" si="0"/>
        <v xml:space="preserve"> RIO TINTO/ESCOLA CIDADA INTEGRAL TECNICA ESTADUAL PROFESSOR LUIZ GONZAGA BURITY/BALCONISTA DE FARMACIA/NOITE</v>
      </c>
      <c r="B102" s="55" t="str">
        <f ca="1">IFERROR(__xludf.DUMMYFUNCTION("""COMPUTED_VALUE"""),"00000001465")</f>
        <v>00000001465</v>
      </c>
      <c r="C102" s="55" t="str">
        <f ca="1">IFERROR(__xludf.DUMMYFUNCTION("""COMPUTED_VALUE"""),"T-BALCONISTA DE FARMACIA/00000001465")</f>
        <v>T-BALCONISTA DE FARMACIA/00000001465</v>
      </c>
      <c r="D102" s="56" t="str">
        <f ca="1">IFERROR(__xludf.DUMMYFUNCTION("""COMPUTED_VALUE"""),"https://docs.google.com/spreadsheets/d/1J-j8xwyhI6WSV7uKjPxsC5FNAdSHfkcBfioFtVB1mM0/edit?usp=drivesdk")</f>
        <v>https://docs.google.com/spreadsheets/d/1J-j8xwyhI6WSV7uKjPxsC5FNAdSHfkcBfioFtVB1mM0/edit?usp=drivesdk</v>
      </c>
      <c r="E102" s="55" t="str">
        <f ca="1">IFERROR(__xludf.DUMMYFUNCTION("""COMPUTED_VALUE"""),"17 - PARAIBATEC FIC")</f>
        <v>17 - PARAIBATEC FIC</v>
      </c>
      <c r="F102" s="55" t="str">
        <f ca="1">IFERROR(__xludf.DUMMYFUNCTION("""COMPUTED_VALUE"""),"PARAIBATEC FIC")</f>
        <v>PARAIBATEC FIC</v>
      </c>
      <c r="G102" s="55" t="str">
        <f ca="1">IFERROR(__xludf.DUMMYFUNCTION("""COMPUTED_VALUE"""),"01 - PARAIBATEC")</f>
        <v>01 - PARAIBATEC</v>
      </c>
      <c r="H102" s="55" t="str">
        <f ca="1">IFERROR(__xludf.DUMMYFUNCTION("""COMPUTED_VALUE"""),"PARAIBATEC")</f>
        <v>PARAIBATEC</v>
      </c>
      <c r="I102" s="55" t="str">
        <f ca="1">IFERROR(__xludf.DUMMYFUNCTION("""COMPUTED_VALUE"""),"548 - ESCOLA CIDADA INTEGRAL TECNICA ESTADUAL PROFESSOR LUIZ GONZAGA BURITY")</f>
        <v>548 - ESCOLA CIDADA INTEGRAL TECNICA ESTADUAL PROFESSOR LUIZ GONZAGA BURITY</v>
      </c>
      <c r="J102" s="55" t="str">
        <f ca="1">IFERROR(__xludf.DUMMYFUNCTION("""COMPUTED_VALUE""")," RIO TINTO")</f>
        <v xml:space="preserve"> RIO TINTO</v>
      </c>
      <c r="K102" s="55"/>
      <c r="L102" s="55"/>
      <c r="M102" s="55" t="str">
        <f ca="1">IFERROR(__xludf.DUMMYFUNCTION("""COMPUTED_VALUE"""),"ESCOLA CIDADA INTEGRAL TECNICA ESTADUAL PROFESSOR LUIZ GONZAGA BURITY")</f>
        <v>ESCOLA CIDADA INTEGRAL TECNICA ESTADUAL PROFESSOR LUIZ GONZAGA BURITY</v>
      </c>
      <c r="N102" s="55">
        <f ca="1">IFERROR(__xludf.DUMMYFUNCTION("""COMPUTED_VALUE"""),221541)</f>
        <v>221541</v>
      </c>
      <c r="O102" s="55" t="str">
        <f ca="1">IFERROR(__xludf.DUMMYFUNCTION("""COMPUTED_VALUE"""),"AMBIENTE E SAUDE")</f>
        <v>AMBIENTE E SAUDE</v>
      </c>
      <c r="P102" s="55" t="str">
        <f ca="1">IFERROR(__xludf.DUMMYFUNCTION("""COMPUTED_VALUE"""),"BALCONISTA DE FARMACIA")</f>
        <v>BALCONISTA DE FARMACIA</v>
      </c>
      <c r="Q102" s="55" t="str">
        <f ca="1">IFERROR(__xludf.DUMMYFUNCTION("""COMPUTED_VALUE"""),"FIC")</f>
        <v>FIC</v>
      </c>
      <c r="R102" s="55">
        <f ca="1">IFERROR(__xludf.DUMMYFUNCTION("""COMPUTED_VALUE"""),240)</f>
        <v>240</v>
      </c>
      <c r="S102" s="55" t="str">
        <f ca="1">IFERROR(__xludf.DUMMYFUNCTION("""COMPUTED_VALUE"""),"NOITE")</f>
        <v>NOITE</v>
      </c>
      <c r="T102" s="57">
        <f ca="1">IFERROR(__xludf.DUMMYFUNCTION("""COMPUTED_VALUE"""),45691)</f>
        <v>45691</v>
      </c>
      <c r="U102" s="57">
        <f ca="1">IFERROR(__xludf.DUMMYFUNCTION("""COMPUTED_VALUE"""),45882)</f>
        <v>45882</v>
      </c>
      <c r="V102" s="55"/>
      <c r="W102" s="55"/>
      <c r="X102" s="55"/>
      <c r="Y102" s="55" t="str">
        <f ca="1">IFERROR(__xludf.DUMMYFUNCTION("""COMPUTED_VALUE"""),"EM OFERTA")</f>
        <v>EM OFERTA</v>
      </c>
      <c r="Z102" s="55"/>
      <c r="AA102" s="55"/>
      <c r="AB102" s="55"/>
      <c r="AC102" s="55"/>
      <c r="AD102" s="55"/>
      <c r="AE102" s="55"/>
      <c r="AF102" s="55"/>
      <c r="AG102" s="55"/>
      <c r="AH102" s="55" t="str">
        <f ca="1">IFERROR(__xludf.DUMMYFUNCTION("""COMPUTED_VALUE"""),"-")</f>
        <v>-</v>
      </c>
      <c r="AI102" s="55" t="str">
        <f ca="1">IFERROR(__xludf.DUMMYFUNCTION("""COMPUTED_VALUE"""),"ADRIANA SANTOS DE LIMA")</f>
        <v>ADRIANA SANTOS DE LIMA</v>
      </c>
      <c r="AJ102" s="55" t="str">
        <f ca="1">IFERROR(__xludf.DUMMYFUNCTION("""COMPUTED_VALUE"""),"-")</f>
        <v>-</v>
      </c>
      <c r="AK102" s="55" t="str">
        <f ca="1">IFERROR(__xludf.DUMMYFUNCTION("""COMPUTED_VALUE"""),"-")</f>
        <v>-</v>
      </c>
      <c r="AL102" s="55" t="str">
        <f ca="1">IFERROR(__xludf.DUMMYFUNCTION("""COMPUTED_VALUE"""),"EDUARDA NOEMIA CAXIAS DO REGO")</f>
        <v>EDUARDA NOEMIA CAXIAS DO REGO</v>
      </c>
      <c r="AM102" s="55">
        <f ca="1">IFERROR(__xludf.DUMMYFUNCTION("""COMPUTED_VALUE"""),2025)</f>
        <v>2025</v>
      </c>
      <c r="AN102" s="55"/>
    </row>
    <row r="103" spans="1:40" ht="14" x14ac:dyDescent="0.35">
      <c r="A103" s="55" t="str">
        <f t="shared" ca="1" si="0"/>
        <v xml:space="preserve"> RIO TINTO/ESCOLA CIDADA INTEGRAL TECNICA ESTADUAL PROFESSOR LUIZ GONZAGA BURITY/CUIDADOR INFANTIL/NOITE</v>
      </c>
      <c r="B103" s="55" t="str">
        <f ca="1">IFERROR(__xludf.DUMMYFUNCTION("""COMPUTED_VALUE"""),"00000001466")</f>
        <v>00000001466</v>
      </c>
      <c r="C103" s="55" t="str">
        <f ca="1">IFERROR(__xludf.DUMMYFUNCTION("""COMPUTED_VALUE"""),"T-CUIDADOR INFANTIL/00000001466")</f>
        <v>T-CUIDADOR INFANTIL/00000001466</v>
      </c>
      <c r="D103" s="56" t="str">
        <f ca="1">IFERROR(__xludf.DUMMYFUNCTION("""COMPUTED_VALUE"""),"https://docs.google.com/spreadsheets/d/1uHnY1njpbn501rqwV9QxTO1ToBk1i7T1V24rECxaVz4/edit?usp=drivesdk")</f>
        <v>https://docs.google.com/spreadsheets/d/1uHnY1njpbn501rqwV9QxTO1ToBk1i7T1V24rECxaVz4/edit?usp=drivesdk</v>
      </c>
      <c r="E103" s="55" t="str">
        <f ca="1">IFERROR(__xludf.DUMMYFUNCTION("""COMPUTED_VALUE"""),"17 - PARAIBATEC FIC")</f>
        <v>17 - PARAIBATEC FIC</v>
      </c>
      <c r="F103" s="55" t="str">
        <f ca="1">IFERROR(__xludf.DUMMYFUNCTION("""COMPUTED_VALUE"""),"PARAIBATEC FIC")</f>
        <v>PARAIBATEC FIC</v>
      </c>
      <c r="G103" s="55" t="str">
        <f ca="1">IFERROR(__xludf.DUMMYFUNCTION("""COMPUTED_VALUE"""),"01 - PARAIBATEC")</f>
        <v>01 - PARAIBATEC</v>
      </c>
      <c r="H103" s="55" t="str">
        <f ca="1">IFERROR(__xludf.DUMMYFUNCTION("""COMPUTED_VALUE"""),"PARAIBATEC")</f>
        <v>PARAIBATEC</v>
      </c>
      <c r="I103" s="55" t="str">
        <f ca="1">IFERROR(__xludf.DUMMYFUNCTION("""COMPUTED_VALUE"""),"548 - ESCOLA CIDADA INTEGRAL TECNICA ESTADUAL PROFESSOR LUIZ GONZAGA BURITY")</f>
        <v>548 - ESCOLA CIDADA INTEGRAL TECNICA ESTADUAL PROFESSOR LUIZ GONZAGA BURITY</v>
      </c>
      <c r="J103" s="55" t="str">
        <f ca="1">IFERROR(__xludf.DUMMYFUNCTION("""COMPUTED_VALUE""")," RIO TINTO")</f>
        <v xml:space="preserve"> RIO TINTO</v>
      </c>
      <c r="K103" s="55"/>
      <c r="L103" s="55"/>
      <c r="M103" s="55" t="str">
        <f ca="1">IFERROR(__xludf.DUMMYFUNCTION("""COMPUTED_VALUE"""),"ESCOLA CIDADA INTEGRAL TECNICA ESTADUAL PROFESSOR LUIZ GONZAGA BURITY")</f>
        <v>ESCOLA CIDADA INTEGRAL TECNICA ESTADUAL PROFESSOR LUIZ GONZAGA BURITY</v>
      </c>
      <c r="N103" s="55">
        <f ca="1">IFERROR(__xludf.DUMMYFUNCTION("""COMPUTED_VALUE"""),221538)</f>
        <v>221538</v>
      </c>
      <c r="O103" s="55" t="str">
        <f ca="1">IFERROR(__xludf.DUMMYFUNCTION("""COMPUTED_VALUE"""),"AMBIENTE E SAUDE")</f>
        <v>AMBIENTE E SAUDE</v>
      </c>
      <c r="P103" s="55" t="str">
        <f ca="1">IFERROR(__xludf.DUMMYFUNCTION("""COMPUTED_VALUE"""),"CUIDADOR INFANTIL")</f>
        <v>CUIDADOR INFANTIL</v>
      </c>
      <c r="Q103" s="55" t="str">
        <f ca="1">IFERROR(__xludf.DUMMYFUNCTION("""COMPUTED_VALUE"""),"FIC")</f>
        <v>FIC</v>
      </c>
      <c r="R103" s="55">
        <f ca="1">IFERROR(__xludf.DUMMYFUNCTION("""COMPUTED_VALUE"""),160)</f>
        <v>160</v>
      </c>
      <c r="S103" s="55" t="str">
        <f ca="1">IFERROR(__xludf.DUMMYFUNCTION("""COMPUTED_VALUE"""),"NOITE")</f>
        <v>NOITE</v>
      </c>
      <c r="T103" s="57">
        <f ca="1">IFERROR(__xludf.DUMMYFUNCTION("""COMPUTED_VALUE"""),45691)</f>
        <v>45691</v>
      </c>
      <c r="U103" s="57">
        <f ca="1">IFERROR(__xludf.DUMMYFUNCTION("""COMPUTED_VALUE"""),45824)</f>
        <v>45824</v>
      </c>
      <c r="V103" s="55"/>
      <c r="W103" s="55"/>
      <c r="X103" s="55"/>
      <c r="Y103" s="55" t="str">
        <f ca="1">IFERROR(__xludf.DUMMYFUNCTION("""COMPUTED_VALUE"""),"EM OFERTA")</f>
        <v>EM OFERTA</v>
      </c>
      <c r="Z103" s="55"/>
      <c r="AA103" s="55"/>
      <c r="AB103" s="55"/>
      <c r="AC103" s="55"/>
      <c r="AD103" s="55"/>
      <c r="AE103" s="55"/>
      <c r="AF103" s="55"/>
      <c r="AG103" s="55"/>
      <c r="AH103" s="55" t="str">
        <f ca="1">IFERROR(__xludf.DUMMYFUNCTION("""COMPUTED_VALUE"""),"-")</f>
        <v>-</v>
      </c>
      <c r="AI103" s="55" t="str">
        <f ca="1">IFERROR(__xludf.DUMMYFUNCTION("""COMPUTED_VALUE"""),"ADRIANA SANTOS DE LIMA")</f>
        <v>ADRIANA SANTOS DE LIMA</v>
      </c>
      <c r="AJ103" s="55" t="str">
        <f ca="1">IFERROR(__xludf.DUMMYFUNCTION("""COMPUTED_VALUE"""),"-")</f>
        <v>-</v>
      </c>
      <c r="AK103" s="55" t="str">
        <f ca="1">IFERROR(__xludf.DUMMYFUNCTION("""COMPUTED_VALUE"""),"-")</f>
        <v>-</v>
      </c>
      <c r="AL103" s="55" t="str">
        <f ca="1">IFERROR(__xludf.DUMMYFUNCTION("""COMPUTED_VALUE"""),"ALAINE NASCIMENTO DE LEIROS")</f>
        <v>ALAINE NASCIMENTO DE LEIROS</v>
      </c>
      <c r="AM103" s="55">
        <f ca="1">IFERROR(__xludf.DUMMYFUNCTION("""COMPUTED_VALUE"""),2025)</f>
        <v>2025</v>
      </c>
      <c r="AN103" s="55"/>
    </row>
    <row r="104" spans="1:40" ht="14" x14ac:dyDescent="0.35">
      <c r="A104" s="55" t="str">
        <f t="shared" ca="1" si="0"/>
        <v xml:space="preserve"> SANTA CRUZ/CENTRO DE REFERENCIA DE ASSISTENCIA SOCIAL/ASSISTENTE ADMINISTRATIVO/NOITE</v>
      </c>
      <c r="B104" s="55" t="str">
        <f ca="1">IFERROR(__xludf.DUMMYFUNCTION("""COMPUTED_VALUE"""),"00000001467")</f>
        <v>00000001467</v>
      </c>
      <c r="C104" s="55" t="str">
        <f ca="1">IFERROR(__xludf.DUMMYFUNCTION("""COMPUTED_VALUE"""),"T-ASSISTENTE ADMINISTRATIVO/00000001467")</f>
        <v>T-ASSISTENTE ADMINISTRATIVO/00000001467</v>
      </c>
      <c r="D104" s="56" t="str">
        <f ca="1">IFERROR(__xludf.DUMMYFUNCTION("""COMPUTED_VALUE"""),"https://docs.google.com/spreadsheets/d/1ZutDNqy0w88tkblK2SOADvKRPOUKsfRAlfXJRswfzzc/edit?usp=drivesdk")</f>
        <v>https://docs.google.com/spreadsheets/d/1ZutDNqy0w88tkblK2SOADvKRPOUKsfRAlfXJRswfzzc/edit?usp=drivesdk</v>
      </c>
      <c r="E104" s="55" t="str">
        <f ca="1">IFERROR(__xludf.DUMMYFUNCTION("""COMPUTED_VALUE"""),"17 - PARAIBATEC FIC")</f>
        <v>17 - PARAIBATEC FIC</v>
      </c>
      <c r="F104" s="55" t="str">
        <f ca="1">IFERROR(__xludf.DUMMYFUNCTION("""COMPUTED_VALUE"""),"PARAIBATEC FIC")</f>
        <v>PARAIBATEC FIC</v>
      </c>
      <c r="G104" s="55" t="str">
        <f ca="1">IFERROR(__xludf.DUMMYFUNCTION("""COMPUTED_VALUE"""),"01 - PARAIBATEC")</f>
        <v>01 - PARAIBATEC</v>
      </c>
      <c r="H104" s="55" t="str">
        <f ca="1">IFERROR(__xludf.DUMMYFUNCTION("""COMPUTED_VALUE"""),"PARAIBATEC")</f>
        <v>PARAIBATEC</v>
      </c>
      <c r="I104" s="55" t="str">
        <f ca="1">IFERROR(__xludf.DUMMYFUNCTION("""COMPUTED_VALUE"""),"549 - CENTRO DE REFERENCIA DE ASSISTENCIA SOCIAL")</f>
        <v>549 - CENTRO DE REFERENCIA DE ASSISTENCIA SOCIAL</v>
      </c>
      <c r="J104" s="55" t="str">
        <f ca="1">IFERROR(__xludf.DUMMYFUNCTION("""COMPUTED_VALUE""")," SANTA CRUZ")</f>
        <v xml:space="preserve"> SANTA CRUZ</v>
      </c>
      <c r="K104" s="55"/>
      <c r="L104" s="55"/>
      <c r="M104" s="55" t="str">
        <f ca="1">IFERROR(__xludf.DUMMYFUNCTION("""COMPUTED_VALUE"""),"CENTRO DE REFERENCIA DE ASSISTENCIA SOCIAL")</f>
        <v>CENTRO DE REFERENCIA DE ASSISTENCIA SOCIAL</v>
      </c>
      <c r="N104" s="55">
        <f ca="1">IFERROR(__xludf.DUMMYFUNCTION("""COMPUTED_VALUE"""),221012)</f>
        <v>221012</v>
      </c>
      <c r="O104" s="55" t="str">
        <f ca="1">IFERROR(__xludf.DUMMYFUNCTION("""COMPUTED_VALUE"""),"GESTAO E NEGOCIOS")</f>
        <v>GESTAO E NEGOCIOS</v>
      </c>
      <c r="P104" s="55" t="str">
        <f ca="1">IFERROR(__xludf.DUMMYFUNCTION("""COMPUTED_VALUE"""),"ASSISTENTE ADMINISTRATIVO")</f>
        <v>ASSISTENTE ADMINISTRATIVO</v>
      </c>
      <c r="Q104" s="55" t="str">
        <f ca="1">IFERROR(__xludf.DUMMYFUNCTION("""COMPUTED_VALUE"""),"FIC")</f>
        <v>FIC</v>
      </c>
      <c r="R104" s="55">
        <f ca="1">IFERROR(__xludf.DUMMYFUNCTION("""COMPUTED_VALUE"""),160)</f>
        <v>160</v>
      </c>
      <c r="S104" s="55" t="str">
        <f ca="1">IFERROR(__xludf.DUMMYFUNCTION("""COMPUTED_VALUE"""),"NOITE")</f>
        <v>NOITE</v>
      </c>
      <c r="T104" s="57">
        <f ca="1">IFERROR(__xludf.DUMMYFUNCTION("""COMPUTED_VALUE"""),45691)</f>
        <v>45691</v>
      </c>
      <c r="U104" s="57">
        <f ca="1">IFERROR(__xludf.DUMMYFUNCTION("""COMPUTED_VALUE"""),45770)</f>
        <v>45770</v>
      </c>
      <c r="V104" s="55"/>
      <c r="W104" s="55"/>
      <c r="X104" s="55"/>
      <c r="Y104" s="55" t="str">
        <f ca="1">IFERROR(__xludf.DUMMYFUNCTION("""COMPUTED_VALUE"""),"EM OFERTA")</f>
        <v>EM OFERTA</v>
      </c>
      <c r="Z104" s="55"/>
      <c r="AA104" s="55"/>
      <c r="AB104" s="55"/>
      <c r="AC104" s="55"/>
      <c r="AD104" s="55"/>
      <c r="AE104" s="55"/>
      <c r="AF104" s="55"/>
      <c r="AG104" s="55"/>
      <c r="AH104" s="55" t="str">
        <f ca="1">IFERROR(__xludf.DUMMYFUNCTION("""COMPUTED_VALUE"""),"-")</f>
        <v>-</v>
      </c>
      <c r="AI104" s="55" t="str">
        <f ca="1">IFERROR(__xludf.DUMMYFUNCTION("""COMPUTED_VALUE"""),"FELIPHE SANTOS LEITE")</f>
        <v>FELIPHE SANTOS LEITE</v>
      </c>
      <c r="AJ104" s="55" t="str">
        <f ca="1">IFERROR(__xludf.DUMMYFUNCTION("""COMPUTED_VALUE"""),"-")</f>
        <v>-</v>
      </c>
      <c r="AK104" s="55" t="str">
        <f ca="1">IFERROR(__xludf.DUMMYFUNCTION("""COMPUTED_VALUE"""),"-")</f>
        <v>-</v>
      </c>
      <c r="AL104" s="55" t="str">
        <f ca="1">IFERROR(__xludf.DUMMYFUNCTION("""COMPUTED_VALUE"""),"ANTONIONE PONTES ABRANTES")</f>
        <v>ANTONIONE PONTES ABRANTES</v>
      </c>
      <c r="AM104" s="55">
        <f ca="1">IFERROR(__xludf.DUMMYFUNCTION("""COMPUTED_VALUE"""),2025)</f>
        <v>2025</v>
      </c>
      <c r="AN104" s="55"/>
    </row>
    <row r="105" spans="1:40" ht="14" x14ac:dyDescent="0.35">
      <c r="A105" s="55" t="str">
        <f t="shared" ca="1" si="0"/>
        <v xml:space="preserve"> SANTA CRUZ/CENTRO DE REFERENCIA DE ASSISTENCIA SOCIAL/BALCONISTA DE FARMACIA/NOITE</v>
      </c>
      <c r="B105" s="55" t="str">
        <f ca="1">IFERROR(__xludf.DUMMYFUNCTION("""COMPUTED_VALUE"""),"00000001468")</f>
        <v>00000001468</v>
      </c>
      <c r="C105" s="55" t="str">
        <f ca="1">IFERROR(__xludf.DUMMYFUNCTION("""COMPUTED_VALUE"""),"T-BALCONISTA DE FARMACIA/00000001468")</f>
        <v>T-BALCONISTA DE FARMACIA/00000001468</v>
      </c>
      <c r="D105" s="56" t="str">
        <f ca="1">IFERROR(__xludf.DUMMYFUNCTION("""COMPUTED_VALUE"""),"https://docs.google.com/spreadsheets/d/1HGff_BvT_twnwi4uLt333B21GZReVpGGIEUEF5oPITo/edit?usp=drivesdk")</f>
        <v>https://docs.google.com/spreadsheets/d/1HGff_BvT_twnwi4uLt333B21GZReVpGGIEUEF5oPITo/edit?usp=drivesdk</v>
      </c>
      <c r="E105" s="55" t="str">
        <f ca="1">IFERROR(__xludf.DUMMYFUNCTION("""COMPUTED_VALUE"""),"17 - PARAIBATEC FIC")</f>
        <v>17 - PARAIBATEC FIC</v>
      </c>
      <c r="F105" s="55" t="str">
        <f ca="1">IFERROR(__xludf.DUMMYFUNCTION("""COMPUTED_VALUE"""),"PARAIBATEC FIC")</f>
        <v>PARAIBATEC FIC</v>
      </c>
      <c r="G105" s="55" t="str">
        <f ca="1">IFERROR(__xludf.DUMMYFUNCTION("""COMPUTED_VALUE"""),"01 - PARAIBATEC")</f>
        <v>01 - PARAIBATEC</v>
      </c>
      <c r="H105" s="55" t="str">
        <f ca="1">IFERROR(__xludf.DUMMYFUNCTION("""COMPUTED_VALUE"""),"PARAIBATEC")</f>
        <v>PARAIBATEC</v>
      </c>
      <c r="I105" s="55" t="str">
        <f ca="1">IFERROR(__xludf.DUMMYFUNCTION("""COMPUTED_VALUE"""),"549 - CENTRO DE REFERENCIA DE ASSISTENCIA SOCIAL")</f>
        <v>549 - CENTRO DE REFERENCIA DE ASSISTENCIA SOCIAL</v>
      </c>
      <c r="J105" s="55" t="str">
        <f ca="1">IFERROR(__xludf.DUMMYFUNCTION("""COMPUTED_VALUE""")," SANTA CRUZ")</f>
        <v xml:space="preserve"> SANTA CRUZ</v>
      </c>
      <c r="K105" s="55"/>
      <c r="L105" s="55"/>
      <c r="M105" s="55" t="str">
        <f ca="1">IFERROR(__xludf.DUMMYFUNCTION("""COMPUTED_VALUE"""),"CENTRO DE REFERENCIA DE ASSISTENCIA SOCIAL")</f>
        <v>CENTRO DE REFERENCIA DE ASSISTENCIA SOCIAL</v>
      </c>
      <c r="N105" s="55">
        <f ca="1">IFERROR(__xludf.DUMMYFUNCTION("""COMPUTED_VALUE"""),221541)</f>
        <v>221541</v>
      </c>
      <c r="O105" s="55" t="str">
        <f ca="1">IFERROR(__xludf.DUMMYFUNCTION("""COMPUTED_VALUE"""),"AMBIENTE E SAUDE")</f>
        <v>AMBIENTE E SAUDE</v>
      </c>
      <c r="P105" s="55" t="str">
        <f ca="1">IFERROR(__xludf.DUMMYFUNCTION("""COMPUTED_VALUE"""),"BALCONISTA DE FARMACIA")</f>
        <v>BALCONISTA DE FARMACIA</v>
      </c>
      <c r="Q105" s="55" t="str">
        <f ca="1">IFERROR(__xludf.DUMMYFUNCTION("""COMPUTED_VALUE"""),"FIC")</f>
        <v>FIC</v>
      </c>
      <c r="R105" s="55">
        <f ca="1">IFERROR(__xludf.DUMMYFUNCTION("""COMPUTED_VALUE"""),240)</f>
        <v>240</v>
      </c>
      <c r="S105" s="55" t="str">
        <f ca="1">IFERROR(__xludf.DUMMYFUNCTION("""COMPUTED_VALUE"""),"NOITE")</f>
        <v>NOITE</v>
      </c>
      <c r="T105" s="57">
        <f ca="1">IFERROR(__xludf.DUMMYFUNCTION("""COMPUTED_VALUE"""),45691)</f>
        <v>45691</v>
      </c>
      <c r="U105" s="57">
        <f ca="1">IFERROR(__xludf.DUMMYFUNCTION("""COMPUTED_VALUE"""),45811)</f>
        <v>45811</v>
      </c>
      <c r="V105" s="55"/>
      <c r="W105" s="55"/>
      <c r="X105" s="55"/>
      <c r="Y105" s="55" t="str">
        <f ca="1">IFERROR(__xludf.DUMMYFUNCTION("""COMPUTED_VALUE"""),"EM OFERTA")</f>
        <v>EM OFERTA</v>
      </c>
      <c r="Z105" s="55"/>
      <c r="AA105" s="55"/>
      <c r="AB105" s="55"/>
      <c r="AC105" s="55"/>
      <c r="AD105" s="55"/>
      <c r="AE105" s="55"/>
      <c r="AF105" s="55"/>
      <c r="AG105" s="55"/>
      <c r="AH105" s="55" t="str">
        <f ca="1">IFERROR(__xludf.DUMMYFUNCTION("""COMPUTED_VALUE"""),"-")</f>
        <v>-</v>
      </c>
      <c r="AI105" s="55" t="str">
        <f ca="1">IFERROR(__xludf.DUMMYFUNCTION("""COMPUTED_VALUE"""),"FELIPHE SANTOS LEITE")</f>
        <v>FELIPHE SANTOS LEITE</v>
      </c>
      <c r="AJ105" s="55" t="str">
        <f ca="1">IFERROR(__xludf.DUMMYFUNCTION("""COMPUTED_VALUE"""),"-")</f>
        <v>-</v>
      </c>
      <c r="AK105" s="55" t="str">
        <f ca="1">IFERROR(__xludf.DUMMYFUNCTION("""COMPUTED_VALUE"""),"-")</f>
        <v>-</v>
      </c>
      <c r="AL105" s="55" t="str">
        <f ca="1">IFERROR(__xludf.DUMMYFUNCTION("""COMPUTED_VALUE"""),"FRANCISCA WIGMA DE MEDEIROS")</f>
        <v>FRANCISCA WIGMA DE MEDEIROS</v>
      </c>
      <c r="AM105" s="55">
        <f ca="1">IFERROR(__xludf.DUMMYFUNCTION("""COMPUTED_VALUE"""),2025)</f>
        <v>2025</v>
      </c>
      <c r="AN105" s="55"/>
    </row>
    <row r="106" spans="1:40" ht="14" x14ac:dyDescent="0.35">
      <c r="A106" s="55" t="str">
        <f t="shared" ca="1" si="0"/>
        <v xml:space="preserve"> SANTA HELENA/EMEFNNM PADRE JOSE DE ANCHIETA/AGENTE DE DESENVOLVIMENTO SOCIOAMBIENTAL/NOITE</v>
      </c>
      <c r="B106" s="55" t="str">
        <f ca="1">IFERROR(__xludf.DUMMYFUNCTION("""COMPUTED_VALUE"""),"00000001469")</f>
        <v>00000001469</v>
      </c>
      <c r="C106" s="55" t="str">
        <f ca="1">IFERROR(__xludf.DUMMYFUNCTION("""COMPUTED_VALUE"""),"T-AGENTE DE DESENVOLVIMENTO SOCIOAMBIENTAL/00000001469")</f>
        <v>T-AGENTE DE DESENVOLVIMENTO SOCIOAMBIENTAL/00000001469</v>
      </c>
      <c r="D106" s="56" t="str">
        <f ca="1">IFERROR(__xludf.DUMMYFUNCTION("""COMPUTED_VALUE"""),"https://docs.google.com/spreadsheets/d/1AT_gnMXhW0alF5LpI4vUyAw5zLU56Qblo7pmQSi--WU/edit?usp=drivesdk")</f>
        <v>https://docs.google.com/spreadsheets/d/1AT_gnMXhW0alF5LpI4vUyAw5zLU56Qblo7pmQSi--WU/edit?usp=drivesdk</v>
      </c>
      <c r="E106" s="55" t="str">
        <f ca="1">IFERROR(__xludf.DUMMYFUNCTION("""COMPUTED_VALUE"""),"17 - PARAIBATEC FIC")</f>
        <v>17 - PARAIBATEC FIC</v>
      </c>
      <c r="F106" s="55" t="str">
        <f ca="1">IFERROR(__xludf.DUMMYFUNCTION("""COMPUTED_VALUE"""),"PARAIBATEC FIC")</f>
        <v>PARAIBATEC FIC</v>
      </c>
      <c r="G106" s="55" t="str">
        <f ca="1">IFERROR(__xludf.DUMMYFUNCTION("""COMPUTED_VALUE"""),"01 - PARAIBATEC")</f>
        <v>01 - PARAIBATEC</v>
      </c>
      <c r="H106" s="55" t="str">
        <f ca="1">IFERROR(__xludf.DUMMYFUNCTION("""COMPUTED_VALUE"""),"PARAIBATEC")</f>
        <v>PARAIBATEC</v>
      </c>
      <c r="I106" s="55" t="str">
        <f ca="1">IFERROR(__xludf.DUMMYFUNCTION("""COMPUTED_VALUE"""),"550 - EMEFNNM PADRE JOSE DE ANCHIETA")</f>
        <v>550 - EMEFNNM PADRE JOSE DE ANCHIETA</v>
      </c>
      <c r="J106" s="55" t="str">
        <f ca="1">IFERROR(__xludf.DUMMYFUNCTION("""COMPUTED_VALUE""")," SANTA HELENA")</f>
        <v xml:space="preserve"> SANTA HELENA</v>
      </c>
      <c r="K106" s="55"/>
      <c r="L106" s="55"/>
      <c r="M106" s="55" t="str">
        <f ca="1">IFERROR(__xludf.DUMMYFUNCTION("""COMPUTED_VALUE"""),"EMEFNNM PADRE JOSE DE ANCHIETA")</f>
        <v>EMEFNNM PADRE JOSE DE ANCHIETA</v>
      </c>
      <c r="N106" s="55">
        <f ca="1">IFERROR(__xludf.DUMMYFUNCTION("""COMPUTED_VALUE"""),221492)</f>
        <v>221492</v>
      </c>
      <c r="O106" s="55" t="str">
        <f ca="1">IFERROR(__xludf.DUMMYFUNCTION("""COMPUTED_VALUE"""),"AMBIENTE E SAUDE")</f>
        <v>AMBIENTE E SAUDE</v>
      </c>
      <c r="P106" s="55" t="str">
        <f ca="1">IFERROR(__xludf.DUMMYFUNCTION("""COMPUTED_VALUE"""),"AGENTE DE DESENVOLVIMENTO SOCIOAMBIENTAL")</f>
        <v>AGENTE DE DESENVOLVIMENTO SOCIOAMBIENTAL</v>
      </c>
      <c r="Q106" s="55" t="str">
        <f ca="1">IFERROR(__xludf.DUMMYFUNCTION("""COMPUTED_VALUE"""),"FIC")</f>
        <v>FIC</v>
      </c>
      <c r="R106" s="55">
        <f ca="1">IFERROR(__xludf.DUMMYFUNCTION("""COMPUTED_VALUE"""),160)</f>
        <v>160</v>
      </c>
      <c r="S106" s="55" t="str">
        <f ca="1">IFERROR(__xludf.DUMMYFUNCTION("""COMPUTED_VALUE"""),"NOITE")</f>
        <v>NOITE</v>
      </c>
      <c r="T106" s="57">
        <f ca="1">IFERROR(__xludf.DUMMYFUNCTION("""COMPUTED_VALUE"""),45691)</f>
        <v>45691</v>
      </c>
      <c r="U106" s="57">
        <f ca="1">IFERROR(__xludf.DUMMYFUNCTION("""COMPUTED_VALUE"""),45791)</f>
        <v>45791</v>
      </c>
      <c r="V106" s="55"/>
      <c r="W106" s="55"/>
      <c r="X106" s="55"/>
      <c r="Y106" s="55" t="str">
        <f ca="1">IFERROR(__xludf.DUMMYFUNCTION("""COMPUTED_VALUE"""),"EM OFERTA")</f>
        <v>EM OFERTA</v>
      </c>
      <c r="Z106" s="55"/>
      <c r="AA106" s="55"/>
      <c r="AB106" s="55"/>
      <c r="AC106" s="55"/>
      <c r="AD106" s="55"/>
      <c r="AE106" s="55"/>
      <c r="AF106" s="55"/>
      <c r="AG106" s="55"/>
      <c r="AH106" s="55" t="str">
        <f ca="1">IFERROR(__xludf.DUMMYFUNCTION("""COMPUTED_VALUE"""),"-")</f>
        <v>-</v>
      </c>
      <c r="AI106" s="55" t="str">
        <f ca="1">IFERROR(__xludf.DUMMYFUNCTION("""COMPUTED_VALUE"""),"EDVANIA TALLES LIMA CAVALCANTI")</f>
        <v>EDVANIA TALLES LIMA CAVALCANTI</v>
      </c>
      <c r="AJ106" s="55" t="str">
        <f ca="1">IFERROR(__xludf.DUMMYFUNCTION("""COMPUTED_VALUE"""),"-")</f>
        <v>-</v>
      </c>
      <c r="AK106" s="55" t="str">
        <f ca="1">IFERROR(__xludf.DUMMYFUNCTION("""COMPUTED_VALUE"""),"-")</f>
        <v>-</v>
      </c>
      <c r="AL106" s="55" t="str">
        <f ca="1">IFERROR(__xludf.DUMMYFUNCTION("""COMPUTED_VALUE"""),"ACLEBIA ALVES QUARESMA")</f>
        <v>ACLEBIA ALVES QUARESMA</v>
      </c>
      <c r="AM106" s="55">
        <f ca="1">IFERROR(__xludf.DUMMYFUNCTION("""COMPUTED_VALUE"""),2025)</f>
        <v>2025</v>
      </c>
      <c r="AN106" s="55"/>
    </row>
    <row r="107" spans="1:40" ht="14" x14ac:dyDescent="0.35">
      <c r="A107" s="55" t="str">
        <f t="shared" ca="1" si="0"/>
        <v xml:space="preserve"> SANTA LUZIA/ESCOLA MUNICIPAL PEDRO ANISIO/CONFEITEIRO/NOITE</v>
      </c>
      <c r="B107" s="55" t="str">
        <f ca="1">IFERROR(__xludf.DUMMYFUNCTION("""COMPUTED_VALUE"""),"00000001470")</f>
        <v>00000001470</v>
      </c>
      <c r="C107" s="55" t="str">
        <f ca="1">IFERROR(__xludf.DUMMYFUNCTION("""COMPUTED_VALUE"""),"T-CONFEITEIRO/00000001470")</f>
        <v>T-CONFEITEIRO/00000001470</v>
      </c>
      <c r="D107" s="56" t="str">
        <f ca="1">IFERROR(__xludf.DUMMYFUNCTION("""COMPUTED_VALUE"""),"https://docs.google.com/spreadsheets/d/1nANAPEBfv4rKu-Bn8hmJnSWMeP17HhHiCIGkrUK9wfM/edit?usp=drivesdk")</f>
        <v>https://docs.google.com/spreadsheets/d/1nANAPEBfv4rKu-Bn8hmJnSWMeP17HhHiCIGkrUK9wfM/edit?usp=drivesdk</v>
      </c>
      <c r="E107" s="55" t="str">
        <f ca="1">IFERROR(__xludf.DUMMYFUNCTION("""COMPUTED_VALUE"""),"17 - PARAIBATEC FIC")</f>
        <v>17 - PARAIBATEC FIC</v>
      </c>
      <c r="F107" s="55" t="str">
        <f ca="1">IFERROR(__xludf.DUMMYFUNCTION("""COMPUTED_VALUE"""),"PARAIBATEC FIC")</f>
        <v>PARAIBATEC FIC</v>
      </c>
      <c r="G107" s="55" t="str">
        <f ca="1">IFERROR(__xludf.DUMMYFUNCTION("""COMPUTED_VALUE"""),"01 - PARAIBATEC")</f>
        <v>01 - PARAIBATEC</v>
      </c>
      <c r="H107" s="55" t="str">
        <f ca="1">IFERROR(__xludf.DUMMYFUNCTION("""COMPUTED_VALUE"""),"PARAIBATEC")</f>
        <v>PARAIBATEC</v>
      </c>
      <c r="I107" s="55" t="str">
        <f ca="1">IFERROR(__xludf.DUMMYFUNCTION("""COMPUTED_VALUE"""),"551 - ESCOLA MUNICIPAL PEDRO ANISIO")</f>
        <v>551 - ESCOLA MUNICIPAL PEDRO ANISIO</v>
      </c>
      <c r="J107" s="55" t="str">
        <f ca="1">IFERROR(__xludf.DUMMYFUNCTION("""COMPUTED_VALUE""")," SANTA LUZIA")</f>
        <v xml:space="preserve"> SANTA LUZIA</v>
      </c>
      <c r="K107" s="55"/>
      <c r="L107" s="55"/>
      <c r="M107" s="55" t="str">
        <f ca="1">IFERROR(__xludf.DUMMYFUNCTION("""COMPUTED_VALUE"""),"ESCOLA MUNICIPAL PEDRO ANISIO")</f>
        <v>ESCOLA MUNICIPAL PEDRO ANISIO</v>
      </c>
      <c r="N107" s="55">
        <f ca="1">IFERROR(__xludf.DUMMYFUNCTION("""COMPUTED_VALUE"""),221072)</f>
        <v>221072</v>
      </c>
      <c r="O107" s="55" t="str">
        <f ca="1">IFERROR(__xludf.DUMMYFUNCTION("""COMPUTED_VALUE"""),"PRODUÇAO ALIMENTICIA")</f>
        <v>PRODUÇAO ALIMENTICIA</v>
      </c>
      <c r="P107" s="55" t="str">
        <f ca="1">IFERROR(__xludf.DUMMYFUNCTION("""COMPUTED_VALUE"""),"CONFEITEIRO")</f>
        <v>CONFEITEIRO</v>
      </c>
      <c r="Q107" s="55" t="str">
        <f ca="1">IFERROR(__xludf.DUMMYFUNCTION("""COMPUTED_VALUE"""),"FIC")</f>
        <v>FIC</v>
      </c>
      <c r="R107" s="55">
        <f ca="1">IFERROR(__xludf.DUMMYFUNCTION("""COMPUTED_VALUE"""),200)</f>
        <v>200</v>
      </c>
      <c r="S107" s="55" t="str">
        <f ca="1">IFERROR(__xludf.DUMMYFUNCTION("""COMPUTED_VALUE"""),"NOITE")</f>
        <v>NOITE</v>
      </c>
      <c r="T107" s="57">
        <f ca="1">IFERROR(__xludf.DUMMYFUNCTION("""COMPUTED_VALUE"""),45691)</f>
        <v>45691</v>
      </c>
      <c r="U107" s="57">
        <f ca="1">IFERROR(__xludf.DUMMYFUNCTION("""COMPUTED_VALUE"""),45853)</f>
        <v>45853</v>
      </c>
      <c r="V107" s="55"/>
      <c r="W107" s="55"/>
      <c r="X107" s="55"/>
      <c r="Y107" s="55" t="str">
        <f ca="1">IFERROR(__xludf.DUMMYFUNCTION("""COMPUTED_VALUE"""),"EM OFERTA")</f>
        <v>EM OFERTA</v>
      </c>
      <c r="Z107" s="55"/>
      <c r="AA107" s="55"/>
      <c r="AB107" s="55"/>
      <c r="AC107" s="55"/>
      <c r="AD107" s="55"/>
      <c r="AE107" s="55"/>
      <c r="AF107" s="55"/>
      <c r="AG107" s="55"/>
      <c r="AH107" s="55" t="str">
        <f ca="1">IFERROR(__xludf.DUMMYFUNCTION("""COMPUTED_VALUE"""),"-")</f>
        <v>-</v>
      </c>
      <c r="AI107" s="55" t="str">
        <f ca="1">IFERROR(__xludf.DUMMYFUNCTION("""COMPUTED_VALUE"""),"VERONICA ARAUJO DA COSTA")</f>
        <v>VERONICA ARAUJO DA COSTA</v>
      </c>
      <c r="AJ107" s="55" t="str">
        <f ca="1">IFERROR(__xludf.DUMMYFUNCTION("""COMPUTED_VALUE"""),"-")</f>
        <v>-</v>
      </c>
      <c r="AK107" s="55" t="str">
        <f ca="1">IFERROR(__xludf.DUMMYFUNCTION("""COMPUTED_VALUE"""),"-")</f>
        <v>-</v>
      </c>
      <c r="AL107" s="55" t="str">
        <f ca="1">IFERROR(__xludf.DUMMYFUNCTION("""COMPUTED_VALUE"""),"DEUSLANIA DA COSTA SILVA MEDEIROS")</f>
        <v>DEUSLANIA DA COSTA SILVA MEDEIROS</v>
      </c>
      <c r="AM107" s="55">
        <f ca="1">IFERROR(__xludf.DUMMYFUNCTION("""COMPUTED_VALUE"""),2025)</f>
        <v>2025</v>
      </c>
      <c r="AN107" s="55"/>
    </row>
    <row r="108" spans="1:40" ht="14" x14ac:dyDescent="0.35">
      <c r="A108" s="55" t="str">
        <f t="shared" ca="1" si="0"/>
        <v xml:space="preserve"> SANTA RITA/ESCOLA TECNICA DE SANTA RITA/BALCONISTA DE FARMACIA/TARDE</v>
      </c>
      <c r="B108" s="55" t="str">
        <f ca="1">IFERROR(__xludf.DUMMYFUNCTION("""COMPUTED_VALUE"""),"00000001471")</f>
        <v>00000001471</v>
      </c>
      <c r="C108" s="55" t="str">
        <f ca="1">IFERROR(__xludf.DUMMYFUNCTION("""COMPUTED_VALUE"""),"T-BALCONISTA DE FARMACIA/00000001471")</f>
        <v>T-BALCONISTA DE FARMACIA/00000001471</v>
      </c>
      <c r="D108" s="56" t="str">
        <f ca="1">IFERROR(__xludf.DUMMYFUNCTION("""COMPUTED_VALUE"""),"https://docs.google.com/spreadsheets/d/16hc3YkRQmt2aWL4NW_dDufZ10b9eQ3KLutgJkRZFZas/edit?usp=drivesdk")</f>
        <v>https://docs.google.com/spreadsheets/d/16hc3YkRQmt2aWL4NW_dDufZ10b9eQ3KLutgJkRZFZas/edit?usp=drivesdk</v>
      </c>
      <c r="E108" s="55" t="str">
        <f ca="1">IFERROR(__xludf.DUMMYFUNCTION("""COMPUTED_VALUE"""),"17 - PARAIBATEC FIC")</f>
        <v>17 - PARAIBATEC FIC</v>
      </c>
      <c r="F108" s="55" t="str">
        <f ca="1">IFERROR(__xludf.DUMMYFUNCTION("""COMPUTED_VALUE"""),"PARAIBATEC FIC")</f>
        <v>PARAIBATEC FIC</v>
      </c>
      <c r="G108" s="55" t="str">
        <f ca="1">IFERROR(__xludf.DUMMYFUNCTION("""COMPUTED_VALUE"""),"01 - PARAIBATEC")</f>
        <v>01 - PARAIBATEC</v>
      </c>
      <c r="H108" s="55" t="str">
        <f ca="1">IFERROR(__xludf.DUMMYFUNCTION("""COMPUTED_VALUE"""),"PARAIBATEC")</f>
        <v>PARAIBATEC</v>
      </c>
      <c r="I108" s="55" t="str">
        <f ca="1">IFERROR(__xludf.DUMMYFUNCTION("""COMPUTED_VALUE"""),"552 - ESCOLA TECNICA DE SANTA RITA")</f>
        <v>552 - ESCOLA TECNICA DE SANTA RITA</v>
      </c>
      <c r="J108" s="55" t="str">
        <f ca="1">IFERROR(__xludf.DUMMYFUNCTION("""COMPUTED_VALUE""")," SANTA RITA")</f>
        <v xml:space="preserve"> SANTA RITA</v>
      </c>
      <c r="K108" s="55"/>
      <c r="L108" s="55"/>
      <c r="M108" s="55" t="str">
        <f ca="1">IFERROR(__xludf.DUMMYFUNCTION("""COMPUTED_VALUE"""),"ESCOLA TECNICA DE SANTA RITA")</f>
        <v>ESCOLA TECNICA DE SANTA RITA</v>
      </c>
      <c r="N108" s="55">
        <f ca="1">IFERROR(__xludf.DUMMYFUNCTION("""COMPUTED_VALUE"""),221541)</f>
        <v>221541</v>
      </c>
      <c r="O108" s="55" t="str">
        <f ca="1">IFERROR(__xludf.DUMMYFUNCTION("""COMPUTED_VALUE"""),"AMBIENTE E SAUDE")</f>
        <v>AMBIENTE E SAUDE</v>
      </c>
      <c r="P108" s="55" t="str">
        <f ca="1">IFERROR(__xludf.DUMMYFUNCTION("""COMPUTED_VALUE"""),"BALCONISTA DE FARMACIA")</f>
        <v>BALCONISTA DE FARMACIA</v>
      </c>
      <c r="Q108" s="55" t="str">
        <f ca="1">IFERROR(__xludf.DUMMYFUNCTION("""COMPUTED_VALUE"""),"FIC")</f>
        <v>FIC</v>
      </c>
      <c r="R108" s="55">
        <f ca="1">IFERROR(__xludf.DUMMYFUNCTION("""COMPUTED_VALUE"""),240)</f>
        <v>240</v>
      </c>
      <c r="S108" s="55" t="str">
        <f ca="1">IFERROR(__xludf.DUMMYFUNCTION("""COMPUTED_VALUE"""),"TARDE")</f>
        <v>TARDE</v>
      </c>
      <c r="T108" s="57">
        <f ca="1">IFERROR(__xludf.DUMMYFUNCTION("""COMPUTED_VALUE"""),45691)</f>
        <v>45691</v>
      </c>
      <c r="U108" s="57">
        <f ca="1">IFERROR(__xludf.DUMMYFUNCTION("""COMPUTED_VALUE"""),45882)</f>
        <v>45882</v>
      </c>
      <c r="V108" s="55"/>
      <c r="W108" s="55"/>
      <c r="X108" s="55"/>
      <c r="Y108" s="55" t="str">
        <f ca="1">IFERROR(__xludf.DUMMYFUNCTION("""COMPUTED_VALUE"""),"EM OFERTA")</f>
        <v>EM OFERTA</v>
      </c>
      <c r="Z108" s="55"/>
      <c r="AA108" s="55"/>
      <c r="AB108" s="55"/>
      <c r="AC108" s="55"/>
      <c r="AD108" s="55"/>
      <c r="AE108" s="55"/>
      <c r="AF108" s="55"/>
      <c r="AG108" s="55"/>
      <c r="AH108" s="55" t="str">
        <f ca="1">IFERROR(__xludf.DUMMYFUNCTION("""COMPUTED_VALUE"""),"-")</f>
        <v>-</v>
      </c>
      <c r="AI108" s="55" t="str">
        <f ca="1">IFERROR(__xludf.DUMMYFUNCTION("""COMPUTED_VALUE"""),"VANESSA DOS SANTOS SILVA")</f>
        <v>VANESSA DOS SANTOS SILVA</v>
      </c>
      <c r="AJ108" s="55" t="str">
        <f ca="1">IFERROR(__xludf.DUMMYFUNCTION("""COMPUTED_VALUE"""),"-")</f>
        <v>-</v>
      </c>
      <c r="AK108" s="55" t="str">
        <f ca="1">IFERROR(__xludf.DUMMYFUNCTION("""COMPUTED_VALUE"""),"-")</f>
        <v>-</v>
      </c>
      <c r="AL108" s="55" t="str">
        <f ca="1">IFERROR(__xludf.DUMMYFUNCTION("""COMPUTED_VALUE"""),"JORDYEL VIEIRA DA SILVA")</f>
        <v>JORDYEL VIEIRA DA SILVA</v>
      </c>
      <c r="AM108" s="55">
        <f ca="1">IFERROR(__xludf.DUMMYFUNCTION("""COMPUTED_VALUE"""),2025)</f>
        <v>2025</v>
      </c>
      <c r="AN108" s="55"/>
    </row>
    <row r="109" spans="1:40" ht="14" x14ac:dyDescent="0.35">
      <c r="A109" s="55" t="str">
        <f t="shared" ca="1" si="0"/>
        <v xml:space="preserve"> SANTA RITA/ESCOLA TECNICA DE SANTA RITA/PROGRAMADOR DE SISTEMAS/MANHA</v>
      </c>
      <c r="B109" s="55" t="str">
        <f ca="1">IFERROR(__xludf.DUMMYFUNCTION("""COMPUTED_VALUE"""),"00000001472")</f>
        <v>00000001472</v>
      </c>
      <c r="C109" s="55" t="str">
        <f ca="1">IFERROR(__xludf.DUMMYFUNCTION("""COMPUTED_VALUE"""),"T-PROGRAMADOR DE SISTEMAS/00000001472")</f>
        <v>T-PROGRAMADOR DE SISTEMAS/00000001472</v>
      </c>
      <c r="D109" s="56" t="str">
        <f ca="1">IFERROR(__xludf.DUMMYFUNCTION("""COMPUTED_VALUE"""),"https://docs.google.com/spreadsheets/d/1MJ1OuW7Ut3mR35uS4YXdw6T43m1Mw1Py0udQPnBH82I/edit?usp=drivesdk")</f>
        <v>https://docs.google.com/spreadsheets/d/1MJ1OuW7Ut3mR35uS4YXdw6T43m1Mw1Py0udQPnBH82I/edit?usp=drivesdk</v>
      </c>
      <c r="E109" s="55" t="str">
        <f ca="1">IFERROR(__xludf.DUMMYFUNCTION("""COMPUTED_VALUE"""),"17 - PARAIBATEC FIC")</f>
        <v>17 - PARAIBATEC FIC</v>
      </c>
      <c r="F109" s="55" t="str">
        <f ca="1">IFERROR(__xludf.DUMMYFUNCTION("""COMPUTED_VALUE"""),"PARAIBATEC FIC")</f>
        <v>PARAIBATEC FIC</v>
      </c>
      <c r="G109" s="55" t="str">
        <f ca="1">IFERROR(__xludf.DUMMYFUNCTION("""COMPUTED_VALUE"""),"01 - PARAIBATEC")</f>
        <v>01 - PARAIBATEC</v>
      </c>
      <c r="H109" s="55" t="str">
        <f ca="1">IFERROR(__xludf.DUMMYFUNCTION("""COMPUTED_VALUE"""),"PARAIBATEC")</f>
        <v>PARAIBATEC</v>
      </c>
      <c r="I109" s="55" t="str">
        <f ca="1">IFERROR(__xludf.DUMMYFUNCTION("""COMPUTED_VALUE"""),"552 - ESCOLA TECNICA DE SANTA RITA")</f>
        <v>552 - ESCOLA TECNICA DE SANTA RITA</v>
      </c>
      <c r="J109" s="55" t="str">
        <f ca="1">IFERROR(__xludf.DUMMYFUNCTION("""COMPUTED_VALUE""")," SANTA RITA")</f>
        <v xml:space="preserve"> SANTA RITA</v>
      </c>
      <c r="K109" s="55"/>
      <c r="L109" s="55"/>
      <c r="M109" s="55" t="str">
        <f ca="1">IFERROR(__xludf.DUMMYFUNCTION("""COMPUTED_VALUE"""),"ESCOLA TECNICA DE SANTA RITA")</f>
        <v>ESCOLA TECNICA DE SANTA RITA</v>
      </c>
      <c r="N109" s="55">
        <f ca="1">IFERROR(__xludf.DUMMYFUNCTION("""COMPUTED_VALUE"""),221019)</f>
        <v>221019</v>
      </c>
      <c r="O109" s="55" t="str">
        <f ca="1">IFERROR(__xludf.DUMMYFUNCTION("""COMPUTED_VALUE"""),"INFORMAÇAO E COMUNICAÇAO")</f>
        <v>INFORMAÇAO E COMUNICAÇAO</v>
      </c>
      <c r="P109" s="55" t="str">
        <f ca="1">IFERROR(__xludf.DUMMYFUNCTION("""COMPUTED_VALUE"""),"PROGRAMADOR DE SISTEMAS")</f>
        <v>PROGRAMADOR DE SISTEMAS</v>
      </c>
      <c r="Q109" s="55" t="str">
        <f ca="1">IFERROR(__xludf.DUMMYFUNCTION("""COMPUTED_VALUE"""),"FIC")</f>
        <v>FIC</v>
      </c>
      <c r="R109" s="55">
        <f ca="1">IFERROR(__xludf.DUMMYFUNCTION("""COMPUTED_VALUE"""),200)</f>
        <v>200</v>
      </c>
      <c r="S109" s="55" t="str">
        <f ca="1">IFERROR(__xludf.DUMMYFUNCTION("""COMPUTED_VALUE"""),"MANHA")</f>
        <v>MANHA</v>
      </c>
      <c r="T109" s="57">
        <f ca="1">IFERROR(__xludf.DUMMYFUNCTION("""COMPUTED_VALUE"""),45691)</f>
        <v>45691</v>
      </c>
      <c r="U109" s="57">
        <f ca="1">IFERROR(__xludf.DUMMYFUNCTION("""COMPUTED_VALUE"""),45853)</f>
        <v>45853</v>
      </c>
      <c r="V109" s="55"/>
      <c r="W109" s="55"/>
      <c r="X109" s="55"/>
      <c r="Y109" s="55" t="str">
        <f ca="1">IFERROR(__xludf.DUMMYFUNCTION("""COMPUTED_VALUE"""),"EM OFERTA")</f>
        <v>EM OFERTA</v>
      </c>
      <c r="Z109" s="55"/>
      <c r="AA109" s="55"/>
      <c r="AB109" s="55"/>
      <c r="AC109" s="55"/>
      <c r="AD109" s="55"/>
      <c r="AE109" s="55"/>
      <c r="AF109" s="55"/>
      <c r="AG109" s="55"/>
      <c r="AH109" s="55" t="str">
        <f ca="1">IFERROR(__xludf.DUMMYFUNCTION("""COMPUTED_VALUE"""),"-")</f>
        <v>-</v>
      </c>
      <c r="AI109" s="55" t="str">
        <f ca="1">IFERROR(__xludf.DUMMYFUNCTION("""COMPUTED_VALUE"""),"ALINE BASTOS OLIVEIRA SOUZA")</f>
        <v>ALINE BASTOS OLIVEIRA SOUZA</v>
      </c>
      <c r="AJ109" s="55" t="str">
        <f ca="1">IFERROR(__xludf.DUMMYFUNCTION("""COMPUTED_VALUE"""),"-")</f>
        <v>-</v>
      </c>
      <c r="AK109" s="55" t="str">
        <f ca="1">IFERROR(__xludf.DUMMYFUNCTION("""COMPUTED_VALUE"""),"-")</f>
        <v>-</v>
      </c>
      <c r="AL109" s="55" t="str">
        <f ca="1">IFERROR(__xludf.DUMMYFUNCTION("""COMPUTED_VALUE"""),"HALISON DOS SANTOS SALES")</f>
        <v>HALISON DOS SANTOS SALES</v>
      </c>
      <c r="AM109" s="55">
        <f ca="1">IFERROR(__xludf.DUMMYFUNCTION("""COMPUTED_VALUE"""),2025)</f>
        <v>2025</v>
      </c>
      <c r="AN109" s="55"/>
    </row>
    <row r="110" spans="1:40" ht="14" x14ac:dyDescent="0.35">
      <c r="A110" s="55" t="str">
        <f t="shared" ca="1" si="0"/>
        <v xml:space="preserve"> SANTA RITA/ESCOLA TECNICA DE SANTA RITA/PROGRAMADOR WEB/NOITE</v>
      </c>
      <c r="B110" s="55" t="str">
        <f ca="1">IFERROR(__xludf.DUMMYFUNCTION("""COMPUTED_VALUE"""),"00000001473")</f>
        <v>00000001473</v>
      </c>
      <c r="C110" s="55" t="str">
        <f ca="1">IFERROR(__xludf.DUMMYFUNCTION("""COMPUTED_VALUE"""),"T-PROGRAMADOR WEB/00000001473")</f>
        <v>T-PROGRAMADOR WEB/00000001473</v>
      </c>
      <c r="D110" s="56" t="str">
        <f ca="1">IFERROR(__xludf.DUMMYFUNCTION("""COMPUTED_VALUE"""),"https://docs.google.com/spreadsheets/d/1TjsUyap-u2UCfkiJXiGNH8plXGRd6Pl-r-vv2M6ju3A/edit?usp=drivesdk")</f>
        <v>https://docs.google.com/spreadsheets/d/1TjsUyap-u2UCfkiJXiGNH8plXGRd6Pl-r-vv2M6ju3A/edit?usp=drivesdk</v>
      </c>
      <c r="E110" s="55" t="str">
        <f ca="1">IFERROR(__xludf.DUMMYFUNCTION("""COMPUTED_VALUE"""),"17 - PARAIBATEC FIC")</f>
        <v>17 - PARAIBATEC FIC</v>
      </c>
      <c r="F110" s="55" t="str">
        <f ca="1">IFERROR(__xludf.DUMMYFUNCTION("""COMPUTED_VALUE"""),"PARAIBATEC FIC")</f>
        <v>PARAIBATEC FIC</v>
      </c>
      <c r="G110" s="55" t="str">
        <f ca="1">IFERROR(__xludf.DUMMYFUNCTION("""COMPUTED_VALUE"""),"01 - PARAIBATEC")</f>
        <v>01 - PARAIBATEC</v>
      </c>
      <c r="H110" s="55" t="str">
        <f ca="1">IFERROR(__xludf.DUMMYFUNCTION("""COMPUTED_VALUE"""),"PARAIBATEC")</f>
        <v>PARAIBATEC</v>
      </c>
      <c r="I110" s="55" t="str">
        <f ca="1">IFERROR(__xludf.DUMMYFUNCTION("""COMPUTED_VALUE"""),"552 - ESCOLA TECNICA DE SANTA RITA")</f>
        <v>552 - ESCOLA TECNICA DE SANTA RITA</v>
      </c>
      <c r="J110" s="55" t="str">
        <f ca="1">IFERROR(__xludf.DUMMYFUNCTION("""COMPUTED_VALUE""")," SANTA RITA")</f>
        <v xml:space="preserve"> SANTA RITA</v>
      </c>
      <c r="K110" s="55"/>
      <c r="L110" s="55"/>
      <c r="M110" s="55" t="str">
        <f ca="1">IFERROR(__xludf.DUMMYFUNCTION("""COMPUTED_VALUE"""),"ESCOLA TECNICA DE SANTA RITA")</f>
        <v>ESCOLA TECNICA DE SANTA RITA</v>
      </c>
      <c r="N110" s="55">
        <f ca="1">IFERROR(__xludf.DUMMYFUNCTION("""COMPUTED_VALUE"""),221018)</f>
        <v>221018</v>
      </c>
      <c r="O110" s="55" t="str">
        <f ca="1">IFERROR(__xludf.DUMMYFUNCTION("""COMPUTED_VALUE"""),"INFORMAÇAO E COMUNICAÇAO")</f>
        <v>INFORMAÇAO E COMUNICAÇAO</v>
      </c>
      <c r="P110" s="55" t="str">
        <f ca="1">IFERROR(__xludf.DUMMYFUNCTION("""COMPUTED_VALUE"""),"PROGRAMADOR WEB")</f>
        <v>PROGRAMADOR WEB</v>
      </c>
      <c r="Q110" s="55" t="str">
        <f ca="1">IFERROR(__xludf.DUMMYFUNCTION("""COMPUTED_VALUE"""),"FIC")</f>
        <v>FIC</v>
      </c>
      <c r="R110" s="55">
        <f ca="1">IFERROR(__xludf.DUMMYFUNCTION("""COMPUTED_VALUE"""),200)</f>
        <v>200</v>
      </c>
      <c r="S110" s="55" t="str">
        <f ca="1">IFERROR(__xludf.DUMMYFUNCTION("""COMPUTED_VALUE"""),"NOITE")</f>
        <v>NOITE</v>
      </c>
      <c r="T110" s="57">
        <f ca="1">IFERROR(__xludf.DUMMYFUNCTION("""COMPUTED_VALUE"""),45691)</f>
        <v>45691</v>
      </c>
      <c r="U110" s="57">
        <f ca="1">IFERROR(__xludf.DUMMYFUNCTION("""COMPUTED_VALUE"""),45853)</f>
        <v>45853</v>
      </c>
      <c r="V110" s="55"/>
      <c r="W110" s="55"/>
      <c r="X110" s="55"/>
      <c r="Y110" s="55" t="str">
        <f ca="1">IFERROR(__xludf.DUMMYFUNCTION("""COMPUTED_VALUE"""),"EM OFERTA")</f>
        <v>EM OFERTA</v>
      </c>
      <c r="Z110" s="55"/>
      <c r="AA110" s="55"/>
      <c r="AB110" s="55"/>
      <c r="AC110" s="55"/>
      <c r="AD110" s="55"/>
      <c r="AE110" s="55"/>
      <c r="AF110" s="55"/>
      <c r="AG110" s="55"/>
      <c r="AH110" s="55" t="str">
        <f ca="1">IFERROR(__xludf.DUMMYFUNCTION("""COMPUTED_VALUE"""),"-")</f>
        <v>-</v>
      </c>
      <c r="AI110" s="55" t="str">
        <f ca="1">IFERROR(__xludf.DUMMYFUNCTION("""COMPUTED_VALUE"""),"WILSON BARBOSA DE LACERDA")</f>
        <v>WILSON BARBOSA DE LACERDA</v>
      </c>
      <c r="AJ110" s="55" t="str">
        <f ca="1">IFERROR(__xludf.DUMMYFUNCTION("""COMPUTED_VALUE"""),"-")</f>
        <v>-</v>
      </c>
      <c r="AK110" s="55" t="str">
        <f ca="1">IFERROR(__xludf.DUMMYFUNCTION("""COMPUTED_VALUE"""),"-")</f>
        <v>-</v>
      </c>
      <c r="AL110" s="55" t="str">
        <f ca="1">IFERROR(__xludf.DUMMYFUNCTION("""COMPUTED_VALUE"""),"RAYLLON SOARES PESSOA")</f>
        <v>RAYLLON SOARES PESSOA</v>
      </c>
      <c r="AM110" s="55">
        <f ca="1">IFERROR(__xludf.DUMMYFUNCTION("""COMPUTED_VALUE"""),2025)</f>
        <v>2025</v>
      </c>
      <c r="AN110" s="55"/>
    </row>
    <row r="111" spans="1:40" ht="14" x14ac:dyDescent="0.35">
      <c r="A111" s="55" t="str">
        <f t="shared" ca="1" si="0"/>
        <v xml:space="preserve"> SÃO BENTINHO/CENTRO DE CONVIVENCIA E FORTALECIMENTO DE VINCULOS/CUIDADOR INFANTIL/TARDE</v>
      </c>
      <c r="B111" s="55" t="str">
        <f ca="1">IFERROR(__xludf.DUMMYFUNCTION("""COMPUTED_VALUE"""),"00000001474")</f>
        <v>00000001474</v>
      </c>
      <c r="C111" s="55" t="str">
        <f ca="1">IFERROR(__xludf.DUMMYFUNCTION("""COMPUTED_VALUE"""),"T-CUIDADOR INFANTIL/00000001474")</f>
        <v>T-CUIDADOR INFANTIL/00000001474</v>
      </c>
      <c r="D111" s="56" t="str">
        <f ca="1">IFERROR(__xludf.DUMMYFUNCTION("""COMPUTED_VALUE"""),"https://docs.google.com/spreadsheets/d/1rHW8CmLjEWhSSGOR3UJ-4FFkCa5uHHbZlzPyctNiuac/edit?usp=drivesdk")</f>
        <v>https://docs.google.com/spreadsheets/d/1rHW8CmLjEWhSSGOR3UJ-4FFkCa5uHHbZlzPyctNiuac/edit?usp=drivesdk</v>
      </c>
      <c r="E111" s="55" t="str">
        <f ca="1">IFERROR(__xludf.DUMMYFUNCTION("""COMPUTED_VALUE"""),"17 - PARAIBATEC FIC")</f>
        <v>17 - PARAIBATEC FIC</v>
      </c>
      <c r="F111" s="55" t="str">
        <f ca="1">IFERROR(__xludf.DUMMYFUNCTION("""COMPUTED_VALUE"""),"PARAIBATEC FIC")</f>
        <v>PARAIBATEC FIC</v>
      </c>
      <c r="G111" s="55" t="str">
        <f ca="1">IFERROR(__xludf.DUMMYFUNCTION("""COMPUTED_VALUE"""),"01 - PARAIBATEC")</f>
        <v>01 - PARAIBATEC</v>
      </c>
      <c r="H111" s="55" t="str">
        <f ca="1">IFERROR(__xludf.DUMMYFUNCTION("""COMPUTED_VALUE"""),"PARAIBATEC")</f>
        <v>PARAIBATEC</v>
      </c>
      <c r="I111" s="55" t="str">
        <f ca="1">IFERROR(__xludf.DUMMYFUNCTION("""COMPUTED_VALUE"""),"553 - CENTRO DE CONVIVENCIA E FORTALECIMENTO DE VINCULOS")</f>
        <v>553 - CENTRO DE CONVIVENCIA E FORTALECIMENTO DE VINCULOS</v>
      </c>
      <c r="J111" s="55" t="str">
        <f ca="1">IFERROR(__xludf.DUMMYFUNCTION("""COMPUTED_VALUE""")," SÃO BENTINHO")</f>
        <v xml:space="preserve"> SÃO BENTINHO</v>
      </c>
      <c r="K111" s="55"/>
      <c r="L111" s="55"/>
      <c r="M111" s="55" t="str">
        <f ca="1">IFERROR(__xludf.DUMMYFUNCTION("""COMPUTED_VALUE"""),"CENTRO DE CONVIVENCIA E FORTALECIMENTO DE VINCULOS")</f>
        <v>CENTRO DE CONVIVENCIA E FORTALECIMENTO DE VINCULOS</v>
      </c>
      <c r="N111" s="55">
        <f ca="1">IFERROR(__xludf.DUMMYFUNCTION("""COMPUTED_VALUE"""),221538)</f>
        <v>221538</v>
      </c>
      <c r="O111" s="55" t="str">
        <f ca="1">IFERROR(__xludf.DUMMYFUNCTION("""COMPUTED_VALUE"""),"AMBIENTE E SAUDE")</f>
        <v>AMBIENTE E SAUDE</v>
      </c>
      <c r="P111" s="55" t="str">
        <f ca="1">IFERROR(__xludf.DUMMYFUNCTION("""COMPUTED_VALUE"""),"CUIDADOR INFANTIL")</f>
        <v>CUIDADOR INFANTIL</v>
      </c>
      <c r="Q111" s="55" t="str">
        <f ca="1">IFERROR(__xludf.DUMMYFUNCTION("""COMPUTED_VALUE"""),"FIC")</f>
        <v>FIC</v>
      </c>
      <c r="R111" s="55">
        <f ca="1">IFERROR(__xludf.DUMMYFUNCTION("""COMPUTED_VALUE"""),160)</f>
        <v>160</v>
      </c>
      <c r="S111" s="55" t="str">
        <f ca="1">IFERROR(__xludf.DUMMYFUNCTION("""COMPUTED_VALUE"""),"TARDE")</f>
        <v>TARDE</v>
      </c>
      <c r="T111" s="57">
        <f ca="1">IFERROR(__xludf.DUMMYFUNCTION("""COMPUTED_VALUE"""),45692)</f>
        <v>45692</v>
      </c>
      <c r="U111" s="57">
        <f ca="1">IFERROR(__xludf.DUMMYFUNCTION("""COMPUTED_VALUE"""),45825)</f>
        <v>45825</v>
      </c>
      <c r="V111" s="55"/>
      <c r="W111" s="55"/>
      <c r="X111" s="55"/>
      <c r="Y111" s="55" t="str">
        <f ca="1">IFERROR(__xludf.DUMMYFUNCTION("""COMPUTED_VALUE"""),"EM OFERTA")</f>
        <v>EM OFERTA</v>
      </c>
      <c r="Z111" s="55"/>
      <c r="AA111" s="55"/>
      <c r="AB111" s="55"/>
      <c r="AC111" s="55"/>
      <c r="AD111" s="55"/>
      <c r="AE111" s="55"/>
      <c r="AF111" s="55"/>
      <c r="AG111" s="55"/>
      <c r="AH111" s="55" t="str">
        <f ca="1">IFERROR(__xludf.DUMMYFUNCTION("""COMPUTED_VALUE"""),"-")</f>
        <v>-</v>
      </c>
      <c r="AI111" s="55" t="str">
        <f ca="1">IFERROR(__xludf.DUMMYFUNCTION("""COMPUTED_VALUE"""),"LEILA MARIA MARTINS ARRUDA ROQUE")</f>
        <v>LEILA MARIA MARTINS ARRUDA ROQUE</v>
      </c>
      <c r="AJ111" s="55" t="str">
        <f ca="1">IFERROR(__xludf.DUMMYFUNCTION("""COMPUTED_VALUE"""),"-")</f>
        <v>-</v>
      </c>
      <c r="AK111" s="55" t="str">
        <f ca="1">IFERROR(__xludf.DUMMYFUNCTION("""COMPUTED_VALUE"""),"-")</f>
        <v>-</v>
      </c>
      <c r="AL111" s="55" t="str">
        <f ca="1">IFERROR(__xludf.DUMMYFUNCTION("""COMPUTED_VALUE"""),"MARIA DAUDA MEDEIROS DE QUEIROGA")</f>
        <v>MARIA DAUDA MEDEIROS DE QUEIROGA</v>
      </c>
      <c r="AM111" s="55">
        <f ca="1">IFERROR(__xludf.DUMMYFUNCTION("""COMPUTED_VALUE"""),2025)</f>
        <v>2025</v>
      </c>
      <c r="AN111" s="55"/>
    </row>
    <row r="112" spans="1:40" ht="14" x14ac:dyDescent="0.35">
      <c r="A112" s="55" t="str">
        <f t="shared" ca="1" si="0"/>
        <v xml:space="preserve"> SÃO JOÃO DO CARIRI/ECIT JORNALISTA JOSE LEAL RAMOS/CUIDADOR INFANTIL/NOITE</v>
      </c>
      <c r="B112" s="55" t="str">
        <f ca="1">IFERROR(__xludf.DUMMYFUNCTION("""COMPUTED_VALUE"""),"00000001475")</f>
        <v>00000001475</v>
      </c>
      <c r="C112" s="55" t="str">
        <f ca="1">IFERROR(__xludf.DUMMYFUNCTION("""COMPUTED_VALUE"""),"T-CUIDADOR INFANTIL/00000001475")</f>
        <v>T-CUIDADOR INFANTIL/00000001475</v>
      </c>
      <c r="D112" s="56" t="str">
        <f ca="1">IFERROR(__xludf.DUMMYFUNCTION("""COMPUTED_VALUE"""),"https://docs.google.com/spreadsheets/d/1dRoqt_4utRP89_KWAhpHMSpj_QvHbTxm84ZEsWnbIhs/edit?usp=drivesdk")</f>
        <v>https://docs.google.com/spreadsheets/d/1dRoqt_4utRP89_KWAhpHMSpj_QvHbTxm84ZEsWnbIhs/edit?usp=drivesdk</v>
      </c>
      <c r="E112" s="55" t="str">
        <f ca="1">IFERROR(__xludf.DUMMYFUNCTION("""COMPUTED_VALUE"""),"17 - PARAIBATEC FIC")</f>
        <v>17 - PARAIBATEC FIC</v>
      </c>
      <c r="F112" s="55" t="str">
        <f ca="1">IFERROR(__xludf.DUMMYFUNCTION("""COMPUTED_VALUE"""),"PARAIBATEC FIC")</f>
        <v>PARAIBATEC FIC</v>
      </c>
      <c r="G112" s="55" t="str">
        <f ca="1">IFERROR(__xludf.DUMMYFUNCTION("""COMPUTED_VALUE"""),"01 - PARAIBATEC")</f>
        <v>01 - PARAIBATEC</v>
      </c>
      <c r="H112" s="55" t="str">
        <f ca="1">IFERROR(__xludf.DUMMYFUNCTION("""COMPUTED_VALUE"""),"PARAIBATEC")</f>
        <v>PARAIBATEC</v>
      </c>
      <c r="I112" s="55" t="str">
        <f ca="1">IFERROR(__xludf.DUMMYFUNCTION("""COMPUTED_VALUE"""),"554 - ECIT JORNALISTA JOSE LEAL RAMOS")</f>
        <v>554 - ECIT JORNALISTA JOSE LEAL RAMOS</v>
      </c>
      <c r="J112" s="55" t="str">
        <f ca="1">IFERROR(__xludf.DUMMYFUNCTION("""COMPUTED_VALUE""")," SÃO JOÃO DO CARIRI")</f>
        <v xml:space="preserve"> SÃO JOÃO DO CARIRI</v>
      </c>
      <c r="K112" s="55"/>
      <c r="L112" s="55"/>
      <c r="M112" s="55" t="str">
        <f ca="1">IFERROR(__xludf.DUMMYFUNCTION("""COMPUTED_VALUE"""),"ECIT JORNALISTA JOSE LEAL RAMOS")</f>
        <v>ECIT JORNALISTA JOSE LEAL RAMOS</v>
      </c>
      <c r="N112" s="55">
        <f ca="1">IFERROR(__xludf.DUMMYFUNCTION("""COMPUTED_VALUE"""),221538)</f>
        <v>221538</v>
      </c>
      <c r="O112" s="55" t="str">
        <f ca="1">IFERROR(__xludf.DUMMYFUNCTION("""COMPUTED_VALUE"""),"AMBIENTE E SAUDE")</f>
        <v>AMBIENTE E SAUDE</v>
      </c>
      <c r="P112" s="55" t="str">
        <f ca="1">IFERROR(__xludf.DUMMYFUNCTION("""COMPUTED_VALUE"""),"CUIDADOR INFANTIL")</f>
        <v>CUIDADOR INFANTIL</v>
      </c>
      <c r="Q112" s="55" t="str">
        <f ca="1">IFERROR(__xludf.DUMMYFUNCTION("""COMPUTED_VALUE"""),"FIC")</f>
        <v>FIC</v>
      </c>
      <c r="R112" s="55">
        <f ca="1">IFERROR(__xludf.DUMMYFUNCTION("""COMPUTED_VALUE"""),160)</f>
        <v>160</v>
      </c>
      <c r="S112" s="55" t="str">
        <f ca="1">IFERROR(__xludf.DUMMYFUNCTION("""COMPUTED_VALUE"""),"NOITE")</f>
        <v>NOITE</v>
      </c>
      <c r="T112" s="57">
        <f ca="1">IFERROR(__xludf.DUMMYFUNCTION("""COMPUTED_VALUE"""),45691)</f>
        <v>45691</v>
      </c>
      <c r="U112" s="57">
        <f ca="1">IFERROR(__xludf.DUMMYFUNCTION("""COMPUTED_VALUE"""),45824)</f>
        <v>45824</v>
      </c>
      <c r="V112" s="55"/>
      <c r="W112" s="55"/>
      <c r="X112" s="55"/>
      <c r="Y112" s="55" t="str">
        <f ca="1">IFERROR(__xludf.DUMMYFUNCTION("""COMPUTED_VALUE"""),"EM OFERTA")</f>
        <v>EM OFERTA</v>
      </c>
      <c r="Z112" s="55"/>
      <c r="AA112" s="55"/>
      <c r="AB112" s="55"/>
      <c r="AC112" s="55"/>
      <c r="AD112" s="55"/>
      <c r="AE112" s="55"/>
      <c r="AF112" s="55"/>
      <c r="AG112" s="55"/>
      <c r="AH112" s="55" t="str">
        <f ca="1">IFERROR(__xludf.DUMMYFUNCTION("""COMPUTED_VALUE"""),"-")</f>
        <v>-</v>
      </c>
      <c r="AI112" s="55" t="str">
        <f ca="1">IFERROR(__xludf.DUMMYFUNCTION("""COMPUTED_VALUE"""),"ROBERTA ARAUJO BRANDAO DIAS")</f>
        <v>ROBERTA ARAUJO BRANDAO DIAS</v>
      </c>
      <c r="AJ112" s="55" t="str">
        <f ca="1">IFERROR(__xludf.DUMMYFUNCTION("""COMPUTED_VALUE"""),"-")</f>
        <v>-</v>
      </c>
      <c r="AK112" s="55" t="str">
        <f ca="1">IFERROR(__xludf.DUMMYFUNCTION("""COMPUTED_VALUE"""),"-")</f>
        <v>-</v>
      </c>
      <c r="AL112" s="55" t="str">
        <f ca="1">IFERROR(__xludf.DUMMYFUNCTION("""COMPUTED_VALUE"""),"INACIA ROSELLI DE QUEIROZ FARIAS")</f>
        <v>INACIA ROSELLI DE QUEIROZ FARIAS</v>
      </c>
      <c r="AM112" s="55">
        <f ca="1">IFERROR(__xludf.DUMMYFUNCTION("""COMPUTED_VALUE"""),2025)</f>
        <v>2025</v>
      </c>
      <c r="AN112" s="55"/>
    </row>
    <row r="113" spans="1:40" ht="14" x14ac:dyDescent="0.35">
      <c r="A113" s="55" t="str">
        <f t="shared" ca="1" si="0"/>
        <v xml:space="preserve"> SÃO JOÃO DO CARIRI/ESCOLA NOSSA SENHORA DOS MILAGRES/AUXILIAR PEDAGOGICO/NOITE</v>
      </c>
      <c r="B113" s="55" t="str">
        <f ca="1">IFERROR(__xludf.DUMMYFUNCTION("""COMPUTED_VALUE"""),"00000001476")</f>
        <v>00000001476</v>
      </c>
      <c r="C113" s="55" t="str">
        <f ca="1">IFERROR(__xludf.DUMMYFUNCTION("""COMPUTED_VALUE"""),"T-AUXILIAR PEDAGOGICO/00000001476")</f>
        <v>T-AUXILIAR PEDAGOGICO/00000001476</v>
      </c>
      <c r="D113" s="56" t="str">
        <f ca="1">IFERROR(__xludf.DUMMYFUNCTION("""COMPUTED_VALUE"""),"https://docs.google.com/spreadsheets/d/1sak1bfc94-RluYjYBNX5pTjn9bInMdpBJVUotIcOegg/edit?usp=drivesdk")</f>
        <v>https://docs.google.com/spreadsheets/d/1sak1bfc94-RluYjYBNX5pTjn9bInMdpBJVUotIcOegg/edit?usp=drivesdk</v>
      </c>
      <c r="E113" s="55" t="str">
        <f ca="1">IFERROR(__xludf.DUMMYFUNCTION("""COMPUTED_VALUE"""),"17 - PARAIBATEC FIC")</f>
        <v>17 - PARAIBATEC FIC</v>
      </c>
      <c r="F113" s="55" t="str">
        <f ca="1">IFERROR(__xludf.DUMMYFUNCTION("""COMPUTED_VALUE"""),"PARAIBATEC FIC")</f>
        <v>PARAIBATEC FIC</v>
      </c>
      <c r="G113" s="55" t="str">
        <f ca="1">IFERROR(__xludf.DUMMYFUNCTION("""COMPUTED_VALUE"""),"01 - PARAIBATEC")</f>
        <v>01 - PARAIBATEC</v>
      </c>
      <c r="H113" s="55" t="str">
        <f ca="1">IFERROR(__xludf.DUMMYFUNCTION("""COMPUTED_VALUE"""),"PARAIBATEC")</f>
        <v>PARAIBATEC</v>
      </c>
      <c r="I113" s="55" t="str">
        <f ca="1">IFERROR(__xludf.DUMMYFUNCTION("""COMPUTED_VALUE"""),"555 - ESCOLA NOSSA SENHORA DOS MILAGRES")</f>
        <v>555 - ESCOLA NOSSA SENHORA DOS MILAGRES</v>
      </c>
      <c r="J113" s="55" t="str">
        <f ca="1">IFERROR(__xludf.DUMMYFUNCTION("""COMPUTED_VALUE""")," SÃO JOÃO DO CARIRI")</f>
        <v xml:space="preserve"> SÃO JOÃO DO CARIRI</v>
      </c>
      <c r="K113" s="55"/>
      <c r="L113" s="55"/>
      <c r="M113" s="55" t="str">
        <f ca="1">IFERROR(__xludf.DUMMYFUNCTION("""COMPUTED_VALUE"""),"ESCOLA NOSSA SENHORA DOS MILAGRES")</f>
        <v>ESCOLA NOSSA SENHORA DOS MILAGRES</v>
      </c>
      <c r="N113" s="55">
        <f ca="1">IFERROR(__xludf.DUMMYFUNCTION("""COMPUTED_VALUE"""),273098)</f>
        <v>273098</v>
      </c>
      <c r="O113" s="55" t="str">
        <f ca="1">IFERROR(__xludf.DUMMYFUNCTION("""COMPUTED_VALUE"""),"DESENVOLVIMENTO EDUCACIONAL E SOCIAL")</f>
        <v>DESENVOLVIMENTO EDUCACIONAL E SOCIAL</v>
      </c>
      <c r="P113" s="55" t="str">
        <f ca="1">IFERROR(__xludf.DUMMYFUNCTION("""COMPUTED_VALUE"""),"AUXILIAR PEDAGOGICO")</f>
        <v>AUXILIAR PEDAGOGICO</v>
      </c>
      <c r="Q113" s="55" t="str">
        <f ca="1">IFERROR(__xludf.DUMMYFUNCTION("""COMPUTED_VALUE"""),"FIC")</f>
        <v>FIC</v>
      </c>
      <c r="R113" s="55">
        <f ca="1">IFERROR(__xludf.DUMMYFUNCTION("""COMPUTED_VALUE"""),200)</f>
        <v>200</v>
      </c>
      <c r="S113" s="55" t="str">
        <f ca="1">IFERROR(__xludf.DUMMYFUNCTION("""COMPUTED_VALUE"""),"NOITE")</f>
        <v>NOITE</v>
      </c>
      <c r="T113" s="57">
        <f ca="1">IFERROR(__xludf.DUMMYFUNCTION("""COMPUTED_VALUE"""),45691)</f>
        <v>45691</v>
      </c>
      <c r="U113" s="57">
        <f ca="1">IFERROR(__xludf.DUMMYFUNCTION("""COMPUTED_VALUE"""),45853)</f>
        <v>45853</v>
      </c>
      <c r="V113" s="55"/>
      <c r="W113" s="55"/>
      <c r="X113" s="55"/>
      <c r="Y113" s="55" t="str">
        <f ca="1">IFERROR(__xludf.DUMMYFUNCTION("""COMPUTED_VALUE"""),"EM OFERTA")</f>
        <v>EM OFERTA</v>
      </c>
      <c r="Z113" s="55"/>
      <c r="AA113" s="55"/>
      <c r="AB113" s="55"/>
      <c r="AC113" s="55"/>
      <c r="AD113" s="55"/>
      <c r="AE113" s="55"/>
      <c r="AF113" s="55"/>
      <c r="AG113" s="55"/>
      <c r="AH113" s="55" t="str">
        <f ca="1">IFERROR(__xludf.DUMMYFUNCTION("""COMPUTED_VALUE"""),"-")</f>
        <v>-</v>
      </c>
      <c r="AI113" s="55" t="str">
        <f ca="1">IFERROR(__xludf.DUMMYFUNCTION("""COMPUTED_VALUE"""),"MARIA ALCILENE VITORIA BATISTA AIRES")</f>
        <v>MARIA ALCILENE VITORIA BATISTA AIRES</v>
      </c>
      <c r="AJ113" s="55" t="str">
        <f ca="1">IFERROR(__xludf.DUMMYFUNCTION("""COMPUTED_VALUE"""),"-")</f>
        <v>-</v>
      </c>
      <c r="AK113" s="55" t="str">
        <f ca="1">IFERROR(__xludf.DUMMYFUNCTION("""COMPUTED_VALUE"""),"-")</f>
        <v>-</v>
      </c>
      <c r="AL113" s="55" t="str">
        <f ca="1">IFERROR(__xludf.DUMMYFUNCTION("""COMPUTED_VALUE"""),"GERLANIA DE SOUZA COSTA")</f>
        <v>GERLANIA DE SOUZA COSTA</v>
      </c>
      <c r="AM113" s="55">
        <f ca="1">IFERROR(__xludf.DUMMYFUNCTION("""COMPUTED_VALUE"""),2025)</f>
        <v>2025</v>
      </c>
      <c r="AN113" s="55"/>
    </row>
    <row r="114" spans="1:40" ht="14" x14ac:dyDescent="0.35">
      <c r="A114" s="55" t="str">
        <f t="shared" ca="1" si="0"/>
        <v xml:space="preserve"> SÃO JOSÉ DE CAIANA/CRECHE MUNICIPAL/AUXILIAR DE AGROECOLOGIA/NOITE</v>
      </c>
      <c r="B114" s="55" t="str">
        <f ca="1">IFERROR(__xludf.DUMMYFUNCTION("""COMPUTED_VALUE"""),"00000001477")</f>
        <v>00000001477</v>
      </c>
      <c r="C114" s="55" t="str">
        <f ca="1">IFERROR(__xludf.DUMMYFUNCTION("""COMPUTED_VALUE"""),"T-AUXILIAR DE AGROECOLOGIA/00000001477")</f>
        <v>T-AUXILIAR DE AGROECOLOGIA/00000001477</v>
      </c>
      <c r="D114" s="56" t="str">
        <f ca="1">IFERROR(__xludf.DUMMYFUNCTION("""COMPUTED_VALUE"""),"https://docs.google.com/spreadsheets/d/1KsfzafFGfiIPZxT9zAOcSg5g5J0Q8tq6Pl9hgmwN37c/edit?usp=drivesdk")</f>
        <v>https://docs.google.com/spreadsheets/d/1KsfzafFGfiIPZxT9zAOcSg5g5J0Q8tq6Pl9hgmwN37c/edit?usp=drivesdk</v>
      </c>
      <c r="E114" s="55" t="str">
        <f ca="1">IFERROR(__xludf.DUMMYFUNCTION("""COMPUTED_VALUE"""),"17 - PARAIBATEC FIC")</f>
        <v>17 - PARAIBATEC FIC</v>
      </c>
      <c r="F114" s="55" t="str">
        <f ca="1">IFERROR(__xludf.DUMMYFUNCTION("""COMPUTED_VALUE"""),"PARAIBATEC FIC")</f>
        <v>PARAIBATEC FIC</v>
      </c>
      <c r="G114" s="55" t="str">
        <f ca="1">IFERROR(__xludf.DUMMYFUNCTION("""COMPUTED_VALUE"""),"01 - PARAIBATEC")</f>
        <v>01 - PARAIBATEC</v>
      </c>
      <c r="H114" s="55" t="str">
        <f ca="1">IFERROR(__xludf.DUMMYFUNCTION("""COMPUTED_VALUE"""),"PARAIBATEC")</f>
        <v>PARAIBATEC</v>
      </c>
      <c r="I114" s="55" t="str">
        <f ca="1">IFERROR(__xludf.DUMMYFUNCTION("""COMPUTED_VALUE"""),"482 - CRECHE MUNICIPAL")</f>
        <v>482 - CRECHE MUNICIPAL</v>
      </c>
      <c r="J114" s="55" t="str">
        <f ca="1">IFERROR(__xludf.DUMMYFUNCTION("""COMPUTED_VALUE""")," SÃO JOSÉ DE CAIANA")</f>
        <v xml:space="preserve"> SÃO JOSÉ DE CAIANA</v>
      </c>
      <c r="K114" s="55"/>
      <c r="L114" s="55"/>
      <c r="M114" s="55" t="str">
        <f ca="1">IFERROR(__xludf.DUMMYFUNCTION("""COMPUTED_VALUE"""),"CRECHE MUNICIPAL")</f>
        <v>CRECHE MUNICIPAL</v>
      </c>
      <c r="N114" s="55">
        <f ca="1">IFERROR(__xludf.DUMMYFUNCTION("""COMPUTED_VALUE"""),264121)</f>
        <v>264121</v>
      </c>
      <c r="O114" s="55" t="str">
        <f ca="1">IFERROR(__xludf.DUMMYFUNCTION("""COMPUTED_VALUE"""),"RECURSOS NATURAIS")</f>
        <v>RECURSOS NATURAIS</v>
      </c>
      <c r="P114" s="55" t="str">
        <f ca="1">IFERROR(__xludf.DUMMYFUNCTION("""COMPUTED_VALUE"""),"AUXILIAR DE AGROECOLOGIA")</f>
        <v>AUXILIAR DE AGROECOLOGIA</v>
      </c>
      <c r="Q114" s="55" t="str">
        <f ca="1">IFERROR(__xludf.DUMMYFUNCTION("""COMPUTED_VALUE"""),"FIC")</f>
        <v>FIC</v>
      </c>
      <c r="R114" s="55">
        <f ca="1">IFERROR(__xludf.DUMMYFUNCTION("""COMPUTED_VALUE"""),240)</f>
        <v>240</v>
      </c>
      <c r="S114" s="55" t="str">
        <f ca="1">IFERROR(__xludf.DUMMYFUNCTION("""COMPUTED_VALUE"""),"NOITE")</f>
        <v>NOITE</v>
      </c>
      <c r="T114" s="57">
        <f ca="1">IFERROR(__xludf.DUMMYFUNCTION("""COMPUTED_VALUE"""),45691)</f>
        <v>45691</v>
      </c>
      <c r="U114" s="57">
        <f ca="1">IFERROR(__xludf.DUMMYFUNCTION("""COMPUTED_VALUE"""),45839)</f>
        <v>45839</v>
      </c>
      <c r="V114" s="55"/>
      <c r="W114" s="55"/>
      <c r="X114" s="55"/>
      <c r="Y114" s="55" t="str">
        <f ca="1">IFERROR(__xludf.DUMMYFUNCTION("""COMPUTED_VALUE"""),"EM OFERTA")</f>
        <v>EM OFERTA</v>
      </c>
      <c r="Z114" s="55"/>
      <c r="AA114" s="55"/>
      <c r="AB114" s="55"/>
      <c r="AC114" s="55"/>
      <c r="AD114" s="55"/>
      <c r="AE114" s="55"/>
      <c r="AF114" s="55"/>
      <c r="AG114" s="55"/>
      <c r="AH114" s="55" t="str">
        <f ca="1">IFERROR(__xludf.DUMMYFUNCTION("""COMPUTED_VALUE"""),"-")</f>
        <v>-</v>
      </c>
      <c r="AI114" s="55" t="str">
        <f ca="1">IFERROR(__xludf.DUMMYFUNCTION("""COMPUTED_VALUE"""),"MANOEL DE ARAUJO LIMA JUNIOR")</f>
        <v>MANOEL DE ARAUJO LIMA JUNIOR</v>
      </c>
      <c r="AJ114" s="55" t="str">
        <f ca="1">IFERROR(__xludf.DUMMYFUNCTION("""COMPUTED_VALUE"""),"-")</f>
        <v>-</v>
      </c>
      <c r="AK114" s="55" t="str">
        <f ca="1">IFERROR(__xludf.DUMMYFUNCTION("""COMPUTED_VALUE"""),"-")</f>
        <v>-</v>
      </c>
      <c r="AL114" s="55" t="str">
        <f ca="1">IFERROR(__xludf.DUMMYFUNCTION("""COMPUTED_VALUE"""),"JOSEFA LIMA DE OLIVEIRA FERREIRA")</f>
        <v>JOSEFA LIMA DE OLIVEIRA FERREIRA</v>
      </c>
      <c r="AM114" s="55">
        <f ca="1">IFERROR(__xludf.DUMMYFUNCTION("""COMPUTED_VALUE"""),2025)</f>
        <v>2025</v>
      </c>
      <c r="AN114" s="55"/>
    </row>
    <row r="115" spans="1:40" ht="14" x14ac:dyDescent="0.35">
      <c r="A115" s="55" t="str">
        <f t="shared" ca="1" si="0"/>
        <v xml:space="preserve"> SÃO JOSÉ DE CAIANA/CRECHE MUNICIPAL/PREPARADOR DE DOCES E CONSERVAS/NOITE</v>
      </c>
      <c r="B115" s="55" t="str">
        <f ca="1">IFERROR(__xludf.DUMMYFUNCTION("""COMPUTED_VALUE"""),"00000001478")</f>
        <v>00000001478</v>
      </c>
      <c r="C115" s="55" t="str">
        <f ca="1">IFERROR(__xludf.DUMMYFUNCTION("""COMPUTED_VALUE"""),"T-PREPARADOR DE DOCES E CONSERVAS/00000001478")</f>
        <v>T-PREPARADOR DE DOCES E CONSERVAS/00000001478</v>
      </c>
      <c r="D115" s="56" t="str">
        <f ca="1">IFERROR(__xludf.DUMMYFUNCTION("""COMPUTED_VALUE"""),"https://docs.google.com/spreadsheets/d/1r01IIrjECtdS6yzA3a-mSV_iaAfFdk-fJCT6HSXZ_t4/edit?usp=drivesdk")</f>
        <v>https://docs.google.com/spreadsheets/d/1r01IIrjECtdS6yzA3a-mSV_iaAfFdk-fJCT6HSXZ_t4/edit?usp=drivesdk</v>
      </c>
      <c r="E115" s="55" t="str">
        <f ca="1">IFERROR(__xludf.DUMMYFUNCTION("""COMPUTED_VALUE"""),"17 - PARAIBATEC FIC")</f>
        <v>17 - PARAIBATEC FIC</v>
      </c>
      <c r="F115" s="55" t="str">
        <f ca="1">IFERROR(__xludf.DUMMYFUNCTION("""COMPUTED_VALUE"""),"PARAIBATEC FIC")</f>
        <v>PARAIBATEC FIC</v>
      </c>
      <c r="G115" s="55" t="str">
        <f ca="1">IFERROR(__xludf.DUMMYFUNCTION("""COMPUTED_VALUE"""),"01 - PARAIBATEC")</f>
        <v>01 - PARAIBATEC</v>
      </c>
      <c r="H115" s="55" t="str">
        <f ca="1">IFERROR(__xludf.DUMMYFUNCTION("""COMPUTED_VALUE"""),"PARAIBATEC")</f>
        <v>PARAIBATEC</v>
      </c>
      <c r="I115" s="55" t="str">
        <f ca="1">IFERROR(__xludf.DUMMYFUNCTION("""COMPUTED_VALUE"""),"482 - CRECHE MUNICIPAL")</f>
        <v>482 - CRECHE MUNICIPAL</v>
      </c>
      <c r="J115" s="55" t="str">
        <f ca="1">IFERROR(__xludf.DUMMYFUNCTION("""COMPUTED_VALUE""")," SÃO JOSÉ DE CAIANA")</f>
        <v xml:space="preserve"> SÃO JOSÉ DE CAIANA</v>
      </c>
      <c r="K115" s="55"/>
      <c r="L115" s="55"/>
      <c r="M115" s="55" t="str">
        <f ca="1">IFERROR(__xludf.DUMMYFUNCTION("""COMPUTED_VALUE"""),"CRECHE MUNICIPAL")</f>
        <v>CRECHE MUNICIPAL</v>
      </c>
      <c r="N115" s="55">
        <f ca="1">IFERROR(__xludf.DUMMYFUNCTION("""COMPUTED_VALUE"""),221136)</f>
        <v>221136</v>
      </c>
      <c r="O115" s="55" t="str">
        <f ca="1">IFERROR(__xludf.DUMMYFUNCTION("""COMPUTED_VALUE"""),"PRODUÇAO ALIMENTICIA")</f>
        <v>PRODUÇAO ALIMENTICIA</v>
      </c>
      <c r="P115" s="55" t="str">
        <f ca="1">IFERROR(__xludf.DUMMYFUNCTION("""COMPUTED_VALUE"""),"PREPARADOR DE DOCES E CONSERVAS")</f>
        <v>PREPARADOR DE DOCES E CONSERVAS</v>
      </c>
      <c r="Q115" s="55" t="str">
        <f ca="1">IFERROR(__xludf.DUMMYFUNCTION("""COMPUTED_VALUE"""),"FIC")</f>
        <v>FIC</v>
      </c>
      <c r="R115" s="55">
        <f ca="1">IFERROR(__xludf.DUMMYFUNCTION("""COMPUTED_VALUE"""),200)</f>
        <v>200</v>
      </c>
      <c r="S115" s="55" t="str">
        <f ca="1">IFERROR(__xludf.DUMMYFUNCTION("""COMPUTED_VALUE"""),"NOITE")</f>
        <v>NOITE</v>
      </c>
      <c r="T115" s="57">
        <f ca="1">IFERROR(__xludf.DUMMYFUNCTION("""COMPUTED_VALUE"""),45691)</f>
        <v>45691</v>
      </c>
      <c r="U115" s="57">
        <f ca="1">IFERROR(__xludf.DUMMYFUNCTION("""COMPUTED_VALUE"""),45812)</f>
        <v>45812</v>
      </c>
      <c r="V115" s="55"/>
      <c r="W115" s="55"/>
      <c r="X115" s="55"/>
      <c r="Y115" s="55" t="str">
        <f ca="1">IFERROR(__xludf.DUMMYFUNCTION("""COMPUTED_VALUE"""),"EM OFERTA")</f>
        <v>EM OFERTA</v>
      </c>
      <c r="Z115" s="55"/>
      <c r="AA115" s="55"/>
      <c r="AB115" s="55"/>
      <c r="AC115" s="55"/>
      <c r="AD115" s="55"/>
      <c r="AE115" s="55"/>
      <c r="AF115" s="55"/>
      <c r="AG115" s="55"/>
      <c r="AH115" s="55" t="str">
        <f ca="1">IFERROR(__xludf.DUMMYFUNCTION("""COMPUTED_VALUE"""),"-")</f>
        <v>-</v>
      </c>
      <c r="AI115" s="55" t="str">
        <f ca="1">IFERROR(__xludf.DUMMYFUNCTION("""COMPUTED_VALUE"""),"MANOEL DE ARAUJO LIMA JUNIOR")</f>
        <v>MANOEL DE ARAUJO LIMA JUNIOR</v>
      </c>
      <c r="AJ115" s="55" t="str">
        <f ca="1">IFERROR(__xludf.DUMMYFUNCTION("""COMPUTED_VALUE"""),"-")</f>
        <v>-</v>
      </c>
      <c r="AK115" s="55" t="str">
        <f ca="1">IFERROR(__xludf.DUMMYFUNCTION("""COMPUTED_VALUE"""),"-")</f>
        <v>-</v>
      </c>
      <c r="AL115" s="55" t="str">
        <f ca="1">IFERROR(__xludf.DUMMYFUNCTION("""COMPUTED_VALUE"""),"HORTENCIA BASILIO RODRIGUES VIEIRA FONSECA")</f>
        <v>HORTENCIA BASILIO RODRIGUES VIEIRA FONSECA</v>
      </c>
      <c r="AM115" s="55">
        <f ca="1">IFERROR(__xludf.DUMMYFUNCTION("""COMPUTED_VALUE"""),2025)</f>
        <v>2025</v>
      </c>
      <c r="AN115" s="55"/>
    </row>
    <row r="116" spans="1:40" ht="14" x14ac:dyDescent="0.35">
      <c r="A116" s="55" t="str">
        <f t="shared" ca="1" si="0"/>
        <v xml:space="preserve"> SÃO JOSÉ DE PIRANHAS/ESCOLA CIDADA INTEGRAL TECNICA PREFEITO JOAQUIM LACERDA LEITE/ASSISTENTE ADMINISTRATIVO/NOITE</v>
      </c>
      <c r="B116" s="55" t="str">
        <f ca="1">IFERROR(__xludf.DUMMYFUNCTION("""COMPUTED_VALUE"""),"00000001479")</f>
        <v>00000001479</v>
      </c>
      <c r="C116" s="55" t="str">
        <f ca="1">IFERROR(__xludf.DUMMYFUNCTION("""COMPUTED_VALUE"""),"T-ASSISTENTE ADMINISTRATIVO/00000001479")</f>
        <v>T-ASSISTENTE ADMINISTRATIVO/00000001479</v>
      </c>
      <c r="D116" s="56" t="str">
        <f ca="1">IFERROR(__xludf.DUMMYFUNCTION("""COMPUTED_VALUE"""),"https://docs.google.com/spreadsheets/d/12T-QoPuhWXWYpioPZKzY1oKfOBKhAY0kMTuPc2GHQcI/edit?usp=drivesdk")</f>
        <v>https://docs.google.com/spreadsheets/d/12T-QoPuhWXWYpioPZKzY1oKfOBKhAY0kMTuPc2GHQcI/edit?usp=drivesdk</v>
      </c>
      <c r="E116" s="55" t="str">
        <f ca="1">IFERROR(__xludf.DUMMYFUNCTION("""COMPUTED_VALUE"""),"17 - PARAIBATEC FIC")</f>
        <v>17 - PARAIBATEC FIC</v>
      </c>
      <c r="F116" s="55" t="str">
        <f ca="1">IFERROR(__xludf.DUMMYFUNCTION("""COMPUTED_VALUE"""),"PARAIBATEC FIC")</f>
        <v>PARAIBATEC FIC</v>
      </c>
      <c r="G116" s="55" t="str">
        <f ca="1">IFERROR(__xludf.DUMMYFUNCTION("""COMPUTED_VALUE"""),"01 - PARAIBATEC")</f>
        <v>01 - PARAIBATEC</v>
      </c>
      <c r="H116" s="55" t="str">
        <f ca="1">IFERROR(__xludf.DUMMYFUNCTION("""COMPUTED_VALUE"""),"PARAIBATEC")</f>
        <v>PARAIBATEC</v>
      </c>
      <c r="I116" s="55" t="str">
        <f ca="1">IFERROR(__xludf.DUMMYFUNCTION("""COMPUTED_VALUE"""),"556 - ESCOLA CIDADA INTEGRAL TECNICA PREFEITO JOAQUIM LACERDA LEITE")</f>
        <v>556 - ESCOLA CIDADA INTEGRAL TECNICA PREFEITO JOAQUIM LACERDA LEITE</v>
      </c>
      <c r="J116" s="55" t="str">
        <f ca="1">IFERROR(__xludf.DUMMYFUNCTION("""COMPUTED_VALUE""")," SÃO JOSÉ DE PIRANHAS")</f>
        <v xml:space="preserve"> SÃO JOSÉ DE PIRANHAS</v>
      </c>
      <c r="K116" s="55"/>
      <c r="L116" s="55"/>
      <c r="M116" s="55" t="str">
        <f ca="1">IFERROR(__xludf.DUMMYFUNCTION("""COMPUTED_VALUE"""),"ESCOLA CIDADA INTEGRAL TECNICA PREFEITO JOAQUIM LACERDA LEITE")</f>
        <v>ESCOLA CIDADA INTEGRAL TECNICA PREFEITO JOAQUIM LACERDA LEITE</v>
      </c>
      <c r="N116" s="55">
        <f ca="1">IFERROR(__xludf.DUMMYFUNCTION("""COMPUTED_VALUE"""),221012)</f>
        <v>221012</v>
      </c>
      <c r="O116" s="55" t="str">
        <f ca="1">IFERROR(__xludf.DUMMYFUNCTION("""COMPUTED_VALUE"""),"GESTAO E NEGOCIOS")</f>
        <v>GESTAO E NEGOCIOS</v>
      </c>
      <c r="P116" s="55" t="str">
        <f ca="1">IFERROR(__xludf.DUMMYFUNCTION("""COMPUTED_VALUE"""),"ASSISTENTE ADMINISTRATIVO")</f>
        <v>ASSISTENTE ADMINISTRATIVO</v>
      </c>
      <c r="Q116" s="55" t="str">
        <f ca="1">IFERROR(__xludf.DUMMYFUNCTION("""COMPUTED_VALUE"""),"FIC")</f>
        <v>FIC</v>
      </c>
      <c r="R116" s="55">
        <f ca="1">IFERROR(__xludf.DUMMYFUNCTION("""COMPUTED_VALUE"""),160)</f>
        <v>160</v>
      </c>
      <c r="S116" s="55" t="str">
        <f ca="1">IFERROR(__xludf.DUMMYFUNCTION("""COMPUTED_VALUE"""),"NOITE")</f>
        <v>NOITE</v>
      </c>
      <c r="T116" s="57">
        <f ca="1">IFERROR(__xludf.DUMMYFUNCTION("""COMPUTED_VALUE"""),45692)</f>
        <v>45692</v>
      </c>
      <c r="U116" s="57">
        <f ca="1">IFERROR(__xludf.DUMMYFUNCTION("""COMPUTED_VALUE"""),45825)</f>
        <v>45825</v>
      </c>
      <c r="V116" s="55"/>
      <c r="W116" s="55"/>
      <c r="X116" s="55"/>
      <c r="Y116" s="55" t="str">
        <f ca="1">IFERROR(__xludf.DUMMYFUNCTION("""COMPUTED_VALUE"""),"EM OFERTA")</f>
        <v>EM OFERTA</v>
      </c>
      <c r="Z116" s="55"/>
      <c r="AA116" s="55"/>
      <c r="AB116" s="55"/>
      <c r="AC116" s="55"/>
      <c r="AD116" s="55"/>
      <c r="AE116" s="55"/>
      <c r="AF116" s="55"/>
      <c r="AG116" s="55"/>
      <c r="AH116" s="55" t="str">
        <f ca="1">IFERROR(__xludf.DUMMYFUNCTION("""COMPUTED_VALUE"""),"-")</f>
        <v>-</v>
      </c>
      <c r="AI116" s="55" t="str">
        <f ca="1">IFERROR(__xludf.DUMMYFUNCTION("""COMPUTED_VALUE"""),"JOSE EDMAR LEITE")</f>
        <v>JOSE EDMAR LEITE</v>
      </c>
      <c r="AJ116" s="55" t="str">
        <f ca="1">IFERROR(__xludf.DUMMYFUNCTION("""COMPUTED_VALUE"""),"-")</f>
        <v>-</v>
      </c>
      <c r="AK116" s="55" t="str">
        <f ca="1">IFERROR(__xludf.DUMMYFUNCTION("""COMPUTED_VALUE"""),"-")</f>
        <v>-</v>
      </c>
      <c r="AL116" s="55" t="str">
        <f ca="1">IFERROR(__xludf.DUMMYFUNCTION("""COMPUTED_VALUE"""),"RAYSSA ALMEIDA DA SILVA")</f>
        <v>RAYSSA ALMEIDA DA SILVA</v>
      </c>
      <c r="AM116" s="55">
        <f ca="1">IFERROR(__xludf.DUMMYFUNCTION("""COMPUTED_VALUE"""),2025)</f>
        <v>2025</v>
      </c>
      <c r="AN116" s="55"/>
    </row>
    <row r="117" spans="1:40" ht="14" x14ac:dyDescent="0.35">
      <c r="A117" s="55" t="str">
        <f t="shared" ca="1" si="0"/>
        <v xml:space="preserve"> SÃO JOSÉ DE PIRANHAS/ESCOLA CIDADA INTEGRAL TECNICA PREFEITO JOAQUIM LACERDA LEITE/AUXILIAR PEDAGOGICO/NOITE</v>
      </c>
      <c r="B117" s="55" t="str">
        <f ca="1">IFERROR(__xludf.DUMMYFUNCTION("""COMPUTED_VALUE"""),"00000001480")</f>
        <v>00000001480</v>
      </c>
      <c r="C117" s="55" t="str">
        <f ca="1">IFERROR(__xludf.DUMMYFUNCTION("""COMPUTED_VALUE"""),"T-AUXILIAR PEDAGOGICO/00000001480")</f>
        <v>T-AUXILIAR PEDAGOGICO/00000001480</v>
      </c>
      <c r="D117" s="56" t="str">
        <f ca="1">IFERROR(__xludf.DUMMYFUNCTION("""COMPUTED_VALUE"""),"https://docs.google.com/spreadsheets/d/13qAJrHmcM716rVlct4gKsvOBli23TuLB_qw2h7QfHro/edit?usp=drivesdk")</f>
        <v>https://docs.google.com/spreadsheets/d/13qAJrHmcM716rVlct4gKsvOBli23TuLB_qw2h7QfHro/edit?usp=drivesdk</v>
      </c>
      <c r="E117" s="55" t="str">
        <f ca="1">IFERROR(__xludf.DUMMYFUNCTION("""COMPUTED_VALUE"""),"17 - PARAIBATEC FIC")</f>
        <v>17 - PARAIBATEC FIC</v>
      </c>
      <c r="F117" s="55" t="str">
        <f ca="1">IFERROR(__xludf.DUMMYFUNCTION("""COMPUTED_VALUE"""),"PARAIBATEC FIC")</f>
        <v>PARAIBATEC FIC</v>
      </c>
      <c r="G117" s="55" t="str">
        <f ca="1">IFERROR(__xludf.DUMMYFUNCTION("""COMPUTED_VALUE"""),"01 - PARAIBATEC")</f>
        <v>01 - PARAIBATEC</v>
      </c>
      <c r="H117" s="55" t="str">
        <f ca="1">IFERROR(__xludf.DUMMYFUNCTION("""COMPUTED_VALUE"""),"PARAIBATEC")</f>
        <v>PARAIBATEC</v>
      </c>
      <c r="I117" s="55" t="str">
        <f ca="1">IFERROR(__xludf.DUMMYFUNCTION("""COMPUTED_VALUE"""),"556 - ESCOLA CIDADA INTEGRAL TECNICA PREFEITO JOAQUIM LACERDA LEITE")</f>
        <v>556 - ESCOLA CIDADA INTEGRAL TECNICA PREFEITO JOAQUIM LACERDA LEITE</v>
      </c>
      <c r="J117" s="55" t="str">
        <f ca="1">IFERROR(__xludf.DUMMYFUNCTION("""COMPUTED_VALUE""")," SÃO JOSÉ DE PIRANHAS")</f>
        <v xml:space="preserve"> SÃO JOSÉ DE PIRANHAS</v>
      </c>
      <c r="K117" s="55"/>
      <c r="L117" s="55"/>
      <c r="M117" s="55" t="str">
        <f ca="1">IFERROR(__xludf.DUMMYFUNCTION("""COMPUTED_VALUE"""),"ESCOLA CIDADA INTEGRAL TECNICA PREFEITO JOAQUIM LACERDA LEITE")</f>
        <v>ESCOLA CIDADA INTEGRAL TECNICA PREFEITO JOAQUIM LACERDA LEITE</v>
      </c>
      <c r="N117" s="55">
        <f ca="1">IFERROR(__xludf.DUMMYFUNCTION("""COMPUTED_VALUE"""),273098)</f>
        <v>273098</v>
      </c>
      <c r="O117" s="55" t="str">
        <f ca="1">IFERROR(__xludf.DUMMYFUNCTION("""COMPUTED_VALUE"""),"DESENVOLVIMENTO EDUCACIONAL E SOCIAL")</f>
        <v>DESENVOLVIMENTO EDUCACIONAL E SOCIAL</v>
      </c>
      <c r="P117" s="55" t="str">
        <f ca="1">IFERROR(__xludf.DUMMYFUNCTION("""COMPUTED_VALUE"""),"AUXILIAR PEDAGOGICO")</f>
        <v>AUXILIAR PEDAGOGICO</v>
      </c>
      <c r="Q117" s="55" t="str">
        <f ca="1">IFERROR(__xludf.DUMMYFUNCTION("""COMPUTED_VALUE"""),"FIC")</f>
        <v>FIC</v>
      </c>
      <c r="R117" s="55">
        <f ca="1">IFERROR(__xludf.DUMMYFUNCTION("""COMPUTED_VALUE"""),200)</f>
        <v>200</v>
      </c>
      <c r="S117" s="55" t="str">
        <f ca="1">IFERROR(__xludf.DUMMYFUNCTION("""COMPUTED_VALUE"""),"NOITE")</f>
        <v>NOITE</v>
      </c>
      <c r="T117" s="57">
        <f ca="1">IFERROR(__xludf.DUMMYFUNCTION("""COMPUTED_VALUE"""),45692)</f>
        <v>45692</v>
      </c>
      <c r="U117" s="57">
        <f ca="1">IFERROR(__xludf.DUMMYFUNCTION("""COMPUTED_VALUE"""),45854)</f>
        <v>45854</v>
      </c>
      <c r="V117" s="55"/>
      <c r="W117" s="55"/>
      <c r="X117" s="55"/>
      <c r="Y117" s="55" t="str">
        <f ca="1">IFERROR(__xludf.DUMMYFUNCTION("""COMPUTED_VALUE"""),"EM OFERTA")</f>
        <v>EM OFERTA</v>
      </c>
      <c r="Z117" s="55"/>
      <c r="AA117" s="55"/>
      <c r="AB117" s="55"/>
      <c r="AC117" s="55"/>
      <c r="AD117" s="55"/>
      <c r="AE117" s="55"/>
      <c r="AF117" s="55"/>
      <c r="AG117" s="55"/>
      <c r="AH117" s="55" t="str">
        <f ca="1">IFERROR(__xludf.DUMMYFUNCTION("""COMPUTED_VALUE"""),"-")</f>
        <v>-</v>
      </c>
      <c r="AI117" s="55" t="str">
        <f ca="1">IFERROR(__xludf.DUMMYFUNCTION("""COMPUTED_VALUE"""),"JOSE EDMAR LEITE")</f>
        <v>JOSE EDMAR LEITE</v>
      </c>
      <c r="AJ117" s="55" t="str">
        <f ca="1">IFERROR(__xludf.DUMMYFUNCTION("""COMPUTED_VALUE"""),"-")</f>
        <v>-</v>
      </c>
      <c r="AK117" s="55" t="str">
        <f ca="1">IFERROR(__xludf.DUMMYFUNCTION("""COMPUTED_VALUE"""),"-")</f>
        <v>-</v>
      </c>
      <c r="AL117" s="55" t="str">
        <f ca="1">IFERROR(__xludf.DUMMYFUNCTION("""COMPUTED_VALUE"""),"FELIPE TAVARES DO NASCIMENTO")</f>
        <v>FELIPE TAVARES DO NASCIMENTO</v>
      </c>
      <c r="AM117" s="55">
        <f ca="1">IFERROR(__xludf.DUMMYFUNCTION("""COMPUTED_VALUE"""),2025)</f>
        <v>2025</v>
      </c>
      <c r="AN117" s="55"/>
    </row>
    <row r="118" spans="1:40" ht="14" x14ac:dyDescent="0.35">
      <c r="A118" s="55" t="str">
        <f t="shared" ca="1" si="0"/>
        <v xml:space="preserve"> SÃO MAMEDE/SECRETARIA DA EDUCACAO/OPERADOR DE RETROESCAVADEIRA/MANHA</v>
      </c>
      <c r="B118" s="55" t="str">
        <f ca="1">IFERROR(__xludf.DUMMYFUNCTION("""COMPUTED_VALUE"""),"00000001481")</f>
        <v>00000001481</v>
      </c>
      <c r="C118" s="55" t="str">
        <f ca="1">IFERROR(__xludf.DUMMYFUNCTION("""COMPUTED_VALUE"""),"T-OPERADOR DE RETROESCAVADEIRA/00000001481")</f>
        <v>T-OPERADOR DE RETROESCAVADEIRA/00000001481</v>
      </c>
      <c r="D118" s="56" t="str">
        <f ca="1">IFERROR(__xludf.DUMMYFUNCTION("""COMPUTED_VALUE"""),"https://docs.google.com/spreadsheets/d/1uENfTtZKIn1T1BeGcyniaNJEzx2zR0BG_D1SDQwiUbc/edit?usp=drivesdk")</f>
        <v>https://docs.google.com/spreadsheets/d/1uENfTtZKIn1T1BeGcyniaNJEzx2zR0BG_D1SDQwiUbc/edit?usp=drivesdk</v>
      </c>
      <c r="E118" s="55" t="str">
        <f ca="1">IFERROR(__xludf.DUMMYFUNCTION("""COMPUTED_VALUE"""),"17 - PARAIBATEC FIC")</f>
        <v>17 - PARAIBATEC FIC</v>
      </c>
      <c r="F118" s="55" t="str">
        <f ca="1">IFERROR(__xludf.DUMMYFUNCTION("""COMPUTED_VALUE"""),"PARAIBATEC FIC")</f>
        <v>PARAIBATEC FIC</v>
      </c>
      <c r="G118" s="55" t="str">
        <f ca="1">IFERROR(__xludf.DUMMYFUNCTION("""COMPUTED_VALUE"""),"01 - PARAIBATEC")</f>
        <v>01 - PARAIBATEC</v>
      </c>
      <c r="H118" s="55" t="str">
        <f ca="1">IFERROR(__xludf.DUMMYFUNCTION("""COMPUTED_VALUE"""),"PARAIBATEC")</f>
        <v>PARAIBATEC</v>
      </c>
      <c r="I118" s="55" t="str">
        <f ca="1">IFERROR(__xludf.DUMMYFUNCTION("""COMPUTED_VALUE"""),"557 - SECRETARIA DA EDUCACAO")</f>
        <v>557 - SECRETARIA DA EDUCACAO</v>
      </c>
      <c r="J118" s="55" t="str">
        <f ca="1">IFERROR(__xludf.DUMMYFUNCTION("""COMPUTED_VALUE""")," SÃO MAMEDE")</f>
        <v xml:space="preserve"> SÃO MAMEDE</v>
      </c>
      <c r="K118" s="55"/>
      <c r="L118" s="55"/>
      <c r="M118" s="55" t="str">
        <f ca="1">IFERROR(__xludf.DUMMYFUNCTION("""COMPUTED_VALUE"""),"SECRETARIA DA EDUCACAO")</f>
        <v>SECRETARIA DA EDUCACAO</v>
      </c>
      <c r="N118" s="55">
        <f ca="1">IFERROR(__xludf.DUMMYFUNCTION("""COMPUTED_VALUE"""),221305)</f>
        <v>221305</v>
      </c>
      <c r="O118" s="55" t="str">
        <f ca="1">IFERROR(__xludf.DUMMYFUNCTION("""COMPUTED_VALUE"""),"INFRAESTRUTURA")</f>
        <v>INFRAESTRUTURA</v>
      </c>
      <c r="P118" s="55" t="str">
        <f ca="1">IFERROR(__xludf.DUMMYFUNCTION("""COMPUTED_VALUE"""),"OPERADOR DE RETROESCAVADEIRA")</f>
        <v>OPERADOR DE RETROESCAVADEIRA</v>
      </c>
      <c r="Q118" s="55" t="str">
        <f ca="1">IFERROR(__xludf.DUMMYFUNCTION("""COMPUTED_VALUE"""),"FIC")</f>
        <v>FIC</v>
      </c>
      <c r="R118" s="55">
        <f ca="1">IFERROR(__xludf.DUMMYFUNCTION("""COMPUTED_VALUE"""),160)</f>
        <v>160</v>
      </c>
      <c r="S118" s="55" t="str">
        <f ca="1">IFERROR(__xludf.DUMMYFUNCTION("""COMPUTED_VALUE"""),"MANHA")</f>
        <v>MANHA</v>
      </c>
      <c r="T118" s="57">
        <f ca="1">IFERROR(__xludf.DUMMYFUNCTION("""COMPUTED_VALUE"""),45692)</f>
        <v>45692</v>
      </c>
      <c r="U118" s="57">
        <f ca="1">IFERROR(__xludf.DUMMYFUNCTION("""COMPUTED_VALUE"""),45825)</f>
        <v>45825</v>
      </c>
      <c r="V118" s="55"/>
      <c r="W118" s="55"/>
      <c r="X118" s="55"/>
      <c r="Y118" s="55" t="str">
        <f ca="1">IFERROR(__xludf.DUMMYFUNCTION("""COMPUTED_VALUE"""),"EM OFERTA")</f>
        <v>EM OFERTA</v>
      </c>
      <c r="Z118" s="55"/>
      <c r="AA118" s="55"/>
      <c r="AB118" s="55"/>
      <c r="AC118" s="55"/>
      <c r="AD118" s="55"/>
      <c r="AE118" s="55"/>
      <c r="AF118" s="55"/>
      <c r="AG118" s="55"/>
      <c r="AH118" s="55" t="str">
        <f ca="1">IFERROR(__xludf.DUMMYFUNCTION("""COMPUTED_VALUE"""),"-")</f>
        <v>-</v>
      </c>
      <c r="AI118" s="55" t="str">
        <f ca="1">IFERROR(__xludf.DUMMYFUNCTION("""COMPUTED_VALUE"""),"EGEIZA MOREIRA LEITE")</f>
        <v>EGEIZA MOREIRA LEITE</v>
      </c>
      <c r="AJ118" s="55" t="str">
        <f ca="1">IFERROR(__xludf.DUMMYFUNCTION("""COMPUTED_VALUE"""),"-")</f>
        <v>-</v>
      </c>
      <c r="AK118" s="55" t="str">
        <f ca="1">IFERROR(__xludf.DUMMYFUNCTION("""COMPUTED_VALUE"""),"-")</f>
        <v>-</v>
      </c>
      <c r="AL118" s="55" t="str">
        <f ca="1">IFERROR(__xludf.DUMMYFUNCTION("""COMPUTED_VALUE"""),"DALLISON DE SOUSA PEREIRA")</f>
        <v>DALLISON DE SOUSA PEREIRA</v>
      </c>
      <c r="AM118" s="55">
        <f ca="1">IFERROR(__xludf.DUMMYFUNCTION("""COMPUTED_VALUE"""),2025)</f>
        <v>2025</v>
      </c>
      <c r="AN118" s="55"/>
    </row>
    <row r="119" spans="1:40" ht="14" x14ac:dyDescent="0.35">
      <c r="A119" s="55" t="str">
        <f t="shared" ca="1" si="0"/>
        <v xml:space="preserve"> SÃO SEBASTIÃO DO UMBUZEIRO/ESCOLA PEDRO PEDROSA AMADOR/OPERADOR DE SISTEMAS DE IRRIGAÇAO/MANHA</v>
      </c>
      <c r="B119" s="55" t="str">
        <f ca="1">IFERROR(__xludf.DUMMYFUNCTION("""COMPUTED_VALUE"""),"00000001482")</f>
        <v>00000001482</v>
      </c>
      <c r="C119" s="55" t="str">
        <f ca="1">IFERROR(__xludf.DUMMYFUNCTION("""COMPUTED_VALUE"""),"T-OPERADOR DE SISTEMAS DE IRRIGAÇAO/00000001482")</f>
        <v>T-OPERADOR DE SISTEMAS DE IRRIGAÇAO/00000001482</v>
      </c>
      <c r="D119" s="56" t="str">
        <f ca="1">IFERROR(__xludf.DUMMYFUNCTION("""COMPUTED_VALUE"""),"https://docs.google.com/spreadsheets/d/1Yv1jxWU3neT8DKubQ3DaVpHyDohkK_OwlWIAIO9xLGc/edit?usp=drivesdk")</f>
        <v>https://docs.google.com/spreadsheets/d/1Yv1jxWU3neT8DKubQ3DaVpHyDohkK_OwlWIAIO9xLGc/edit?usp=drivesdk</v>
      </c>
      <c r="E119" s="55" t="str">
        <f ca="1">IFERROR(__xludf.DUMMYFUNCTION("""COMPUTED_VALUE"""),"17 - PARAIBATEC FIC")</f>
        <v>17 - PARAIBATEC FIC</v>
      </c>
      <c r="F119" s="55" t="str">
        <f ca="1">IFERROR(__xludf.DUMMYFUNCTION("""COMPUTED_VALUE"""),"PARAIBATEC FIC")</f>
        <v>PARAIBATEC FIC</v>
      </c>
      <c r="G119" s="55" t="str">
        <f ca="1">IFERROR(__xludf.DUMMYFUNCTION("""COMPUTED_VALUE"""),"01 - PARAIBATEC")</f>
        <v>01 - PARAIBATEC</v>
      </c>
      <c r="H119" s="55" t="str">
        <f ca="1">IFERROR(__xludf.DUMMYFUNCTION("""COMPUTED_VALUE"""),"PARAIBATEC")</f>
        <v>PARAIBATEC</v>
      </c>
      <c r="I119" s="55" t="str">
        <f ca="1">IFERROR(__xludf.DUMMYFUNCTION("""COMPUTED_VALUE"""),"484 - ESCOLA PEDRO PEDROSA AMADOR")</f>
        <v>484 - ESCOLA PEDRO PEDROSA AMADOR</v>
      </c>
      <c r="J119" s="55" t="str">
        <f ca="1">IFERROR(__xludf.DUMMYFUNCTION("""COMPUTED_VALUE""")," SÃO SEBASTIÃO DO UMBUZEIRO")</f>
        <v xml:space="preserve"> SÃO SEBASTIÃO DO UMBUZEIRO</v>
      </c>
      <c r="K119" s="55"/>
      <c r="L119" s="55"/>
      <c r="M119" s="55" t="str">
        <f ca="1">IFERROR(__xludf.DUMMYFUNCTION("""COMPUTED_VALUE"""),"ESCOLA PEDRO PEDROSA AMADOR")</f>
        <v>ESCOLA PEDRO PEDROSA AMADOR</v>
      </c>
      <c r="N119" s="55">
        <f ca="1">IFERROR(__xludf.DUMMYFUNCTION("""COMPUTED_VALUE"""),221142)</f>
        <v>221142</v>
      </c>
      <c r="O119" s="55" t="str">
        <f ca="1">IFERROR(__xludf.DUMMYFUNCTION("""COMPUTED_VALUE"""),"RECURSOS NATURAIS")</f>
        <v>RECURSOS NATURAIS</v>
      </c>
      <c r="P119" s="55" t="str">
        <f ca="1">IFERROR(__xludf.DUMMYFUNCTION("""COMPUTED_VALUE"""),"OPERADOR DE SISTEMAS DE IRRIGAÇAO")</f>
        <v>OPERADOR DE SISTEMAS DE IRRIGAÇAO</v>
      </c>
      <c r="Q119" s="55" t="str">
        <f ca="1">IFERROR(__xludf.DUMMYFUNCTION("""COMPUTED_VALUE"""),"FIC")</f>
        <v>FIC</v>
      </c>
      <c r="R119" s="55">
        <f ca="1">IFERROR(__xludf.DUMMYFUNCTION("""COMPUTED_VALUE"""),160)</f>
        <v>160</v>
      </c>
      <c r="S119" s="55" t="str">
        <f ca="1">IFERROR(__xludf.DUMMYFUNCTION("""COMPUTED_VALUE"""),"MANHA")</f>
        <v>MANHA</v>
      </c>
      <c r="T119" s="57">
        <f ca="1">IFERROR(__xludf.DUMMYFUNCTION("""COMPUTED_VALUE"""),45692)</f>
        <v>45692</v>
      </c>
      <c r="U119" s="57">
        <f ca="1">IFERROR(__xludf.DUMMYFUNCTION("""COMPUTED_VALUE"""),45825)</f>
        <v>45825</v>
      </c>
      <c r="V119" s="55"/>
      <c r="W119" s="55"/>
      <c r="X119" s="55"/>
      <c r="Y119" s="55" t="str">
        <f ca="1">IFERROR(__xludf.DUMMYFUNCTION("""COMPUTED_VALUE"""),"EM OFERTA")</f>
        <v>EM OFERTA</v>
      </c>
      <c r="Z119" s="55"/>
      <c r="AA119" s="55"/>
      <c r="AB119" s="55"/>
      <c r="AC119" s="55"/>
      <c r="AD119" s="55"/>
      <c r="AE119" s="55"/>
      <c r="AF119" s="55"/>
      <c r="AG119" s="55"/>
      <c r="AH119" s="55" t="str">
        <f ca="1">IFERROR(__xludf.DUMMYFUNCTION("""COMPUTED_VALUE"""),"-")</f>
        <v>-</v>
      </c>
      <c r="AI119" s="55" t="str">
        <f ca="1">IFERROR(__xludf.DUMMYFUNCTION("""COMPUTED_VALUE"""),"JULIANA VIDAL GOMES")</f>
        <v>JULIANA VIDAL GOMES</v>
      </c>
      <c r="AJ119" s="55" t="str">
        <f ca="1">IFERROR(__xludf.DUMMYFUNCTION("""COMPUTED_VALUE"""),"-")</f>
        <v>-</v>
      </c>
      <c r="AK119" s="55" t="str">
        <f ca="1">IFERROR(__xludf.DUMMYFUNCTION("""COMPUTED_VALUE"""),"-")</f>
        <v>-</v>
      </c>
      <c r="AL119" s="55" t="str">
        <f ca="1">IFERROR(__xludf.DUMMYFUNCTION("""COMPUTED_VALUE"""),"MIZAEL NABOR VAZ DE MEDEIROS")</f>
        <v>MIZAEL NABOR VAZ DE MEDEIROS</v>
      </c>
      <c r="AM119" s="55">
        <f ca="1">IFERROR(__xludf.DUMMYFUNCTION("""COMPUTED_VALUE"""),2025)</f>
        <v>2025</v>
      </c>
      <c r="AN119" s="55"/>
    </row>
    <row r="120" spans="1:40" ht="14" x14ac:dyDescent="0.35">
      <c r="A120" s="55" t="str">
        <f t="shared" ca="1" si="0"/>
        <v xml:space="preserve"> SERRA BRANCA/E.M.E.I.E.F. CONEGO JOAO MARQUES PEREIRA/AUXILIAR PEDAGOGICO/NOITE</v>
      </c>
      <c r="B120" s="55" t="str">
        <f ca="1">IFERROR(__xludf.DUMMYFUNCTION("""COMPUTED_VALUE"""),"00000001483")</f>
        <v>00000001483</v>
      </c>
      <c r="C120" s="55" t="str">
        <f ca="1">IFERROR(__xludf.DUMMYFUNCTION("""COMPUTED_VALUE"""),"T-AUXILIAR PEDAGOGICO/00000001483")</f>
        <v>T-AUXILIAR PEDAGOGICO/00000001483</v>
      </c>
      <c r="D120" s="56" t="str">
        <f ca="1">IFERROR(__xludf.DUMMYFUNCTION("""COMPUTED_VALUE"""),"https://docs.google.com/spreadsheets/d/1i_7vOdaFxg16_v_nF28gjQuFsJeBeS7cyfuMKWKbcik/edit?usp=drivesdk")</f>
        <v>https://docs.google.com/spreadsheets/d/1i_7vOdaFxg16_v_nF28gjQuFsJeBeS7cyfuMKWKbcik/edit?usp=drivesdk</v>
      </c>
      <c r="E120" s="55" t="str">
        <f ca="1">IFERROR(__xludf.DUMMYFUNCTION("""COMPUTED_VALUE"""),"17 - PARAIBATEC FIC")</f>
        <v>17 - PARAIBATEC FIC</v>
      </c>
      <c r="F120" s="55" t="str">
        <f ca="1">IFERROR(__xludf.DUMMYFUNCTION("""COMPUTED_VALUE"""),"PARAIBATEC FIC")</f>
        <v>PARAIBATEC FIC</v>
      </c>
      <c r="G120" s="55" t="str">
        <f ca="1">IFERROR(__xludf.DUMMYFUNCTION("""COMPUTED_VALUE"""),"01 - PARAIBATEC")</f>
        <v>01 - PARAIBATEC</v>
      </c>
      <c r="H120" s="55" t="str">
        <f ca="1">IFERROR(__xludf.DUMMYFUNCTION("""COMPUTED_VALUE"""),"PARAIBATEC")</f>
        <v>PARAIBATEC</v>
      </c>
      <c r="I120" s="55" t="str">
        <f ca="1">IFERROR(__xludf.DUMMYFUNCTION("""COMPUTED_VALUE"""),"558 - E.M.E.I.E.F. CONEGO JOAO MARQUES PEREIRA")</f>
        <v>558 - E.M.E.I.E.F. CONEGO JOAO MARQUES PEREIRA</v>
      </c>
      <c r="J120" s="55" t="str">
        <f ca="1">IFERROR(__xludf.DUMMYFUNCTION("""COMPUTED_VALUE""")," SERRA BRANCA")</f>
        <v xml:space="preserve"> SERRA BRANCA</v>
      </c>
      <c r="K120" s="55"/>
      <c r="L120" s="55"/>
      <c r="M120" s="55" t="str">
        <f ca="1">IFERROR(__xludf.DUMMYFUNCTION("""COMPUTED_VALUE"""),"E.M.E.I.E.F. CONEGO JOAO MARQUES PEREIRA")</f>
        <v>E.M.E.I.E.F. CONEGO JOAO MARQUES PEREIRA</v>
      </c>
      <c r="N120" s="55">
        <f ca="1">IFERROR(__xludf.DUMMYFUNCTION("""COMPUTED_VALUE"""),273098)</f>
        <v>273098</v>
      </c>
      <c r="O120" s="55" t="str">
        <f ca="1">IFERROR(__xludf.DUMMYFUNCTION("""COMPUTED_VALUE"""),"DESENVOLVIMENTO EDUCACIONAL E SOCIAL")</f>
        <v>DESENVOLVIMENTO EDUCACIONAL E SOCIAL</v>
      </c>
      <c r="P120" s="55" t="str">
        <f ca="1">IFERROR(__xludf.DUMMYFUNCTION("""COMPUTED_VALUE"""),"AUXILIAR PEDAGOGICO")</f>
        <v>AUXILIAR PEDAGOGICO</v>
      </c>
      <c r="Q120" s="55" t="str">
        <f ca="1">IFERROR(__xludf.DUMMYFUNCTION("""COMPUTED_VALUE"""),"FIC")</f>
        <v>FIC</v>
      </c>
      <c r="R120" s="55">
        <f ca="1">IFERROR(__xludf.DUMMYFUNCTION("""COMPUTED_VALUE"""),200)</f>
        <v>200</v>
      </c>
      <c r="S120" s="55" t="str">
        <f ca="1">IFERROR(__xludf.DUMMYFUNCTION("""COMPUTED_VALUE"""),"NOITE")</f>
        <v>NOITE</v>
      </c>
      <c r="T120" s="57">
        <f ca="1">IFERROR(__xludf.DUMMYFUNCTION("""COMPUTED_VALUE"""),45691)</f>
        <v>45691</v>
      </c>
      <c r="U120" s="57">
        <f ca="1">IFERROR(__xludf.DUMMYFUNCTION("""COMPUTED_VALUE"""),45791)</f>
        <v>45791</v>
      </c>
      <c r="V120" s="55"/>
      <c r="W120" s="55"/>
      <c r="X120" s="55"/>
      <c r="Y120" s="55" t="str">
        <f ca="1">IFERROR(__xludf.DUMMYFUNCTION("""COMPUTED_VALUE"""),"EM OFERTA")</f>
        <v>EM OFERTA</v>
      </c>
      <c r="Z120" s="55"/>
      <c r="AA120" s="55"/>
      <c r="AB120" s="55"/>
      <c r="AC120" s="55"/>
      <c r="AD120" s="55"/>
      <c r="AE120" s="55"/>
      <c r="AF120" s="55"/>
      <c r="AG120" s="55"/>
      <c r="AH120" s="55" t="str">
        <f ca="1">IFERROR(__xludf.DUMMYFUNCTION("""COMPUTED_VALUE"""),"-")</f>
        <v>-</v>
      </c>
      <c r="AI120" s="55" t="str">
        <f ca="1">IFERROR(__xludf.DUMMYFUNCTION("""COMPUTED_VALUE"""),"DAVID BENNET SOUZA DA COSTA LEAO")</f>
        <v>DAVID BENNET SOUZA DA COSTA LEAO</v>
      </c>
      <c r="AJ120" s="55" t="str">
        <f ca="1">IFERROR(__xludf.DUMMYFUNCTION("""COMPUTED_VALUE"""),"-")</f>
        <v>-</v>
      </c>
      <c r="AK120" s="55" t="str">
        <f ca="1">IFERROR(__xludf.DUMMYFUNCTION("""COMPUTED_VALUE"""),"-")</f>
        <v>-</v>
      </c>
      <c r="AL120" s="55" t="str">
        <f ca="1">IFERROR(__xludf.DUMMYFUNCTION("""COMPUTED_VALUE"""),"LUCIVALDO FERREIRA DE ARAUJO FELIX")</f>
        <v>LUCIVALDO FERREIRA DE ARAUJO FELIX</v>
      </c>
      <c r="AM120" s="55">
        <f ca="1">IFERROR(__xludf.DUMMYFUNCTION("""COMPUTED_VALUE"""),2025)</f>
        <v>2025</v>
      </c>
      <c r="AN120" s="55"/>
    </row>
    <row r="121" spans="1:40" ht="14" x14ac:dyDescent="0.35">
      <c r="A121" s="55" t="str">
        <f t="shared" ca="1" si="0"/>
        <v xml:space="preserve"> SERRA BRANCA/E.M.E.I.E.F. CONEGO JOAO MARQUES PEREIRA/RECEPCIONISTA EM SERVICOS DE SAUDE/NOITE</v>
      </c>
      <c r="B121" s="55" t="str">
        <f ca="1">IFERROR(__xludf.DUMMYFUNCTION("""COMPUTED_VALUE"""),"00000001484")</f>
        <v>00000001484</v>
      </c>
      <c r="C121" s="55" t="str">
        <f ca="1">IFERROR(__xludf.DUMMYFUNCTION("""COMPUTED_VALUE"""),"T-RECEPCIONISTA EM SERVICOS DE SAUDE/00000001484")</f>
        <v>T-RECEPCIONISTA EM SERVICOS DE SAUDE/00000001484</v>
      </c>
      <c r="D121" s="56" t="str">
        <f ca="1">IFERROR(__xludf.DUMMYFUNCTION("""COMPUTED_VALUE"""),"https://docs.google.com/spreadsheets/d/1DXjuLhGy4he0X9iN1NRlnyrO1gjlSEJ-yF_YiGEPESk/edit?usp=drivesdk")</f>
        <v>https://docs.google.com/spreadsheets/d/1DXjuLhGy4he0X9iN1NRlnyrO1gjlSEJ-yF_YiGEPESk/edit?usp=drivesdk</v>
      </c>
      <c r="E121" s="55" t="str">
        <f ca="1">IFERROR(__xludf.DUMMYFUNCTION("""COMPUTED_VALUE"""),"17 - PARAIBATEC FIC")</f>
        <v>17 - PARAIBATEC FIC</v>
      </c>
      <c r="F121" s="55" t="str">
        <f ca="1">IFERROR(__xludf.DUMMYFUNCTION("""COMPUTED_VALUE"""),"PARAIBATEC FIC")</f>
        <v>PARAIBATEC FIC</v>
      </c>
      <c r="G121" s="55" t="str">
        <f ca="1">IFERROR(__xludf.DUMMYFUNCTION("""COMPUTED_VALUE"""),"01 - PARAIBATEC")</f>
        <v>01 - PARAIBATEC</v>
      </c>
      <c r="H121" s="55" t="str">
        <f ca="1">IFERROR(__xludf.DUMMYFUNCTION("""COMPUTED_VALUE"""),"PARAIBATEC")</f>
        <v>PARAIBATEC</v>
      </c>
      <c r="I121" s="55" t="str">
        <f ca="1">IFERROR(__xludf.DUMMYFUNCTION("""COMPUTED_VALUE"""),"558 - E.M.E.I.E.F. CONEGO JOAO MARQUES PEREIRA")</f>
        <v>558 - E.M.E.I.E.F. CONEGO JOAO MARQUES PEREIRA</v>
      </c>
      <c r="J121" s="55" t="str">
        <f ca="1">IFERROR(__xludf.DUMMYFUNCTION("""COMPUTED_VALUE""")," SERRA BRANCA")</f>
        <v xml:space="preserve"> SERRA BRANCA</v>
      </c>
      <c r="K121" s="55"/>
      <c r="L121" s="55"/>
      <c r="M121" s="55" t="str">
        <f ca="1">IFERROR(__xludf.DUMMYFUNCTION("""COMPUTED_VALUE"""),"E.M.E.I.E.F. CONEGO JOAO MARQUES PEREIRA")</f>
        <v>E.M.E.I.E.F. CONEGO JOAO MARQUES PEREIRA</v>
      </c>
      <c r="N121" s="55">
        <f ca="1">IFERROR(__xludf.DUMMYFUNCTION("""COMPUTED_VALUE"""),221536)</f>
        <v>221536</v>
      </c>
      <c r="O121" s="55" t="str">
        <f ca="1">IFERROR(__xludf.DUMMYFUNCTION("""COMPUTED_VALUE"""),"AMBIENTE E SAUDE")</f>
        <v>AMBIENTE E SAUDE</v>
      </c>
      <c r="P121" s="55" t="str">
        <f ca="1">IFERROR(__xludf.DUMMYFUNCTION("""COMPUTED_VALUE"""),"RECEPCIONISTA EM SERVICOS DE SAUDE")</f>
        <v>RECEPCIONISTA EM SERVICOS DE SAUDE</v>
      </c>
      <c r="Q121" s="55" t="str">
        <f ca="1">IFERROR(__xludf.DUMMYFUNCTION("""COMPUTED_VALUE"""),"FIC")</f>
        <v>FIC</v>
      </c>
      <c r="R121" s="55">
        <f ca="1">IFERROR(__xludf.DUMMYFUNCTION("""COMPUTED_VALUE"""),240)</f>
        <v>240</v>
      </c>
      <c r="S121" s="55" t="str">
        <f ca="1">IFERROR(__xludf.DUMMYFUNCTION("""COMPUTED_VALUE"""),"NOITE")</f>
        <v>NOITE</v>
      </c>
      <c r="T121" s="57">
        <f ca="1">IFERROR(__xludf.DUMMYFUNCTION("""COMPUTED_VALUE"""),45691)</f>
        <v>45691</v>
      </c>
      <c r="U121" s="57">
        <f ca="1">IFERROR(__xludf.DUMMYFUNCTION("""COMPUTED_VALUE"""),45809)</f>
        <v>45809</v>
      </c>
      <c r="V121" s="55"/>
      <c r="W121" s="55"/>
      <c r="X121" s="55"/>
      <c r="Y121" s="55" t="str">
        <f ca="1">IFERROR(__xludf.DUMMYFUNCTION("""COMPUTED_VALUE"""),"EM OFERTA")</f>
        <v>EM OFERTA</v>
      </c>
      <c r="Z121" s="55"/>
      <c r="AA121" s="55"/>
      <c r="AB121" s="55"/>
      <c r="AC121" s="55"/>
      <c r="AD121" s="55"/>
      <c r="AE121" s="55"/>
      <c r="AF121" s="55"/>
      <c r="AG121" s="55"/>
      <c r="AH121" s="55" t="str">
        <f ca="1">IFERROR(__xludf.DUMMYFUNCTION("""COMPUTED_VALUE"""),"-")</f>
        <v>-</v>
      </c>
      <c r="AI121" s="55" t="str">
        <f ca="1">IFERROR(__xludf.DUMMYFUNCTION("""COMPUTED_VALUE"""),"DAVID BENNET SOUZA DA COSTA LEAO")</f>
        <v>DAVID BENNET SOUZA DA COSTA LEAO</v>
      </c>
      <c r="AJ121" s="55" t="str">
        <f ca="1">IFERROR(__xludf.DUMMYFUNCTION("""COMPUTED_VALUE"""),"-")</f>
        <v>-</v>
      </c>
      <c r="AK121" s="55" t="str">
        <f ca="1">IFERROR(__xludf.DUMMYFUNCTION("""COMPUTED_VALUE"""),"-")</f>
        <v>-</v>
      </c>
      <c r="AL121" s="55" t="str">
        <f ca="1">IFERROR(__xludf.DUMMYFUNCTION("""COMPUTED_VALUE"""),"KATRYNE DANTARA PEREIRA LEAO")</f>
        <v>KATRYNE DANTARA PEREIRA LEAO</v>
      </c>
      <c r="AM121" s="55">
        <f ca="1">IFERROR(__xludf.DUMMYFUNCTION("""COMPUTED_VALUE"""),2025)</f>
        <v>2025</v>
      </c>
      <c r="AN121" s="55"/>
    </row>
    <row r="122" spans="1:40" ht="14" x14ac:dyDescent="0.35">
      <c r="A122" s="55" t="str">
        <f t="shared" ca="1" si="0"/>
        <v xml:space="preserve"> SOLÂNEA/ESCOLA MUNICIPAL DE ENSINO FUNDAMENTAL ERNESTINA PINTO/CONFEITEIRO/NOITE</v>
      </c>
      <c r="B122" s="55" t="str">
        <f ca="1">IFERROR(__xludf.DUMMYFUNCTION("""COMPUTED_VALUE"""),"00000001485")</f>
        <v>00000001485</v>
      </c>
      <c r="C122" s="55" t="str">
        <f ca="1">IFERROR(__xludf.DUMMYFUNCTION("""COMPUTED_VALUE"""),"T-CONFEITEIRO/00000001485")</f>
        <v>T-CONFEITEIRO/00000001485</v>
      </c>
      <c r="D122" s="56" t="str">
        <f ca="1">IFERROR(__xludf.DUMMYFUNCTION("""COMPUTED_VALUE"""),"https://docs.google.com/spreadsheets/d/1-r4oBWBff2GnX4ccbVMhAOiYuuU5i9_5fdRnL2yPbPE/edit?usp=drivesdk")</f>
        <v>https://docs.google.com/spreadsheets/d/1-r4oBWBff2GnX4ccbVMhAOiYuuU5i9_5fdRnL2yPbPE/edit?usp=drivesdk</v>
      </c>
      <c r="E122" s="55" t="str">
        <f ca="1">IFERROR(__xludf.DUMMYFUNCTION("""COMPUTED_VALUE"""),"17 - PARAIBATEC FIC")</f>
        <v>17 - PARAIBATEC FIC</v>
      </c>
      <c r="F122" s="55" t="str">
        <f ca="1">IFERROR(__xludf.DUMMYFUNCTION("""COMPUTED_VALUE"""),"PARAIBATEC FIC")</f>
        <v>PARAIBATEC FIC</v>
      </c>
      <c r="G122" s="55" t="str">
        <f ca="1">IFERROR(__xludf.DUMMYFUNCTION("""COMPUTED_VALUE"""),"01 - PARAIBATEC")</f>
        <v>01 - PARAIBATEC</v>
      </c>
      <c r="H122" s="55" t="str">
        <f ca="1">IFERROR(__xludf.DUMMYFUNCTION("""COMPUTED_VALUE"""),"PARAIBATEC")</f>
        <v>PARAIBATEC</v>
      </c>
      <c r="I122" s="55" t="str">
        <f ca="1">IFERROR(__xludf.DUMMYFUNCTION("""COMPUTED_VALUE"""),"559 - ESCOLA MUNICIPAL DE ENSINO FUNDAMENTAL ERNESTINA PINTO")</f>
        <v>559 - ESCOLA MUNICIPAL DE ENSINO FUNDAMENTAL ERNESTINA PINTO</v>
      </c>
      <c r="J122" s="55" t="str">
        <f ca="1">IFERROR(__xludf.DUMMYFUNCTION("""COMPUTED_VALUE""")," SOLÂNEA")</f>
        <v xml:space="preserve"> SOLÂNEA</v>
      </c>
      <c r="K122" s="55"/>
      <c r="L122" s="55"/>
      <c r="M122" s="55" t="str">
        <f ca="1">IFERROR(__xludf.DUMMYFUNCTION("""COMPUTED_VALUE"""),"ESCOLA MUNICIPAL DE ENSINO FUNDAMENTAL ERNESTINA PINTO")</f>
        <v>ESCOLA MUNICIPAL DE ENSINO FUNDAMENTAL ERNESTINA PINTO</v>
      </c>
      <c r="N122" s="55">
        <f ca="1">IFERROR(__xludf.DUMMYFUNCTION("""COMPUTED_VALUE"""),221072)</f>
        <v>221072</v>
      </c>
      <c r="O122" s="55" t="str">
        <f ca="1">IFERROR(__xludf.DUMMYFUNCTION("""COMPUTED_VALUE"""),"PRODUÇAO ALIMENTICIA")</f>
        <v>PRODUÇAO ALIMENTICIA</v>
      </c>
      <c r="P122" s="55" t="str">
        <f ca="1">IFERROR(__xludf.DUMMYFUNCTION("""COMPUTED_VALUE"""),"CONFEITEIRO")</f>
        <v>CONFEITEIRO</v>
      </c>
      <c r="Q122" s="55" t="str">
        <f ca="1">IFERROR(__xludf.DUMMYFUNCTION("""COMPUTED_VALUE"""),"FIC")</f>
        <v>FIC</v>
      </c>
      <c r="R122" s="55">
        <f ca="1">IFERROR(__xludf.DUMMYFUNCTION("""COMPUTED_VALUE"""),200)</f>
        <v>200</v>
      </c>
      <c r="S122" s="55" t="str">
        <f ca="1">IFERROR(__xludf.DUMMYFUNCTION("""COMPUTED_VALUE"""),"NOITE")</f>
        <v>NOITE</v>
      </c>
      <c r="T122" s="57">
        <f ca="1">IFERROR(__xludf.DUMMYFUNCTION("""COMPUTED_VALUE"""),45691)</f>
        <v>45691</v>
      </c>
      <c r="U122" s="57"/>
      <c r="V122" s="55"/>
      <c r="W122" s="55"/>
      <c r="X122" s="55"/>
      <c r="Y122" s="55" t="str">
        <f ca="1">IFERROR(__xludf.DUMMYFUNCTION("""COMPUTED_VALUE"""),"EM OFERTA")</f>
        <v>EM OFERTA</v>
      </c>
      <c r="Z122" s="55"/>
      <c r="AA122" s="55"/>
      <c r="AB122" s="55"/>
      <c r="AC122" s="55"/>
      <c r="AD122" s="55"/>
      <c r="AE122" s="55"/>
      <c r="AF122" s="55"/>
      <c r="AG122" s="55"/>
      <c r="AH122" s="55" t="str">
        <f ca="1">IFERROR(__xludf.DUMMYFUNCTION("""COMPUTED_VALUE"""),"-")</f>
        <v>-</v>
      </c>
      <c r="AI122" s="55" t="str">
        <f ca="1">IFERROR(__xludf.DUMMYFUNCTION("""COMPUTED_VALUE"""),"REGINA COELI LIMA DA ROCHA")</f>
        <v>REGINA COELI LIMA DA ROCHA</v>
      </c>
      <c r="AJ122" s="55" t="str">
        <f ca="1">IFERROR(__xludf.DUMMYFUNCTION("""COMPUTED_VALUE"""),"-")</f>
        <v>-</v>
      </c>
      <c r="AK122" s="55" t="str">
        <f ca="1">IFERROR(__xludf.DUMMYFUNCTION("""COMPUTED_VALUE"""),"-")</f>
        <v>-</v>
      </c>
      <c r="AL122" s="55" t="str">
        <f ca="1">IFERROR(__xludf.DUMMYFUNCTION("""COMPUTED_VALUE"""),"ELIEL NUNES DA CRUZ")</f>
        <v>ELIEL NUNES DA CRUZ</v>
      </c>
      <c r="AM122" s="55">
        <f ca="1">IFERROR(__xludf.DUMMYFUNCTION("""COMPUTED_VALUE"""),2025)</f>
        <v>2025</v>
      </c>
      <c r="AN122" s="55"/>
    </row>
    <row r="123" spans="1:40" ht="14" x14ac:dyDescent="0.35">
      <c r="A123" s="55" t="str">
        <f t="shared" ca="1" si="0"/>
        <v xml:space="preserve"> SOLÂNEA/ESCOLA MUNICIPAL DE ENSINO FUNDAMENTAL ERNESTINA PINTO/PREPARADOR DE DOCES E CONSERVAS/NOITE</v>
      </c>
      <c r="B123" s="55" t="str">
        <f ca="1">IFERROR(__xludf.DUMMYFUNCTION("""COMPUTED_VALUE"""),"00000001486")</f>
        <v>00000001486</v>
      </c>
      <c r="C123" s="55" t="str">
        <f ca="1">IFERROR(__xludf.DUMMYFUNCTION("""COMPUTED_VALUE"""),"T-PREPARADOR DE DOCES E CONSERVAS/00000001486")</f>
        <v>T-PREPARADOR DE DOCES E CONSERVAS/00000001486</v>
      </c>
      <c r="D123" s="56" t="str">
        <f ca="1">IFERROR(__xludf.DUMMYFUNCTION("""COMPUTED_VALUE"""),"https://docs.google.com/spreadsheets/d/1joskARu068v82ujKuYzl4rFtqM_Fj8VxAUWL2FnEv0U/edit?usp=drivesdk")</f>
        <v>https://docs.google.com/spreadsheets/d/1joskARu068v82ujKuYzl4rFtqM_Fj8VxAUWL2FnEv0U/edit?usp=drivesdk</v>
      </c>
      <c r="E123" s="55" t="str">
        <f ca="1">IFERROR(__xludf.DUMMYFUNCTION("""COMPUTED_VALUE"""),"17 - PARAIBATEC FIC")</f>
        <v>17 - PARAIBATEC FIC</v>
      </c>
      <c r="F123" s="55" t="str">
        <f ca="1">IFERROR(__xludf.DUMMYFUNCTION("""COMPUTED_VALUE"""),"PARAIBATEC FIC")</f>
        <v>PARAIBATEC FIC</v>
      </c>
      <c r="G123" s="55" t="str">
        <f ca="1">IFERROR(__xludf.DUMMYFUNCTION("""COMPUTED_VALUE"""),"01 - PARAIBATEC")</f>
        <v>01 - PARAIBATEC</v>
      </c>
      <c r="H123" s="55" t="str">
        <f ca="1">IFERROR(__xludf.DUMMYFUNCTION("""COMPUTED_VALUE"""),"PARAIBATEC")</f>
        <v>PARAIBATEC</v>
      </c>
      <c r="I123" s="55" t="str">
        <f ca="1">IFERROR(__xludf.DUMMYFUNCTION("""COMPUTED_VALUE"""),"559 - ESCOLA MUNICIPAL DE ENSINO FUNDAMENTAL ERNESTINA PINTO")</f>
        <v>559 - ESCOLA MUNICIPAL DE ENSINO FUNDAMENTAL ERNESTINA PINTO</v>
      </c>
      <c r="J123" s="55" t="str">
        <f ca="1">IFERROR(__xludf.DUMMYFUNCTION("""COMPUTED_VALUE""")," SOLÂNEA")</f>
        <v xml:space="preserve"> SOLÂNEA</v>
      </c>
      <c r="K123" s="55"/>
      <c r="L123" s="55"/>
      <c r="M123" s="55" t="str">
        <f ca="1">IFERROR(__xludf.DUMMYFUNCTION("""COMPUTED_VALUE"""),"ESCOLA MUNICIPAL DE ENSINO FUNDAMENTAL ERNESTINA PINTO")</f>
        <v>ESCOLA MUNICIPAL DE ENSINO FUNDAMENTAL ERNESTINA PINTO</v>
      </c>
      <c r="N123" s="55">
        <f ca="1">IFERROR(__xludf.DUMMYFUNCTION("""COMPUTED_VALUE"""),221136)</f>
        <v>221136</v>
      </c>
      <c r="O123" s="55" t="str">
        <f ca="1">IFERROR(__xludf.DUMMYFUNCTION("""COMPUTED_VALUE"""),"PRODUÇAO ALIMENTICIA")</f>
        <v>PRODUÇAO ALIMENTICIA</v>
      </c>
      <c r="P123" s="55" t="str">
        <f ca="1">IFERROR(__xludf.DUMMYFUNCTION("""COMPUTED_VALUE"""),"PREPARADOR DE DOCES E CONSERVAS")</f>
        <v>PREPARADOR DE DOCES E CONSERVAS</v>
      </c>
      <c r="Q123" s="55" t="str">
        <f ca="1">IFERROR(__xludf.DUMMYFUNCTION("""COMPUTED_VALUE"""),"FIC")</f>
        <v>FIC</v>
      </c>
      <c r="R123" s="55">
        <f ca="1">IFERROR(__xludf.DUMMYFUNCTION("""COMPUTED_VALUE"""),200)</f>
        <v>200</v>
      </c>
      <c r="S123" s="55" t="str">
        <f ca="1">IFERROR(__xludf.DUMMYFUNCTION("""COMPUTED_VALUE"""),"NOITE")</f>
        <v>NOITE</v>
      </c>
      <c r="T123" s="57">
        <f ca="1">IFERROR(__xludf.DUMMYFUNCTION("""COMPUTED_VALUE"""),45691)</f>
        <v>45691</v>
      </c>
      <c r="U123" s="57">
        <f ca="1">IFERROR(__xludf.DUMMYFUNCTION("""COMPUTED_VALUE"""),45796)</f>
        <v>45796</v>
      </c>
      <c r="V123" s="55"/>
      <c r="W123" s="55"/>
      <c r="X123" s="55"/>
      <c r="Y123" s="55" t="str">
        <f ca="1">IFERROR(__xludf.DUMMYFUNCTION("""COMPUTED_VALUE"""),"EM OFERTA")</f>
        <v>EM OFERTA</v>
      </c>
      <c r="Z123" s="55"/>
      <c r="AA123" s="55"/>
      <c r="AB123" s="55"/>
      <c r="AC123" s="55"/>
      <c r="AD123" s="55"/>
      <c r="AE123" s="55"/>
      <c r="AF123" s="55"/>
      <c r="AG123" s="55"/>
      <c r="AH123" s="55" t="str">
        <f ca="1">IFERROR(__xludf.DUMMYFUNCTION("""COMPUTED_VALUE"""),"-")</f>
        <v>-</v>
      </c>
      <c r="AI123" s="55" t="str">
        <f ca="1">IFERROR(__xludf.DUMMYFUNCTION("""COMPUTED_VALUE"""),"REGINA COELI LIMA DA ROCHA")</f>
        <v>REGINA COELI LIMA DA ROCHA</v>
      </c>
      <c r="AJ123" s="55" t="str">
        <f ca="1">IFERROR(__xludf.DUMMYFUNCTION("""COMPUTED_VALUE"""),"-")</f>
        <v>-</v>
      </c>
      <c r="AK123" s="55" t="str">
        <f ca="1">IFERROR(__xludf.DUMMYFUNCTION("""COMPUTED_VALUE"""),"-")</f>
        <v>-</v>
      </c>
      <c r="AL123" s="55" t="str">
        <f ca="1">IFERROR(__xludf.DUMMYFUNCTION("""COMPUTED_VALUE"""),"SHIRLEY SANTOS MONTEIRO")</f>
        <v>SHIRLEY SANTOS MONTEIRO</v>
      </c>
      <c r="AM123" s="55">
        <f ca="1">IFERROR(__xludf.DUMMYFUNCTION("""COMPUTED_VALUE"""),2025)</f>
        <v>2025</v>
      </c>
      <c r="AN123" s="55"/>
    </row>
    <row r="124" spans="1:40" ht="14" x14ac:dyDescent="0.35">
      <c r="A124" s="55" t="str">
        <f t="shared" ca="1" si="0"/>
        <v xml:space="preserve"> SUMÉ/UNIDADE ESCOLAR MARIA LEITE RAFAEL/INGLES BASICO/NOITE</v>
      </c>
      <c r="B124" s="55" t="str">
        <f ca="1">IFERROR(__xludf.DUMMYFUNCTION("""COMPUTED_VALUE"""),"00000001487")</f>
        <v>00000001487</v>
      </c>
      <c r="C124" s="55" t="str">
        <f ca="1">IFERROR(__xludf.DUMMYFUNCTION("""COMPUTED_VALUE"""),"T-INGLES BASICO/00000001487")</f>
        <v>T-INGLES BASICO/00000001487</v>
      </c>
      <c r="D124" s="56" t="str">
        <f ca="1">IFERROR(__xludf.DUMMYFUNCTION("""COMPUTED_VALUE"""),"https://docs.google.com/spreadsheets/d/1t69ioS8Rt5Vm08iD-8XSdBloeTDNqUAgutlHCbcrVLI/edit?usp=drivesdk")</f>
        <v>https://docs.google.com/spreadsheets/d/1t69ioS8Rt5Vm08iD-8XSdBloeTDNqUAgutlHCbcrVLI/edit?usp=drivesdk</v>
      </c>
      <c r="E124" s="55" t="str">
        <f ca="1">IFERROR(__xludf.DUMMYFUNCTION("""COMPUTED_VALUE"""),"17 - PARAIBATEC FIC")</f>
        <v>17 - PARAIBATEC FIC</v>
      </c>
      <c r="F124" s="55" t="str">
        <f ca="1">IFERROR(__xludf.DUMMYFUNCTION("""COMPUTED_VALUE"""),"PARAIBATEC FIC")</f>
        <v>PARAIBATEC FIC</v>
      </c>
      <c r="G124" s="55" t="str">
        <f ca="1">IFERROR(__xludf.DUMMYFUNCTION("""COMPUTED_VALUE"""),"01 - PARAIBATEC")</f>
        <v>01 - PARAIBATEC</v>
      </c>
      <c r="H124" s="55" t="str">
        <f ca="1">IFERROR(__xludf.DUMMYFUNCTION("""COMPUTED_VALUE"""),"PARAIBATEC")</f>
        <v>PARAIBATEC</v>
      </c>
      <c r="I124" s="55" t="str">
        <f ca="1">IFERROR(__xludf.DUMMYFUNCTION("""COMPUTED_VALUE"""),"560 - UNIDADE ESCOLAR MARIA LEITE RAFAEL")</f>
        <v>560 - UNIDADE ESCOLAR MARIA LEITE RAFAEL</v>
      </c>
      <c r="J124" s="55" t="str">
        <f ca="1">IFERROR(__xludf.DUMMYFUNCTION("""COMPUTED_VALUE""")," SUMÉ")</f>
        <v xml:space="preserve"> SUMÉ</v>
      </c>
      <c r="K124" s="55"/>
      <c r="L124" s="55"/>
      <c r="M124" s="55" t="str">
        <f ca="1">IFERROR(__xludf.DUMMYFUNCTION("""COMPUTED_VALUE"""),"UNIDADE ESCOLAR MARIA LEITE RAFAEL")</f>
        <v>UNIDADE ESCOLAR MARIA LEITE RAFAEL</v>
      </c>
      <c r="N124" s="55">
        <f ca="1">IFERROR(__xludf.DUMMYFUNCTION("""COMPUTED_VALUE"""),221453)</f>
        <v>221453</v>
      </c>
      <c r="O124" s="55" t="str">
        <f ca="1">IFERROR(__xludf.DUMMYFUNCTION("""COMPUTED_VALUE"""),"DESENVOLVIMENTO EDUCACIONAL E SOCIAL")</f>
        <v>DESENVOLVIMENTO EDUCACIONAL E SOCIAL</v>
      </c>
      <c r="P124" s="55" t="str">
        <f ca="1">IFERROR(__xludf.DUMMYFUNCTION("""COMPUTED_VALUE"""),"INGLES BASICO")</f>
        <v>INGLES BASICO</v>
      </c>
      <c r="Q124" s="55" t="str">
        <f ca="1">IFERROR(__xludf.DUMMYFUNCTION("""COMPUTED_VALUE"""),"FIC")</f>
        <v>FIC</v>
      </c>
      <c r="R124" s="55">
        <f ca="1">IFERROR(__xludf.DUMMYFUNCTION("""COMPUTED_VALUE"""),160)</f>
        <v>160</v>
      </c>
      <c r="S124" s="55" t="str">
        <f ca="1">IFERROR(__xludf.DUMMYFUNCTION("""COMPUTED_VALUE"""),"NOITE")</f>
        <v>NOITE</v>
      </c>
      <c r="T124" s="57">
        <f ca="1">IFERROR(__xludf.DUMMYFUNCTION("""COMPUTED_VALUE"""),45692)</f>
        <v>45692</v>
      </c>
      <c r="U124" s="57">
        <f ca="1">IFERROR(__xludf.DUMMYFUNCTION("""COMPUTED_VALUE"""),45824)</f>
        <v>45824</v>
      </c>
      <c r="V124" s="55"/>
      <c r="W124" s="55"/>
      <c r="X124" s="55"/>
      <c r="Y124" s="55" t="str">
        <f ca="1">IFERROR(__xludf.DUMMYFUNCTION("""COMPUTED_VALUE"""),"EM OFERTA")</f>
        <v>EM OFERTA</v>
      </c>
      <c r="Z124" s="55"/>
      <c r="AA124" s="55"/>
      <c r="AB124" s="55"/>
      <c r="AC124" s="55"/>
      <c r="AD124" s="55"/>
      <c r="AE124" s="55"/>
      <c r="AF124" s="55"/>
      <c r="AG124" s="55"/>
      <c r="AH124" s="55" t="str">
        <f ca="1">IFERROR(__xludf.DUMMYFUNCTION("""COMPUTED_VALUE"""),"-")</f>
        <v>-</v>
      </c>
      <c r="AI124" s="55" t="str">
        <f ca="1">IFERROR(__xludf.DUMMYFUNCTION("""COMPUTED_VALUE"""),"JOSEMBERG DOS SANTOS SILVA")</f>
        <v>JOSEMBERG DOS SANTOS SILVA</v>
      </c>
      <c r="AJ124" s="55" t="str">
        <f ca="1">IFERROR(__xludf.DUMMYFUNCTION("""COMPUTED_VALUE"""),"-")</f>
        <v>-</v>
      </c>
      <c r="AK124" s="55" t="str">
        <f ca="1">IFERROR(__xludf.DUMMYFUNCTION("""COMPUTED_VALUE"""),"-")</f>
        <v>-</v>
      </c>
      <c r="AL124" s="55" t="str">
        <f ca="1">IFERROR(__xludf.DUMMYFUNCTION("""COMPUTED_VALUE"""),"LARISSA DANIELLE QUIRINO BRITO")</f>
        <v>LARISSA DANIELLE QUIRINO BRITO</v>
      </c>
      <c r="AM124" s="55">
        <f ca="1">IFERROR(__xludf.DUMMYFUNCTION("""COMPUTED_VALUE"""),2025)</f>
        <v>2025</v>
      </c>
      <c r="AN124" s="55"/>
    </row>
    <row r="125" spans="1:40" ht="14" x14ac:dyDescent="0.35">
      <c r="A125" s="55" t="str">
        <f t="shared" ca="1" si="0"/>
        <v xml:space="preserve"> TACIMA/EMEF TERLOPEDES CRUZ/ASSISTENTE ESCOLAR/NOITE</v>
      </c>
      <c r="B125" s="55" t="str">
        <f ca="1">IFERROR(__xludf.DUMMYFUNCTION("""COMPUTED_VALUE"""),"00000001488")</f>
        <v>00000001488</v>
      </c>
      <c r="C125" s="55" t="str">
        <f ca="1">IFERROR(__xludf.DUMMYFUNCTION("""COMPUTED_VALUE"""),"T-ASSISTENTE ESCOLAR/00000001488")</f>
        <v>T-ASSISTENTE ESCOLAR/00000001488</v>
      </c>
      <c r="D125" s="56" t="str">
        <f ca="1">IFERROR(__xludf.DUMMYFUNCTION("""COMPUTED_VALUE"""),"https://docs.google.com/spreadsheets/d/1LU2UnkHO1NoRONNgKrnZ4OjY2Q-fhXHQ97j_ZEAfkLk/edit?usp=drivesdk")</f>
        <v>https://docs.google.com/spreadsheets/d/1LU2UnkHO1NoRONNgKrnZ4OjY2Q-fhXHQ97j_ZEAfkLk/edit?usp=drivesdk</v>
      </c>
      <c r="E125" s="55" t="str">
        <f ca="1">IFERROR(__xludf.DUMMYFUNCTION("""COMPUTED_VALUE"""),"17 - PARAIBATEC FIC")</f>
        <v>17 - PARAIBATEC FIC</v>
      </c>
      <c r="F125" s="55" t="str">
        <f ca="1">IFERROR(__xludf.DUMMYFUNCTION("""COMPUTED_VALUE"""),"PARAIBATEC FIC")</f>
        <v>PARAIBATEC FIC</v>
      </c>
      <c r="G125" s="55" t="str">
        <f ca="1">IFERROR(__xludf.DUMMYFUNCTION("""COMPUTED_VALUE"""),"01 - PARAIBATEC")</f>
        <v>01 - PARAIBATEC</v>
      </c>
      <c r="H125" s="55" t="str">
        <f ca="1">IFERROR(__xludf.DUMMYFUNCTION("""COMPUTED_VALUE"""),"PARAIBATEC")</f>
        <v>PARAIBATEC</v>
      </c>
      <c r="I125" s="55" t="str">
        <f ca="1">IFERROR(__xludf.DUMMYFUNCTION("""COMPUTED_VALUE"""),"561 - EMEF TERLOPEDES CRUZ")</f>
        <v>561 - EMEF TERLOPEDES CRUZ</v>
      </c>
      <c r="J125" s="55" t="str">
        <f ca="1">IFERROR(__xludf.DUMMYFUNCTION("""COMPUTED_VALUE""")," TACIMA")</f>
        <v xml:space="preserve"> TACIMA</v>
      </c>
      <c r="K125" s="55"/>
      <c r="L125" s="55"/>
      <c r="M125" s="55" t="str">
        <f ca="1">IFERROR(__xludf.DUMMYFUNCTION("""COMPUTED_VALUE"""),"EMEF TERLOPEDES CRUZ")</f>
        <v>EMEF TERLOPEDES CRUZ</v>
      </c>
      <c r="N125" s="55">
        <f ca="1">IFERROR(__xludf.DUMMYFUNCTION("""COMPUTED_VALUE"""),221334)</f>
        <v>221334</v>
      </c>
      <c r="O125" s="55" t="str">
        <f ca="1">IFERROR(__xludf.DUMMYFUNCTION("""COMPUTED_VALUE"""),"DESENVOLVIMENTO EDUCACIONAL E SOCIAL")</f>
        <v>DESENVOLVIMENTO EDUCACIONAL E SOCIAL</v>
      </c>
      <c r="P125" s="55" t="str">
        <f ca="1">IFERROR(__xludf.DUMMYFUNCTION("""COMPUTED_VALUE"""),"ASSISTENTE ESCOLAR")</f>
        <v>ASSISTENTE ESCOLAR</v>
      </c>
      <c r="Q125" s="55" t="str">
        <f ca="1">IFERROR(__xludf.DUMMYFUNCTION("""COMPUTED_VALUE"""),"FIC")</f>
        <v>FIC</v>
      </c>
      <c r="R125" s="55">
        <f ca="1">IFERROR(__xludf.DUMMYFUNCTION("""COMPUTED_VALUE"""),160)</f>
        <v>160</v>
      </c>
      <c r="S125" s="55" t="str">
        <f ca="1">IFERROR(__xludf.DUMMYFUNCTION("""COMPUTED_VALUE"""),"NOITE")</f>
        <v>NOITE</v>
      </c>
      <c r="T125" s="57">
        <f ca="1">IFERROR(__xludf.DUMMYFUNCTION("""COMPUTED_VALUE"""),45691)</f>
        <v>45691</v>
      </c>
      <c r="U125" s="57">
        <f ca="1">IFERROR(__xludf.DUMMYFUNCTION("""COMPUTED_VALUE"""),45824)</f>
        <v>45824</v>
      </c>
      <c r="V125" s="55"/>
      <c r="W125" s="55"/>
      <c r="X125" s="55"/>
      <c r="Y125" s="55" t="str">
        <f ca="1">IFERROR(__xludf.DUMMYFUNCTION("""COMPUTED_VALUE"""),"EM OFERTA")</f>
        <v>EM OFERTA</v>
      </c>
      <c r="Z125" s="55"/>
      <c r="AA125" s="55"/>
      <c r="AB125" s="55"/>
      <c r="AC125" s="55"/>
      <c r="AD125" s="55"/>
      <c r="AE125" s="55"/>
      <c r="AF125" s="55"/>
      <c r="AG125" s="55"/>
      <c r="AH125" s="55" t="str">
        <f ca="1">IFERROR(__xludf.DUMMYFUNCTION("""COMPUTED_VALUE"""),"-")</f>
        <v>-</v>
      </c>
      <c r="AI125" s="55" t="str">
        <f ca="1">IFERROR(__xludf.DUMMYFUNCTION("""COMPUTED_VALUE"""),"EDNEIDE ESMERINDA DE SOUSA")</f>
        <v>EDNEIDE ESMERINDA DE SOUSA</v>
      </c>
      <c r="AJ125" s="55" t="str">
        <f ca="1">IFERROR(__xludf.DUMMYFUNCTION("""COMPUTED_VALUE"""),"-")</f>
        <v>-</v>
      </c>
      <c r="AK125" s="55" t="str">
        <f ca="1">IFERROR(__xludf.DUMMYFUNCTION("""COMPUTED_VALUE"""),"-")</f>
        <v>-</v>
      </c>
      <c r="AL125" s="55" t="str">
        <f ca="1">IFERROR(__xludf.DUMMYFUNCTION("""COMPUTED_VALUE"""),"EDILZA ESMERINDA DE SOUSA NASCIMENTO")</f>
        <v>EDILZA ESMERINDA DE SOUSA NASCIMENTO</v>
      </c>
      <c r="AM125" s="55">
        <f ca="1">IFERROR(__xludf.DUMMYFUNCTION("""COMPUTED_VALUE"""),2025)</f>
        <v>2025</v>
      </c>
      <c r="AN125" s="55"/>
    </row>
    <row r="126" spans="1:40" ht="14" x14ac:dyDescent="0.35">
      <c r="A126" s="55" t="str">
        <f t="shared" ca="1" si="0"/>
        <v xml:space="preserve"> TACIMA/EMEF TERLOPEDES CRUZ/INTRODUÇAO A INTERPRETAÇAO EM LINGUA BRASILEIRA DE SINAIS (LIBRAS)/NOITE</v>
      </c>
      <c r="B126" s="55" t="str">
        <f ca="1">IFERROR(__xludf.DUMMYFUNCTION("""COMPUTED_VALUE"""),"00000001489")</f>
        <v>00000001489</v>
      </c>
      <c r="C126" s="55" t="str">
        <f ca="1">IFERROR(__xludf.DUMMYFUNCTION("""COMPUTED_VALUE"""),"T-INTRODUÇAO A INTERPRETAÇAO EM LINGUA BRASILEIRA DE SINAIS (LIBRAS)/00000001489")</f>
        <v>T-INTRODUÇAO A INTERPRETAÇAO EM LINGUA BRASILEIRA DE SINAIS (LIBRAS)/00000001489</v>
      </c>
      <c r="D126" s="56" t="str">
        <f ca="1">IFERROR(__xludf.DUMMYFUNCTION("""COMPUTED_VALUE"""),"https://docs.google.com/spreadsheets/d/1Krbz4aQvJmbnTDAhAqwL_RD94U8ES3yKSDvedTFjQdI/edit?usp=drivesdk")</f>
        <v>https://docs.google.com/spreadsheets/d/1Krbz4aQvJmbnTDAhAqwL_RD94U8ES3yKSDvedTFjQdI/edit?usp=drivesdk</v>
      </c>
      <c r="E126" s="55" t="str">
        <f ca="1">IFERROR(__xludf.DUMMYFUNCTION("""COMPUTED_VALUE"""),"17 - PARAIBATEC FIC")</f>
        <v>17 - PARAIBATEC FIC</v>
      </c>
      <c r="F126" s="55" t="str">
        <f ca="1">IFERROR(__xludf.DUMMYFUNCTION("""COMPUTED_VALUE"""),"PARAIBATEC FIC")</f>
        <v>PARAIBATEC FIC</v>
      </c>
      <c r="G126" s="55" t="str">
        <f ca="1">IFERROR(__xludf.DUMMYFUNCTION("""COMPUTED_VALUE"""),"01 - PARAIBATEC")</f>
        <v>01 - PARAIBATEC</v>
      </c>
      <c r="H126" s="55" t="str">
        <f ca="1">IFERROR(__xludf.DUMMYFUNCTION("""COMPUTED_VALUE"""),"PARAIBATEC")</f>
        <v>PARAIBATEC</v>
      </c>
      <c r="I126" s="55" t="str">
        <f ca="1">IFERROR(__xludf.DUMMYFUNCTION("""COMPUTED_VALUE"""),"561 - EMEF TERLOPEDES CRUZ")</f>
        <v>561 - EMEF TERLOPEDES CRUZ</v>
      </c>
      <c r="J126" s="55" t="str">
        <f ca="1">IFERROR(__xludf.DUMMYFUNCTION("""COMPUTED_VALUE""")," TACIMA")</f>
        <v xml:space="preserve"> TACIMA</v>
      </c>
      <c r="K126" s="55"/>
      <c r="L126" s="55"/>
      <c r="M126" s="55" t="str">
        <f ca="1">IFERROR(__xludf.DUMMYFUNCTION("""COMPUTED_VALUE"""),"EMEF TERLOPEDES CRUZ")</f>
        <v>EMEF TERLOPEDES CRUZ</v>
      </c>
      <c r="N126" s="55">
        <f ca="1">IFERROR(__xludf.DUMMYFUNCTION("""COMPUTED_VALUE"""),221448)</f>
        <v>221448</v>
      </c>
      <c r="O126" s="55" t="str">
        <f ca="1">IFERROR(__xludf.DUMMYFUNCTION("""COMPUTED_VALUE"""),"DESENVOLVIMENTO EDUCACIONAL E SOCIAL")</f>
        <v>DESENVOLVIMENTO EDUCACIONAL E SOCIAL</v>
      </c>
      <c r="P126" s="55" t="str">
        <f ca="1">IFERROR(__xludf.DUMMYFUNCTION("""COMPUTED_VALUE"""),"INTRODUÇAO A INTERPRETAÇAO EM LINGUA BRASILEIRA DE SINAIS (LIBRAS)")</f>
        <v>INTRODUÇAO A INTERPRETAÇAO EM LINGUA BRASILEIRA DE SINAIS (LIBRAS)</v>
      </c>
      <c r="Q126" s="55" t="str">
        <f ca="1">IFERROR(__xludf.DUMMYFUNCTION("""COMPUTED_VALUE"""),"FIC")</f>
        <v>FIC</v>
      </c>
      <c r="R126" s="55">
        <f ca="1">IFERROR(__xludf.DUMMYFUNCTION("""COMPUTED_VALUE"""),160)</f>
        <v>160</v>
      </c>
      <c r="S126" s="55" t="str">
        <f ca="1">IFERROR(__xludf.DUMMYFUNCTION("""COMPUTED_VALUE"""),"NOITE")</f>
        <v>NOITE</v>
      </c>
      <c r="T126" s="57">
        <f ca="1">IFERROR(__xludf.DUMMYFUNCTION("""COMPUTED_VALUE"""),45691)</f>
        <v>45691</v>
      </c>
      <c r="U126" s="57">
        <f ca="1">IFERROR(__xludf.DUMMYFUNCTION("""COMPUTED_VALUE"""),45824)</f>
        <v>45824</v>
      </c>
      <c r="V126" s="55"/>
      <c r="W126" s="55"/>
      <c r="X126" s="55"/>
      <c r="Y126" s="55" t="str">
        <f ca="1">IFERROR(__xludf.DUMMYFUNCTION("""COMPUTED_VALUE"""),"EM OFERTA")</f>
        <v>EM OFERTA</v>
      </c>
      <c r="Z126" s="55"/>
      <c r="AA126" s="55"/>
      <c r="AB126" s="55"/>
      <c r="AC126" s="55"/>
      <c r="AD126" s="55"/>
      <c r="AE126" s="55"/>
      <c r="AF126" s="55"/>
      <c r="AG126" s="55"/>
      <c r="AH126" s="55" t="str">
        <f ca="1">IFERROR(__xludf.DUMMYFUNCTION("""COMPUTED_VALUE"""),"-")</f>
        <v>-</v>
      </c>
      <c r="AI126" s="55" t="str">
        <f ca="1">IFERROR(__xludf.DUMMYFUNCTION("""COMPUTED_VALUE"""),"EDNEIDE ESMERINDA DE SOUSA")</f>
        <v>EDNEIDE ESMERINDA DE SOUSA</v>
      </c>
      <c r="AJ126" s="55" t="str">
        <f ca="1">IFERROR(__xludf.DUMMYFUNCTION("""COMPUTED_VALUE"""),"-")</f>
        <v>-</v>
      </c>
      <c r="AK126" s="55" t="str">
        <f ca="1">IFERROR(__xludf.DUMMYFUNCTION("""COMPUTED_VALUE"""),"-")</f>
        <v>-</v>
      </c>
      <c r="AL126" s="55" t="str">
        <f ca="1">IFERROR(__xludf.DUMMYFUNCTION("""COMPUTED_VALUE"""),"JOSE LINDOLFO DA SILVA")</f>
        <v>JOSE LINDOLFO DA SILVA</v>
      </c>
      <c r="AM126" s="55">
        <f ca="1">IFERROR(__xludf.DUMMYFUNCTION("""COMPUTED_VALUE"""),2025)</f>
        <v>2025</v>
      </c>
      <c r="AN126" s="55"/>
    </row>
    <row r="127" spans="1:40" ht="14" x14ac:dyDescent="0.35">
      <c r="A127" s="55" t="str">
        <f t="shared" ca="1" si="0"/>
        <v xml:space="preserve"> UIRAÚNA/ECIT DR. JOSE DUARTE FILHO/MICROEMPREENDEDOR INDIVIDUAL (MEI)/NOITE</v>
      </c>
      <c r="B127" s="55" t="str">
        <f ca="1">IFERROR(__xludf.DUMMYFUNCTION("""COMPUTED_VALUE"""),"00000001490")</f>
        <v>00000001490</v>
      </c>
      <c r="C127" s="55" t="str">
        <f ca="1">IFERROR(__xludf.DUMMYFUNCTION("""COMPUTED_VALUE"""),"T-MICROEMPREENDEDOR INDIVIDUAL (MEI)/00000001490")</f>
        <v>T-MICROEMPREENDEDOR INDIVIDUAL (MEI)/00000001490</v>
      </c>
      <c r="D127" s="56" t="str">
        <f ca="1">IFERROR(__xludf.DUMMYFUNCTION("""COMPUTED_VALUE"""),"https://docs.google.com/spreadsheets/d/1vgs2M_3QDqxNib2_GIUSD9Ac1lbiLRs_Gz2zzcR0zXg/edit?usp=drivesdk")</f>
        <v>https://docs.google.com/spreadsheets/d/1vgs2M_3QDqxNib2_GIUSD9Ac1lbiLRs_Gz2zzcR0zXg/edit?usp=drivesdk</v>
      </c>
      <c r="E127" s="55" t="str">
        <f ca="1">IFERROR(__xludf.DUMMYFUNCTION("""COMPUTED_VALUE"""),"17 - PARAIBATEC FIC")</f>
        <v>17 - PARAIBATEC FIC</v>
      </c>
      <c r="F127" s="55" t="str">
        <f ca="1">IFERROR(__xludf.DUMMYFUNCTION("""COMPUTED_VALUE"""),"PARAIBATEC FIC")</f>
        <v>PARAIBATEC FIC</v>
      </c>
      <c r="G127" s="55" t="str">
        <f ca="1">IFERROR(__xludf.DUMMYFUNCTION("""COMPUTED_VALUE"""),"01 - PARAIBATEC")</f>
        <v>01 - PARAIBATEC</v>
      </c>
      <c r="H127" s="55" t="str">
        <f ca="1">IFERROR(__xludf.DUMMYFUNCTION("""COMPUTED_VALUE"""),"PARAIBATEC")</f>
        <v>PARAIBATEC</v>
      </c>
      <c r="I127" s="55" t="str">
        <f ca="1">IFERROR(__xludf.DUMMYFUNCTION("""COMPUTED_VALUE"""),"562 - ECIT DR. JOSE DUARTE FILHO")</f>
        <v>562 - ECIT DR. JOSE DUARTE FILHO</v>
      </c>
      <c r="J127" s="55" t="str">
        <f ca="1">IFERROR(__xludf.DUMMYFUNCTION("""COMPUTED_VALUE""")," UIRAÚNA")</f>
        <v xml:space="preserve"> UIRAÚNA</v>
      </c>
      <c r="K127" s="55"/>
      <c r="L127" s="55"/>
      <c r="M127" s="55" t="str">
        <f ca="1">IFERROR(__xludf.DUMMYFUNCTION("""COMPUTED_VALUE"""),"ECIT DR. JOSE DUARTE FILHO")</f>
        <v>ECIT DR. JOSE DUARTE FILHO</v>
      </c>
      <c r="N127" s="55">
        <f ca="1">IFERROR(__xludf.DUMMYFUNCTION("""COMPUTED_VALUE"""),278099)</f>
        <v>278099</v>
      </c>
      <c r="O127" s="55" t="str">
        <f ca="1">IFERROR(__xludf.DUMMYFUNCTION("""COMPUTED_VALUE"""),"GESTAO E NEGOCIOS")</f>
        <v>GESTAO E NEGOCIOS</v>
      </c>
      <c r="P127" s="55" t="str">
        <f ca="1">IFERROR(__xludf.DUMMYFUNCTION("""COMPUTED_VALUE"""),"MICROEMPREENDEDOR INDIVIDUAL (MEI)")</f>
        <v>MICROEMPREENDEDOR INDIVIDUAL (MEI)</v>
      </c>
      <c r="Q127" s="55" t="str">
        <f ca="1">IFERROR(__xludf.DUMMYFUNCTION("""COMPUTED_VALUE"""),"FIC")</f>
        <v>FIC</v>
      </c>
      <c r="R127" s="55">
        <f ca="1">IFERROR(__xludf.DUMMYFUNCTION("""COMPUTED_VALUE"""),160)</f>
        <v>160</v>
      </c>
      <c r="S127" s="55" t="str">
        <f ca="1">IFERROR(__xludf.DUMMYFUNCTION("""COMPUTED_VALUE"""),"NOITE")</f>
        <v>NOITE</v>
      </c>
      <c r="T127" s="57">
        <f ca="1">IFERROR(__xludf.DUMMYFUNCTION("""COMPUTED_VALUE"""),45712)</f>
        <v>45712</v>
      </c>
      <c r="U127" s="57">
        <f ca="1">IFERROR(__xludf.DUMMYFUNCTION("""COMPUTED_VALUE"""),45797)</f>
        <v>45797</v>
      </c>
      <c r="V127" s="55"/>
      <c r="W127" s="55"/>
      <c r="X127" s="55"/>
      <c r="Y127" s="55" t="str">
        <f ca="1">IFERROR(__xludf.DUMMYFUNCTION("""COMPUTED_VALUE"""),"EM OFERTA")</f>
        <v>EM OFERTA</v>
      </c>
      <c r="Z127" s="55"/>
      <c r="AA127" s="55"/>
      <c r="AB127" s="55"/>
      <c r="AC127" s="55"/>
      <c r="AD127" s="55"/>
      <c r="AE127" s="55"/>
      <c r="AF127" s="55"/>
      <c r="AG127" s="55"/>
      <c r="AH127" s="55" t="str">
        <f ca="1">IFERROR(__xludf.DUMMYFUNCTION("""COMPUTED_VALUE"""),"-")</f>
        <v>-</v>
      </c>
      <c r="AI127" s="55" t="str">
        <f ca="1">IFERROR(__xludf.DUMMYFUNCTION("""COMPUTED_VALUE"""),"BOANERGES DA SILVA BATISTA")</f>
        <v>BOANERGES DA SILVA BATISTA</v>
      </c>
      <c r="AJ127" s="55" t="str">
        <f ca="1">IFERROR(__xludf.DUMMYFUNCTION("""COMPUTED_VALUE"""),"-")</f>
        <v>-</v>
      </c>
      <c r="AK127" s="55" t="str">
        <f ca="1">IFERROR(__xludf.DUMMYFUNCTION("""COMPUTED_VALUE"""),"-")</f>
        <v>-</v>
      </c>
      <c r="AL127" s="55" t="str">
        <f ca="1">IFERROR(__xludf.DUMMYFUNCTION("""COMPUTED_VALUE"""),"ROMULO VIEIRA FORMIGA")</f>
        <v>ROMULO VIEIRA FORMIGA</v>
      </c>
      <c r="AM127" s="55">
        <f ca="1">IFERROR(__xludf.DUMMYFUNCTION("""COMPUTED_VALUE"""),2025)</f>
        <v>2025</v>
      </c>
      <c r="AN127" s="55"/>
    </row>
    <row r="128" spans="1:40" ht="14" x14ac:dyDescent="0.35">
      <c r="A128" s="55" t="str">
        <f t="shared" ca="1" si="0"/>
        <v xml:space="preserve"> UMBUZEIRO/CENTRO DE INCLUSAO/COSTUREIRO INDUSTRIAL DO VESTUARIO/MANHA</v>
      </c>
      <c r="B128" s="55" t="str">
        <f ca="1">IFERROR(__xludf.DUMMYFUNCTION("""COMPUTED_VALUE"""),"00000001491")</f>
        <v>00000001491</v>
      </c>
      <c r="C128" s="55" t="str">
        <f ca="1">IFERROR(__xludf.DUMMYFUNCTION("""COMPUTED_VALUE"""),"T-COSTUREIRO INDUSTRIAL DO VESTUARIO/00000001491")</f>
        <v>T-COSTUREIRO INDUSTRIAL DO VESTUARIO/00000001491</v>
      </c>
      <c r="D128" s="56" t="str">
        <f ca="1">IFERROR(__xludf.DUMMYFUNCTION("""COMPUTED_VALUE"""),"https://docs.google.com/spreadsheets/d/1uexF15kcV889ABYGE9GjfNKVHJb1m0UJZnAEB7qu5sc/edit?usp=drivesdk")</f>
        <v>https://docs.google.com/spreadsheets/d/1uexF15kcV889ABYGE9GjfNKVHJb1m0UJZnAEB7qu5sc/edit?usp=drivesdk</v>
      </c>
      <c r="E128" s="55" t="str">
        <f ca="1">IFERROR(__xludf.DUMMYFUNCTION("""COMPUTED_VALUE"""),"17 - PARAIBATEC FIC")</f>
        <v>17 - PARAIBATEC FIC</v>
      </c>
      <c r="F128" s="55" t="str">
        <f ca="1">IFERROR(__xludf.DUMMYFUNCTION("""COMPUTED_VALUE"""),"PARAIBATEC FIC")</f>
        <v>PARAIBATEC FIC</v>
      </c>
      <c r="G128" s="55" t="str">
        <f ca="1">IFERROR(__xludf.DUMMYFUNCTION("""COMPUTED_VALUE"""),"01 - PARAIBATEC")</f>
        <v>01 - PARAIBATEC</v>
      </c>
      <c r="H128" s="55" t="str">
        <f ca="1">IFERROR(__xludf.DUMMYFUNCTION("""COMPUTED_VALUE"""),"PARAIBATEC")</f>
        <v>PARAIBATEC</v>
      </c>
      <c r="I128" s="55" t="str">
        <f ca="1">IFERROR(__xludf.DUMMYFUNCTION("""COMPUTED_VALUE"""),"563 - CENTRO DE INCLUSAO")</f>
        <v>563 - CENTRO DE INCLUSAO</v>
      </c>
      <c r="J128" s="55" t="str">
        <f ca="1">IFERROR(__xludf.DUMMYFUNCTION("""COMPUTED_VALUE""")," UMBUZEIRO")</f>
        <v xml:space="preserve"> UMBUZEIRO</v>
      </c>
      <c r="K128" s="55"/>
      <c r="L128" s="55"/>
      <c r="M128" s="55" t="str">
        <f ca="1">IFERROR(__xludf.DUMMYFUNCTION("""COMPUTED_VALUE"""),"CENTRO DE INCLUSAO")</f>
        <v>CENTRO DE INCLUSAO</v>
      </c>
      <c r="N128" s="55">
        <f ca="1">IFERROR(__xludf.DUMMYFUNCTION("""COMPUTED_VALUE"""),221270)</f>
        <v>221270</v>
      </c>
      <c r="O128" s="55" t="str">
        <f ca="1">IFERROR(__xludf.DUMMYFUNCTION("""COMPUTED_VALUE"""),"PRODUÇAO INDUSTRIAL")</f>
        <v>PRODUÇAO INDUSTRIAL</v>
      </c>
      <c r="P128" s="55" t="str">
        <f ca="1">IFERROR(__xludf.DUMMYFUNCTION("""COMPUTED_VALUE"""),"COSTUREIRO INDUSTRIAL DO VESTUARIO")</f>
        <v>COSTUREIRO INDUSTRIAL DO VESTUARIO</v>
      </c>
      <c r="Q128" s="55" t="str">
        <f ca="1">IFERROR(__xludf.DUMMYFUNCTION("""COMPUTED_VALUE"""),"FIC")</f>
        <v>FIC</v>
      </c>
      <c r="R128" s="55">
        <f ca="1">IFERROR(__xludf.DUMMYFUNCTION("""COMPUTED_VALUE"""),200)</f>
        <v>200</v>
      </c>
      <c r="S128" s="55" t="str">
        <f ca="1">IFERROR(__xludf.DUMMYFUNCTION("""COMPUTED_VALUE"""),"MANHA")</f>
        <v>MANHA</v>
      </c>
      <c r="T128" s="57">
        <f ca="1">IFERROR(__xludf.DUMMYFUNCTION("""COMPUTED_VALUE"""),45691)</f>
        <v>45691</v>
      </c>
      <c r="U128" s="57">
        <f ca="1">IFERROR(__xludf.DUMMYFUNCTION("""COMPUTED_VALUE"""),45853)</f>
        <v>45853</v>
      </c>
      <c r="V128" s="55"/>
      <c r="W128" s="55"/>
      <c r="X128" s="55"/>
      <c r="Y128" s="55" t="str">
        <f ca="1">IFERROR(__xludf.DUMMYFUNCTION("""COMPUTED_VALUE"""),"EM OFERTA")</f>
        <v>EM OFERTA</v>
      </c>
      <c r="Z128" s="55"/>
      <c r="AA128" s="55"/>
      <c r="AB128" s="55"/>
      <c r="AC128" s="55"/>
      <c r="AD128" s="55"/>
      <c r="AE128" s="55"/>
      <c r="AF128" s="55"/>
      <c r="AG128" s="55"/>
      <c r="AH128" s="55" t="str">
        <f ca="1">IFERROR(__xludf.DUMMYFUNCTION("""COMPUTED_VALUE"""),"-")</f>
        <v>-</v>
      </c>
      <c r="AI128" s="55" t="str">
        <f ca="1">IFERROR(__xludf.DUMMYFUNCTION("""COMPUTED_VALUE"""),"AMANDA MARIA DE MESQUITA")</f>
        <v>AMANDA MARIA DE MESQUITA</v>
      </c>
      <c r="AJ128" s="55" t="str">
        <f ca="1">IFERROR(__xludf.DUMMYFUNCTION("""COMPUTED_VALUE"""),"-")</f>
        <v>-</v>
      </c>
      <c r="AK128" s="55" t="str">
        <f ca="1">IFERROR(__xludf.DUMMYFUNCTION("""COMPUTED_VALUE"""),"-")</f>
        <v>-</v>
      </c>
      <c r="AL128" s="55" t="str">
        <f ca="1">IFERROR(__xludf.DUMMYFUNCTION("""COMPUTED_VALUE"""),"MARIA JOSE DE SOUSA ARAUJO")</f>
        <v>MARIA JOSE DE SOUSA ARAUJO</v>
      </c>
      <c r="AM128" s="55">
        <f ca="1">IFERROR(__xludf.DUMMYFUNCTION("""COMPUTED_VALUE"""),2025)</f>
        <v>2025</v>
      </c>
      <c r="AN128" s="55"/>
    </row>
    <row r="129" spans="1:40" ht="14" x14ac:dyDescent="0.35">
      <c r="A129" s="55" t="str">
        <f t="shared" ca="1" si="0"/>
        <v xml:space="preserve"> UMBUZEIRO/ESCOLA CORONEL ANTONIO PESSOA/RECEPCIONISTA/NOITE</v>
      </c>
      <c r="B129" s="55" t="str">
        <f ca="1">IFERROR(__xludf.DUMMYFUNCTION("""COMPUTED_VALUE"""),"00000001492")</f>
        <v>00000001492</v>
      </c>
      <c r="C129" s="55" t="str">
        <f ca="1">IFERROR(__xludf.DUMMYFUNCTION("""COMPUTED_VALUE"""),"T-RECEPCIONISTA/00000001492")</f>
        <v>T-RECEPCIONISTA/00000001492</v>
      </c>
      <c r="D129" s="56" t="str">
        <f ca="1">IFERROR(__xludf.DUMMYFUNCTION("""COMPUTED_VALUE"""),"https://docs.google.com/spreadsheets/d/11R04PGcgMcMER020nuPnHCRaIAgXIOKshaXp5wprgyU/edit?usp=drivesdk")</f>
        <v>https://docs.google.com/spreadsheets/d/11R04PGcgMcMER020nuPnHCRaIAgXIOKshaXp5wprgyU/edit?usp=drivesdk</v>
      </c>
      <c r="E129" s="55" t="str">
        <f ca="1">IFERROR(__xludf.DUMMYFUNCTION("""COMPUTED_VALUE"""),"17 - PARAIBATEC FIC")</f>
        <v>17 - PARAIBATEC FIC</v>
      </c>
      <c r="F129" s="55" t="str">
        <f ca="1">IFERROR(__xludf.DUMMYFUNCTION("""COMPUTED_VALUE"""),"PARAIBATEC FIC")</f>
        <v>PARAIBATEC FIC</v>
      </c>
      <c r="G129" s="55" t="str">
        <f ca="1">IFERROR(__xludf.DUMMYFUNCTION("""COMPUTED_VALUE"""),"01 - PARAIBATEC")</f>
        <v>01 - PARAIBATEC</v>
      </c>
      <c r="H129" s="55" t="str">
        <f ca="1">IFERROR(__xludf.DUMMYFUNCTION("""COMPUTED_VALUE"""),"PARAIBATEC")</f>
        <v>PARAIBATEC</v>
      </c>
      <c r="I129" s="55" t="str">
        <f ca="1">IFERROR(__xludf.DUMMYFUNCTION("""COMPUTED_VALUE"""),"564 - ESCOLA CORONEL ANTONIO PESSOA")</f>
        <v>564 - ESCOLA CORONEL ANTONIO PESSOA</v>
      </c>
      <c r="J129" s="55" t="str">
        <f ca="1">IFERROR(__xludf.DUMMYFUNCTION("""COMPUTED_VALUE""")," UMBUZEIRO")</f>
        <v xml:space="preserve"> UMBUZEIRO</v>
      </c>
      <c r="K129" s="55"/>
      <c r="L129" s="55"/>
      <c r="M129" s="55" t="str">
        <f ca="1">IFERROR(__xludf.DUMMYFUNCTION("""COMPUTED_VALUE"""),"ESCOLA CORONEL ANTONIO PESSOA")</f>
        <v>ESCOLA CORONEL ANTONIO PESSOA</v>
      </c>
      <c r="N129" s="55">
        <f ca="1">IFERROR(__xludf.DUMMYFUNCTION("""COMPUTED_VALUE"""),221169)</f>
        <v>221169</v>
      </c>
      <c r="O129" s="55" t="str">
        <f ca="1">IFERROR(__xludf.DUMMYFUNCTION("""COMPUTED_VALUE"""),"GESTAO E NEGOCIOS")</f>
        <v>GESTAO E NEGOCIOS</v>
      </c>
      <c r="P129" s="55" t="str">
        <f ca="1">IFERROR(__xludf.DUMMYFUNCTION("""COMPUTED_VALUE"""),"RECEPCIONISTA")</f>
        <v>RECEPCIONISTA</v>
      </c>
      <c r="Q129" s="55" t="str">
        <f ca="1">IFERROR(__xludf.DUMMYFUNCTION("""COMPUTED_VALUE"""),"FIC")</f>
        <v>FIC</v>
      </c>
      <c r="R129" s="55">
        <f ca="1">IFERROR(__xludf.DUMMYFUNCTION("""COMPUTED_VALUE"""),160)</f>
        <v>160</v>
      </c>
      <c r="S129" s="55" t="str">
        <f ca="1">IFERROR(__xludf.DUMMYFUNCTION("""COMPUTED_VALUE"""),"NOITE")</f>
        <v>NOITE</v>
      </c>
      <c r="T129" s="57">
        <f ca="1">IFERROR(__xludf.DUMMYFUNCTION("""COMPUTED_VALUE"""),45691)</f>
        <v>45691</v>
      </c>
      <c r="U129" s="57">
        <f ca="1">IFERROR(__xludf.DUMMYFUNCTION("""COMPUTED_VALUE"""),45791)</f>
        <v>45791</v>
      </c>
      <c r="V129" s="55"/>
      <c r="W129" s="55"/>
      <c r="X129" s="55"/>
      <c r="Y129" s="55" t="str">
        <f ca="1">IFERROR(__xludf.DUMMYFUNCTION("""COMPUTED_VALUE"""),"EM OFERTA")</f>
        <v>EM OFERTA</v>
      </c>
      <c r="Z129" s="55"/>
      <c r="AA129" s="55"/>
      <c r="AB129" s="55"/>
      <c r="AC129" s="55"/>
      <c r="AD129" s="55"/>
      <c r="AE129" s="55"/>
      <c r="AF129" s="55"/>
      <c r="AG129" s="55"/>
      <c r="AH129" s="55" t="str">
        <f ca="1">IFERROR(__xludf.DUMMYFUNCTION("""COMPUTED_VALUE"""),"-")</f>
        <v>-</v>
      </c>
      <c r="AI129" s="55" t="str">
        <f ca="1">IFERROR(__xludf.DUMMYFUNCTION("""COMPUTED_VALUE"""),"PEDRO VICTOR RODRIGUES DE FARIAS")</f>
        <v>PEDRO VICTOR RODRIGUES DE FARIAS</v>
      </c>
      <c r="AJ129" s="55" t="str">
        <f ca="1">IFERROR(__xludf.DUMMYFUNCTION("""COMPUTED_VALUE"""),"-")</f>
        <v>-</v>
      </c>
      <c r="AK129" s="55" t="str">
        <f ca="1">IFERROR(__xludf.DUMMYFUNCTION("""COMPUTED_VALUE"""),"-")</f>
        <v>-</v>
      </c>
      <c r="AL129" s="55" t="str">
        <f ca="1">IFERROR(__xludf.DUMMYFUNCTION("""COMPUTED_VALUE"""),"ANA KAROLINA DA ROCHA DUARTE")</f>
        <v>ANA KAROLINA DA ROCHA DUARTE</v>
      </c>
      <c r="AM129" s="55">
        <f ca="1">IFERROR(__xludf.DUMMYFUNCTION("""COMPUTED_VALUE"""),2025)</f>
        <v>2025</v>
      </c>
      <c r="AN129" s="55"/>
    </row>
    <row r="130" spans="1:40" ht="14" x14ac:dyDescent="0.35">
      <c r="A130" s="55" t="str">
        <f t="shared" ca="1" si="0"/>
        <v xml:space="preserve"> VISTA SERRANA/ESCOLA MUNICIPAL DO ENSINO FUNDAMENTAL JOSE GIL XAVIER DE FARIAS/SALGADEIRO/NOITE</v>
      </c>
      <c r="B130" s="55" t="str">
        <f ca="1">IFERROR(__xludf.DUMMYFUNCTION("""COMPUTED_VALUE"""),"00000001493")</f>
        <v>00000001493</v>
      </c>
      <c r="C130" s="55" t="str">
        <f ca="1">IFERROR(__xludf.DUMMYFUNCTION("""COMPUTED_VALUE"""),"T-SALGADEIRO/00000001493")</f>
        <v>T-SALGADEIRO/00000001493</v>
      </c>
      <c r="D130" s="56" t="str">
        <f ca="1">IFERROR(__xludf.DUMMYFUNCTION("""COMPUTED_VALUE"""),"https://docs.google.com/spreadsheets/d/1ME8tJuBBw2fevg8Ze8WWuJlJ5GSKQGURdK5Co5VOq0Q/edit?usp=drivesdk")</f>
        <v>https://docs.google.com/spreadsheets/d/1ME8tJuBBw2fevg8Ze8WWuJlJ5GSKQGURdK5Co5VOq0Q/edit?usp=drivesdk</v>
      </c>
      <c r="E130" s="55" t="str">
        <f ca="1">IFERROR(__xludf.DUMMYFUNCTION("""COMPUTED_VALUE"""),"17 - PARAIBATEC FIC")</f>
        <v>17 - PARAIBATEC FIC</v>
      </c>
      <c r="F130" s="55" t="str">
        <f ca="1">IFERROR(__xludf.DUMMYFUNCTION("""COMPUTED_VALUE"""),"PARAIBATEC FIC")</f>
        <v>PARAIBATEC FIC</v>
      </c>
      <c r="G130" s="55" t="str">
        <f ca="1">IFERROR(__xludf.DUMMYFUNCTION("""COMPUTED_VALUE"""),"01 - PARAIBATEC")</f>
        <v>01 - PARAIBATEC</v>
      </c>
      <c r="H130" s="55" t="str">
        <f ca="1">IFERROR(__xludf.DUMMYFUNCTION("""COMPUTED_VALUE"""),"PARAIBATEC")</f>
        <v>PARAIBATEC</v>
      </c>
      <c r="I130" s="55" t="str">
        <f ca="1">IFERROR(__xludf.DUMMYFUNCTION("""COMPUTED_VALUE"""),"565 - ESCOLA MUNICIPAL DO ENSINO FUNDAMENTAL JOSE GIL XAVIER DE FARIAS")</f>
        <v>565 - ESCOLA MUNICIPAL DO ENSINO FUNDAMENTAL JOSE GIL XAVIER DE FARIAS</v>
      </c>
      <c r="J130" s="55" t="str">
        <f ca="1">IFERROR(__xludf.DUMMYFUNCTION("""COMPUTED_VALUE""")," VISTA SERRANA")</f>
        <v xml:space="preserve"> VISTA SERRANA</v>
      </c>
      <c r="K130" s="55"/>
      <c r="L130" s="55"/>
      <c r="M130" s="55" t="str">
        <f ca="1">IFERROR(__xludf.DUMMYFUNCTION("""COMPUTED_VALUE"""),"ESCOLA MUNICIPAL DO ENSINO FUNDAMENTAL JOSE GIL XAVIER DE FARIAS")</f>
        <v>ESCOLA MUNICIPAL DO ENSINO FUNDAMENTAL JOSE GIL XAVIER DE FARIAS</v>
      </c>
      <c r="N130" s="55">
        <f ca="1">IFERROR(__xludf.DUMMYFUNCTION("""COMPUTED_VALUE"""),221525)</f>
        <v>221525</v>
      </c>
      <c r="O130" s="55" t="str">
        <f ca="1">IFERROR(__xludf.DUMMYFUNCTION("""COMPUTED_VALUE"""),"TURISMO, HOSPITALIDADE E LAZER")</f>
        <v>TURISMO, HOSPITALIDADE E LAZER</v>
      </c>
      <c r="P130" s="55" t="str">
        <f ca="1">IFERROR(__xludf.DUMMYFUNCTION("""COMPUTED_VALUE"""),"SALGADEIRO")</f>
        <v>SALGADEIRO</v>
      </c>
      <c r="Q130" s="55" t="str">
        <f ca="1">IFERROR(__xludf.DUMMYFUNCTION("""COMPUTED_VALUE"""),"FIC")</f>
        <v>FIC</v>
      </c>
      <c r="R130" s="55">
        <f ca="1">IFERROR(__xludf.DUMMYFUNCTION("""COMPUTED_VALUE"""),160)</f>
        <v>160</v>
      </c>
      <c r="S130" s="55" t="str">
        <f ca="1">IFERROR(__xludf.DUMMYFUNCTION("""COMPUTED_VALUE"""),"NOITE")</f>
        <v>NOITE</v>
      </c>
      <c r="T130" s="57">
        <f ca="1">IFERROR(__xludf.DUMMYFUNCTION("""COMPUTED_VALUE"""),45691)</f>
        <v>45691</v>
      </c>
      <c r="U130" s="57">
        <f ca="1">IFERROR(__xludf.DUMMYFUNCTION("""COMPUTED_VALUE"""),45770)</f>
        <v>45770</v>
      </c>
      <c r="V130" s="55"/>
      <c r="W130" s="55"/>
      <c r="X130" s="55"/>
      <c r="Y130" s="55" t="str">
        <f ca="1">IFERROR(__xludf.DUMMYFUNCTION("""COMPUTED_VALUE"""),"EM OFERTA")</f>
        <v>EM OFERTA</v>
      </c>
      <c r="Z130" s="55"/>
      <c r="AA130" s="55"/>
      <c r="AB130" s="55"/>
      <c r="AC130" s="55"/>
      <c r="AD130" s="55"/>
      <c r="AE130" s="55"/>
      <c r="AF130" s="55"/>
      <c r="AG130" s="55"/>
      <c r="AH130" s="55" t="str">
        <f ca="1">IFERROR(__xludf.DUMMYFUNCTION("""COMPUTED_VALUE"""),"-")</f>
        <v>-</v>
      </c>
      <c r="AI130" s="55" t="str">
        <f ca="1">IFERROR(__xludf.DUMMYFUNCTION("""COMPUTED_VALUE"""),"LUCIANA PEREIRA DA SILVA")</f>
        <v>LUCIANA PEREIRA DA SILVA</v>
      </c>
      <c r="AJ130" s="55" t="str">
        <f ca="1">IFERROR(__xludf.DUMMYFUNCTION("""COMPUTED_VALUE"""),"-")</f>
        <v>-</v>
      </c>
      <c r="AK130" s="55" t="str">
        <f ca="1">IFERROR(__xludf.DUMMYFUNCTION("""COMPUTED_VALUE"""),"-")</f>
        <v>-</v>
      </c>
      <c r="AL130" s="55" t="str">
        <f ca="1">IFERROR(__xludf.DUMMYFUNCTION("""COMPUTED_VALUE"""),"RERISSON DO NASCIMENTO ALVES")</f>
        <v>RERISSON DO NASCIMENTO ALVES</v>
      </c>
      <c r="AM130" s="55">
        <f ca="1">IFERROR(__xludf.DUMMYFUNCTION("""COMPUTED_VALUE"""),2025)</f>
        <v>2025</v>
      </c>
      <c r="AN130" s="55"/>
    </row>
    <row r="131" spans="1:40" ht="14" x14ac:dyDescent="0.35">
      <c r="A131" s="55" t="str">
        <f t="shared" ca="1" si="0"/>
        <v xml:space="preserve"> ALAGOA NOVA/CENTRO ARTESANAL DEPUTADO RAIMUNDO ASFORA/HORTICULTOR ORGÂNICO/TARDE</v>
      </c>
      <c r="B131" s="55" t="str">
        <f ca="1">IFERROR(__xludf.DUMMYFUNCTION("""COMPUTED_VALUE"""),"00000001494")</f>
        <v>00000001494</v>
      </c>
      <c r="C131" s="55" t="str">
        <f ca="1">IFERROR(__xludf.DUMMYFUNCTION("""COMPUTED_VALUE"""),"T-HORTICULTOR ORGÂNICO/00000001494")</f>
        <v>T-HORTICULTOR ORGÂNICO/00000001494</v>
      </c>
      <c r="D131" s="56" t="str">
        <f ca="1">IFERROR(__xludf.DUMMYFUNCTION("""COMPUTED_VALUE"""),"https://docs.google.com/spreadsheets/d/1zmxRbEwzPMPfMvWnG-614gii02-K2AzJRUCD4wrrcN4/edit?usp=drivesdk")</f>
        <v>https://docs.google.com/spreadsheets/d/1zmxRbEwzPMPfMvWnG-614gii02-K2AzJRUCD4wrrcN4/edit?usp=drivesdk</v>
      </c>
      <c r="E131" s="55" t="str">
        <f ca="1">IFERROR(__xludf.DUMMYFUNCTION("""COMPUTED_VALUE"""),"17 - PARAIBATEC FIC")</f>
        <v>17 - PARAIBATEC FIC</v>
      </c>
      <c r="F131" s="55" t="str">
        <f ca="1">IFERROR(__xludf.DUMMYFUNCTION("""COMPUTED_VALUE"""),"PARAIBATEC FIC")</f>
        <v>PARAIBATEC FIC</v>
      </c>
      <c r="G131" s="55" t="str">
        <f ca="1">IFERROR(__xludf.DUMMYFUNCTION("""COMPUTED_VALUE"""),"01 - PARAIBATEC")</f>
        <v>01 - PARAIBATEC</v>
      </c>
      <c r="H131" s="55" t="str">
        <f ca="1">IFERROR(__xludf.DUMMYFUNCTION("""COMPUTED_VALUE"""),"PARAIBATEC")</f>
        <v>PARAIBATEC</v>
      </c>
      <c r="I131" s="55" t="str">
        <f ca="1">IFERROR(__xludf.DUMMYFUNCTION("""COMPUTED_VALUE"""),"412 - CENTRO ARTESANAL DEPUTADO RAIMUNDO ASFORA")</f>
        <v>412 - CENTRO ARTESANAL DEPUTADO RAIMUNDO ASFORA</v>
      </c>
      <c r="J131" s="55" t="str">
        <f ca="1">IFERROR(__xludf.DUMMYFUNCTION("""COMPUTED_VALUE""")," ALAGOA NOVA")</f>
        <v xml:space="preserve"> ALAGOA NOVA</v>
      </c>
      <c r="K131" s="55"/>
      <c r="L131" s="55"/>
      <c r="M131" s="55" t="str">
        <f ca="1">IFERROR(__xludf.DUMMYFUNCTION("""COMPUTED_VALUE"""),"CENTRO ARTESANAL DEPUTADO RAIMUNDO ASFORA")</f>
        <v>CENTRO ARTESANAL DEPUTADO RAIMUNDO ASFORA</v>
      </c>
      <c r="N131" s="55">
        <f ca="1">IFERROR(__xludf.DUMMYFUNCTION("""COMPUTED_VALUE"""),221105)</f>
        <v>221105</v>
      </c>
      <c r="O131" s="55" t="str">
        <f ca="1">IFERROR(__xludf.DUMMYFUNCTION("""COMPUTED_VALUE"""),"RECURSOS NATURAIS")</f>
        <v>RECURSOS NATURAIS</v>
      </c>
      <c r="P131" s="55" t="str">
        <f ca="1">IFERROR(__xludf.DUMMYFUNCTION("""COMPUTED_VALUE"""),"HORTICULTOR ORGÂNICO")</f>
        <v>HORTICULTOR ORGÂNICO</v>
      </c>
      <c r="Q131" s="55" t="str">
        <f ca="1">IFERROR(__xludf.DUMMYFUNCTION("""COMPUTED_VALUE"""),"FIC")</f>
        <v>FIC</v>
      </c>
      <c r="R131" s="55">
        <f ca="1">IFERROR(__xludf.DUMMYFUNCTION("""COMPUTED_VALUE"""),160)</f>
        <v>160</v>
      </c>
      <c r="S131" s="55" t="str">
        <f ca="1">IFERROR(__xludf.DUMMYFUNCTION("""COMPUTED_VALUE"""),"TARDE")</f>
        <v>TARDE</v>
      </c>
      <c r="T131" s="57">
        <f ca="1">IFERROR(__xludf.DUMMYFUNCTION("""COMPUTED_VALUE"""),45714)</f>
        <v>45714</v>
      </c>
      <c r="U131" s="57">
        <f ca="1">IFERROR(__xludf.DUMMYFUNCTION("""COMPUTED_VALUE"""),45847)</f>
        <v>45847</v>
      </c>
      <c r="V131" s="55"/>
      <c r="W131" s="55"/>
      <c r="X131" s="55"/>
      <c r="Y131" s="55" t="str">
        <f ca="1">IFERROR(__xludf.DUMMYFUNCTION("""COMPUTED_VALUE"""),"EM OFERTA")</f>
        <v>EM OFERTA</v>
      </c>
      <c r="Z131" s="55"/>
      <c r="AA131" s="55"/>
      <c r="AB131" s="55"/>
      <c r="AC131" s="55"/>
      <c r="AD131" s="55"/>
      <c r="AE131" s="55"/>
      <c r="AF131" s="55"/>
      <c r="AG131" s="55"/>
      <c r="AH131" s="55" t="str">
        <f ca="1">IFERROR(__xludf.DUMMYFUNCTION("""COMPUTED_VALUE"""),"-")</f>
        <v>-</v>
      </c>
      <c r="AI131" s="55" t="str">
        <f ca="1">IFERROR(__xludf.DUMMYFUNCTION("""COMPUTED_VALUE"""),"JOSEANNE DE LIMA SALES")</f>
        <v>JOSEANNE DE LIMA SALES</v>
      </c>
      <c r="AJ131" s="55" t="str">
        <f ca="1">IFERROR(__xludf.DUMMYFUNCTION("""COMPUTED_VALUE"""),"-")</f>
        <v>-</v>
      </c>
      <c r="AK131" s="55" t="str">
        <f ca="1">IFERROR(__xludf.DUMMYFUNCTION("""COMPUTED_VALUE"""),"-")</f>
        <v>-</v>
      </c>
      <c r="AL131" s="55" t="str">
        <f ca="1">IFERROR(__xludf.DUMMYFUNCTION("""COMPUTED_VALUE"""),"MAGALY MORGANA LOPES DA COSTA")</f>
        <v>MAGALY MORGANA LOPES DA COSTA</v>
      </c>
      <c r="AM131" s="55">
        <f ca="1">IFERROR(__xludf.DUMMYFUNCTION("""COMPUTED_VALUE"""),2025)</f>
        <v>2025</v>
      </c>
      <c r="AN131" s="55"/>
    </row>
    <row r="132" spans="1:40" ht="14" x14ac:dyDescent="0.35">
      <c r="A132" s="55" t="str">
        <f t="shared" ca="1" si="0"/>
        <v xml:space="preserve"> BAÍA DA TRAÍÇÃO/ESCOLA MUNICIPAL DE ENSINO INFANTIL FUND. CENTRO SOCIAL SAO MIGUEL/AGRICULTOR ORGÂNICO/NOITE</v>
      </c>
      <c r="B132" s="55" t="str">
        <f ca="1">IFERROR(__xludf.DUMMYFUNCTION("""COMPUTED_VALUE"""),"00000001495")</f>
        <v>00000001495</v>
      </c>
      <c r="C132" s="55" t="str">
        <f ca="1">IFERROR(__xludf.DUMMYFUNCTION("""COMPUTED_VALUE"""),"T-AGRICULTOR ORGÂNICO/00000001495")</f>
        <v>T-AGRICULTOR ORGÂNICO/00000001495</v>
      </c>
      <c r="D132" s="56" t="str">
        <f ca="1">IFERROR(__xludf.DUMMYFUNCTION("""COMPUTED_VALUE"""),"https://docs.google.com/spreadsheets/d/1Cqb7VUiCPfJU8plmvhzoSalrF8Lm4bNX0POvq7SDnxI/edit?usp=drivesdk")</f>
        <v>https://docs.google.com/spreadsheets/d/1Cqb7VUiCPfJU8plmvhzoSalrF8Lm4bNX0POvq7SDnxI/edit?usp=drivesdk</v>
      </c>
      <c r="E132" s="55" t="str">
        <f ca="1">IFERROR(__xludf.DUMMYFUNCTION("""COMPUTED_VALUE"""),"17 - PARAIBATEC FIC")</f>
        <v>17 - PARAIBATEC FIC</v>
      </c>
      <c r="F132" s="55" t="str">
        <f ca="1">IFERROR(__xludf.DUMMYFUNCTION("""COMPUTED_VALUE"""),"PARAIBATEC FIC")</f>
        <v>PARAIBATEC FIC</v>
      </c>
      <c r="G132" s="55" t="str">
        <f ca="1">IFERROR(__xludf.DUMMYFUNCTION("""COMPUTED_VALUE"""),"01 - PARAIBATEC")</f>
        <v>01 - PARAIBATEC</v>
      </c>
      <c r="H132" s="55" t="str">
        <f ca="1">IFERROR(__xludf.DUMMYFUNCTION("""COMPUTED_VALUE"""),"PARAIBATEC")</f>
        <v>PARAIBATEC</v>
      </c>
      <c r="I132" s="55" t="str">
        <f ca="1">IFERROR(__xludf.DUMMYFUNCTION("""COMPUTED_VALUE"""),"566 - ESCOLA MUNICIPAL DE ENSINO INFANTIL FUND. CENTRO SOCIAL SAO MIGUEL")</f>
        <v>566 - ESCOLA MUNICIPAL DE ENSINO INFANTIL FUND. CENTRO SOCIAL SAO MIGUEL</v>
      </c>
      <c r="J132" s="55" t="str">
        <f ca="1">IFERROR(__xludf.DUMMYFUNCTION("""COMPUTED_VALUE""")," BAÍA DA TRAÍÇÃO")</f>
        <v xml:space="preserve"> BAÍA DA TRAÍÇÃO</v>
      </c>
      <c r="K132" s="55"/>
      <c r="L132" s="55"/>
      <c r="M132" s="55" t="str">
        <f ca="1">IFERROR(__xludf.DUMMYFUNCTION("""COMPUTED_VALUE"""),"ESCOLA MUNICIPAL DE ENSINO INFANTIL FUND. CENTRO SOCIAL SAO MIGUEL")</f>
        <v>ESCOLA MUNICIPAL DE ENSINO INFANTIL FUND. CENTRO SOCIAL SAO MIGUEL</v>
      </c>
      <c r="N132" s="55">
        <f ca="1">IFERROR(__xludf.DUMMYFUNCTION("""COMPUTED_VALUE"""),221106)</f>
        <v>221106</v>
      </c>
      <c r="O132" s="55" t="str">
        <f ca="1">IFERROR(__xludf.DUMMYFUNCTION("""COMPUTED_VALUE"""),"RECURSOS NATURAIS")</f>
        <v>RECURSOS NATURAIS</v>
      </c>
      <c r="P132" s="55" t="str">
        <f ca="1">IFERROR(__xludf.DUMMYFUNCTION("""COMPUTED_VALUE"""),"AGRICULTOR ORGÂNICO")</f>
        <v>AGRICULTOR ORGÂNICO</v>
      </c>
      <c r="Q132" s="55" t="str">
        <f ca="1">IFERROR(__xludf.DUMMYFUNCTION("""COMPUTED_VALUE"""),"FIC")</f>
        <v>FIC</v>
      </c>
      <c r="R132" s="55">
        <f ca="1">IFERROR(__xludf.DUMMYFUNCTION("""COMPUTED_VALUE"""),160)</f>
        <v>160</v>
      </c>
      <c r="S132" s="55" t="str">
        <f ca="1">IFERROR(__xludf.DUMMYFUNCTION("""COMPUTED_VALUE"""),"NOITE")</f>
        <v>NOITE</v>
      </c>
      <c r="T132" s="57">
        <f ca="1">IFERROR(__xludf.DUMMYFUNCTION("""COMPUTED_VALUE"""),45712)</f>
        <v>45712</v>
      </c>
      <c r="U132" s="57"/>
      <c r="V132" s="55"/>
      <c r="W132" s="55"/>
      <c r="X132" s="55"/>
      <c r="Y132" s="55" t="str">
        <f ca="1">IFERROR(__xludf.DUMMYFUNCTION("""COMPUTED_VALUE"""),"EM OFERTA")</f>
        <v>EM OFERTA</v>
      </c>
      <c r="Z132" s="55"/>
      <c r="AA132" s="55"/>
      <c r="AB132" s="55"/>
      <c r="AC132" s="55"/>
      <c r="AD132" s="55"/>
      <c r="AE132" s="55"/>
      <c r="AF132" s="55"/>
      <c r="AG132" s="55"/>
      <c r="AH132" s="55" t="str">
        <f ca="1">IFERROR(__xludf.DUMMYFUNCTION("""COMPUTED_VALUE"""),"-")</f>
        <v>-</v>
      </c>
      <c r="AI132" s="55" t="str">
        <f ca="1">IFERROR(__xludf.DUMMYFUNCTION("""COMPUTED_VALUE"""),"NILMA DE LIMA CRUZ")</f>
        <v>NILMA DE LIMA CRUZ</v>
      </c>
      <c r="AJ132" s="55" t="str">
        <f ca="1">IFERROR(__xludf.DUMMYFUNCTION("""COMPUTED_VALUE"""),"-")</f>
        <v>-</v>
      </c>
      <c r="AK132" s="55" t="str">
        <f ca="1">IFERROR(__xludf.DUMMYFUNCTION("""COMPUTED_VALUE"""),"-")</f>
        <v>-</v>
      </c>
      <c r="AL132" s="55" t="str">
        <f ca="1">IFERROR(__xludf.DUMMYFUNCTION("""COMPUTED_VALUE"""),"MARCELO SANTOS DA SILVA")</f>
        <v>MARCELO SANTOS DA SILVA</v>
      </c>
      <c r="AM132" s="55">
        <f ca="1">IFERROR(__xludf.DUMMYFUNCTION("""COMPUTED_VALUE"""),2025)</f>
        <v>2025</v>
      </c>
      <c r="AN132" s="55"/>
    </row>
    <row r="133" spans="1:40" ht="14" x14ac:dyDescent="0.35">
      <c r="A133" s="55" t="str">
        <f t="shared" ca="1" si="0"/>
        <v xml:space="preserve"> CABEDELO/PORTO CIDADE/ASSISTENTE DE CONTABILIDADE/MANHA</v>
      </c>
      <c r="B133" s="55" t="str">
        <f ca="1">IFERROR(__xludf.DUMMYFUNCTION("""COMPUTED_VALUE"""),"00000001496")</f>
        <v>00000001496</v>
      </c>
      <c r="C133" s="55" t="str">
        <f ca="1">IFERROR(__xludf.DUMMYFUNCTION("""COMPUTED_VALUE"""),"T-ASSISTENTE DE CONTABILIDADE/00000001496")</f>
        <v>T-ASSISTENTE DE CONTABILIDADE/00000001496</v>
      </c>
      <c r="D133" s="56" t="str">
        <f ca="1">IFERROR(__xludf.DUMMYFUNCTION("""COMPUTED_VALUE"""),"https://docs.google.com/spreadsheets/d/1OG_Cbyr9ygagI-DRs4tRyOPJBKpzdPa-nzNBMf5YzcM/edit?usp=drivesdk")</f>
        <v>https://docs.google.com/spreadsheets/d/1OG_Cbyr9ygagI-DRs4tRyOPJBKpzdPa-nzNBMf5YzcM/edit?usp=drivesdk</v>
      </c>
      <c r="E133" s="55" t="str">
        <f ca="1">IFERROR(__xludf.DUMMYFUNCTION("""COMPUTED_VALUE"""),"17 - PARAIBATEC FIC")</f>
        <v>17 - PARAIBATEC FIC</v>
      </c>
      <c r="F133" s="55" t="str">
        <f ca="1">IFERROR(__xludf.DUMMYFUNCTION("""COMPUTED_VALUE"""),"PARAIBATEC FIC")</f>
        <v>PARAIBATEC FIC</v>
      </c>
      <c r="G133" s="55" t="str">
        <f ca="1">IFERROR(__xludf.DUMMYFUNCTION("""COMPUTED_VALUE"""),"01 - PARAIBATEC")</f>
        <v>01 - PARAIBATEC</v>
      </c>
      <c r="H133" s="55" t="str">
        <f ca="1">IFERROR(__xludf.DUMMYFUNCTION("""COMPUTED_VALUE"""),"PARAIBATEC")</f>
        <v>PARAIBATEC</v>
      </c>
      <c r="I133" s="55" t="str">
        <f ca="1">IFERROR(__xludf.DUMMYFUNCTION("""COMPUTED_VALUE"""),"494 - PORTO CIDADE")</f>
        <v>494 - PORTO CIDADE</v>
      </c>
      <c r="J133" s="55" t="str">
        <f ca="1">IFERROR(__xludf.DUMMYFUNCTION("""COMPUTED_VALUE""")," CABEDELO")</f>
        <v xml:space="preserve"> CABEDELO</v>
      </c>
      <c r="K133" s="55"/>
      <c r="L133" s="55"/>
      <c r="M133" s="55" t="str">
        <f ca="1">IFERROR(__xludf.DUMMYFUNCTION("""COMPUTED_VALUE"""),"PORTO CIDADE")</f>
        <v>PORTO CIDADE</v>
      </c>
      <c r="N133" s="55">
        <f ca="1">IFERROR(__xludf.DUMMYFUNCTION("""COMPUTED_VALUE"""),413110)</f>
        <v>413110</v>
      </c>
      <c r="O133" s="55" t="str">
        <f ca="1">IFERROR(__xludf.DUMMYFUNCTION("""COMPUTED_VALUE"""),"GESTAO E NEGOCIOS")</f>
        <v>GESTAO E NEGOCIOS</v>
      </c>
      <c r="P133" s="55" t="str">
        <f ca="1">IFERROR(__xludf.DUMMYFUNCTION("""COMPUTED_VALUE"""),"ASSISTENTE DE CONTABILIDADE")</f>
        <v>ASSISTENTE DE CONTABILIDADE</v>
      </c>
      <c r="Q133" s="55" t="str">
        <f ca="1">IFERROR(__xludf.DUMMYFUNCTION("""COMPUTED_VALUE"""),"FIC")</f>
        <v>FIC</v>
      </c>
      <c r="R133" s="55">
        <f ca="1">IFERROR(__xludf.DUMMYFUNCTION("""COMPUTED_VALUE"""),160)</f>
        <v>160</v>
      </c>
      <c r="S133" s="55" t="str">
        <f ca="1">IFERROR(__xludf.DUMMYFUNCTION("""COMPUTED_VALUE"""),"MANHA")</f>
        <v>MANHA</v>
      </c>
      <c r="T133" s="57">
        <f ca="1">IFERROR(__xludf.DUMMYFUNCTION("""COMPUTED_VALUE"""),45733)</f>
        <v>45733</v>
      </c>
      <c r="U133" s="57">
        <f ca="1">IFERROR(__xludf.DUMMYFUNCTION("""COMPUTED_VALUE"""),45811)</f>
        <v>45811</v>
      </c>
      <c r="V133" s="55"/>
      <c r="W133" s="55"/>
      <c r="X133" s="55"/>
      <c r="Y133" s="55" t="str">
        <f ca="1">IFERROR(__xludf.DUMMYFUNCTION("""COMPUTED_VALUE"""),"EM OFERTA")</f>
        <v>EM OFERTA</v>
      </c>
      <c r="Z133" s="55"/>
      <c r="AA133" s="55"/>
      <c r="AB133" s="55"/>
      <c r="AC133" s="55"/>
      <c r="AD133" s="55"/>
      <c r="AE133" s="55"/>
      <c r="AF133" s="55"/>
      <c r="AG133" s="55"/>
      <c r="AH133" s="55" t="str">
        <f ca="1">IFERROR(__xludf.DUMMYFUNCTION("""COMPUTED_VALUE"""),"-")</f>
        <v>-</v>
      </c>
      <c r="AI133" s="55" t="str">
        <f ca="1">IFERROR(__xludf.DUMMYFUNCTION("""COMPUTED_VALUE"""),"JOAO PEDROSA WANDERLEY NETO")</f>
        <v>JOAO PEDROSA WANDERLEY NETO</v>
      </c>
      <c r="AJ133" s="55" t="str">
        <f ca="1">IFERROR(__xludf.DUMMYFUNCTION("""COMPUTED_VALUE"""),"-")</f>
        <v>-</v>
      </c>
      <c r="AK133" s="55" t="str">
        <f ca="1">IFERROR(__xludf.DUMMYFUNCTION("""COMPUTED_VALUE"""),"-")</f>
        <v>-</v>
      </c>
      <c r="AL133" s="55" t="str">
        <f ca="1">IFERROR(__xludf.DUMMYFUNCTION("""COMPUTED_VALUE"""),"DANIEL AVNER DOSO DE FARIAS AIRES")</f>
        <v>DANIEL AVNER DOSO DE FARIAS AIRES</v>
      </c>
      <c r="AM133" s="55">
        <f ca="1">IFERROR(__xludf.DUMMYFUNCTION("""COMPUTED_VALUE"""),2025)</f>
        <v>2025</v>
      </c>
      <c r="AN133" s="55"/>
    </row>
    <row r="134" spans="1:40" ht="14" x14ac:dyDescent="0.35">
      <c r="A134" s="55" t="str">
        <f t="shared" ca="1" si="0"/>
        <v xml:space="preserve"> CABEDELO/PORTO CIDADE/ESPANHOL BASICO/MANHA</v>
      </c>
      <c r="B134" s="55" t="str">
        <f ca="1">IFERROR(__xludf.DUMMYFUNCTION("""COMPUTED_VALUE"""),"00000001497")</f>
        <v>00000001497</v>
      </c>
      <c r="C134" s="55" t="str">
        <f ca="1">IFERROR(__xludf.DUMMYFUNCTION("""COMPUTED_VALUE"""),"T-ESPANHOL BASICO/00000001497")</f>
        <v>T-ESPANHOL BASICO/00000001497</v>
      </c>
      <c r="D134" s="56" t="str">
        <f ca="1">IFERROR(__xludf.DUMMYFUNCTION("""COMPUTED_VALUE"""),"https://docs.google.com/spreadsheets/d/1ZzL_DvDV4Sw8eoFu28ufokOt5qJ7gBx4mcJ0Ylor25w/edit?usp=drivesdk")</f>
        <v>https://docs.google.com/spreadsheets/d/1ZzL_DvDV4Sw8eoFu28ufokOt5qJ7gBx4mcJ0Ylor25w/edit?usp=drivesdk</v>
      </c>
      <c r="E134" s="55" t="str">
        <f ca="1">IFERROR(__xludf.DUMMYFUNCTION("""COMPUTED_VALUE"""),"17 - PARAIBATEC FIC")</f>
        <v>17 - PARAIBATEC FIC</v>
      </c>
      <c r="F134" s="55" t="str">
        <f ca="1">IFERROR(__xludf.DUMMYFUNCTION("""COMPUTED_VALUE"""),"PARAIBATEC FIC")</f>
        <v>PARAIBATEC FIC</v>
      </c>
      <c r="G134" s="55" t="str">
        <f ca="1">IFERROR(__xludf.DUMMYFUNCTION("""COMPUTED_VALUE"""),"01 - PARAIBATEC")</f>
        <v>01 - PARAIBATEC</v>
      </c>
      <c r="H134" s="55" t="str">
        <f ca="1">IFERROR(__xludf.DUMMYFUNCTION("""COMPUTED_VALUE"""),"PARAIBATEC")</f>
        <v>PARAIBATEC</v>
      </c>
      <c r="I134" s="55" t="str">
        <f ca="1">IFERROR(__xludf.DUMMYFUNCTION("""COMPUTED_VALUE"""),"494 - PORTO CIDADE")</f>
        <v>494 - PORTO CIDADE</v>
      </c>
      <c r="J134" s="55" t="str">
        <f ca="1">IFERROR(__xludf.DUMMYFUNCTION("""COMPUTED_VALUE""")," CABEDELO")</f>
        <v xml:space="preserve"> CABEDELO</v>
      </c>
      <c r="K134" s="55"/>
      <c r="L134" s="55"/>
      <c r="M134" s="55" t="str">
        <f ca="1">IFERROR(__xludf.DUMMYFUNCTION("""COMPUTED_VALUE"""),"PORTO CIDADE")</f>
        <v>PORTO CIDADE</v>
      </c>
      <c r="N134" s="55">
        <f ca="1">IFERROR(__xludf.DUMMYFUNCTION("""COMPUTED_VALUE"""),221398)</f>
        <v>221398</v>
      </c>
      <c r="O134" s="55" t="str">
        <f ca="1">IFERROR(__xludf.DUMMYFUNCTION("""COMPUTED_VALUE"""),"DESENVOLVIMENTO EDUCACIONAL E SOCIAL")</f>
        <v>DESENVOLVIMENTO EDUCACIONAL E SOCIAL</v>
      </c>
      <c r="P134" s="55" t="str">
        <f ca="1">IFERROR(__xludf.DUMMYFUNCTION("""COMPUTED_VALUE"""),"ESPANHOL BASICO")</f>
        <v>ESPANHOL BASICO</v>
      </c>
      <c r="Q134" s="55" t="str">
        <f ca="1">IFERROR(__xludf.DUMMYFUNCTION("""COMPUTED_VALUE"""),"FIC")</f>
        <v>FIC</v>
      </c>
      <c r="R134" s="55">
        <f ca="1">IFERROR(__xludf.DUMMYFUNCTION("""COMPUTED_VALUE"""),160)</f>
        <v>160</v>
      </c>
      <c r="S134" s="55" t="str">
        <f ca="1">IFERROR(__xludf.DUMMYFUNCTION("""COMPUTED_VALUE"""),"MANHA")</f>
        <v>MANHA</v>
      </c>
      <c r="T134" s="57">
        <f ca="1">IFERROR(__xludf.DUMMYFUNCTION("""COMPUTED_VALUE"""),45733)</f>
        <v>45733</v>
      </c>
      <c r="U134" s="57">
        <f ca="1">IFERROR(__xludf.DUMMYFUNCTION("""COMPUTED_VALUE"""),45811)</f>
        <v>45811</v>
      </c>
      <c r="V134" s="55"/>
      <c r="W134" s="55"/>
      <c r="X134" s="55"/>
      <c r="Y134" s="55" t="str">
        <f ca="1">IFERROR(__xludf.DUMMYFUNCTION("""COMPUTED_VALUE"""),"EM OFERTA")</f>
        <v>EM OFERTA</v>
      </c>
      <c r="Z134" s="55"/>
      <c r="AA134" s="55"/>
      <c r="AB134" s="55"/>
      <c r="AC134" s="55"/>
      <c r="AD134" s="55"/>
      <c r="AE134" s="55"/>
      <c r="AF134" s="55"/>
      <c r="AG134" s="55"/>
      <c r="AH134" s="55" t="str">
        <f ca="1">IFERROR(__xludf.DUMMYFUNCTION("""COMPUTED_VALUE"""),"-")</f>
        <v>-</v>
      </c>
      <c r="AI134" s="55" t="str">
        <f ca="1">IFERROR(__xludf.DUMMYFUNCTION("""COMPUTED_VALUE"""),"JOAO PEDROSA WANDERLEY NETO")</f>
        <v>JOAO PEDROSA WANDERLEY NETO</v>
      </c>
      <c r="AJ134" s="55" t="str">
        <f ca="1">IFERROR(__xludf.DUMMYFUNCTION("""COMPUTED_VALUE"""),"-")</f>
        <v>-</v>
      </c>
      <c r="AK134" s="55" t="str">
        <f ca="1">IFERROR(__xludf.DUMMYFUNCTION("""COMPUTED_VALUE"""),"-")</f>
        <v>-</v>
      </c>
      <c r="AL134" s="55" t="str">
        <f ca="1">IFERROR(__xludf.DUMMYFUNCTION("""COMPUTED_VALUE"""),"ERICA FERNANDES BORGES")</f>
        <v>ERICA FERNANDES BORGES</v>
      </c>
      <c r="AM134" s="55">
        <f ca="1">IFERROR(__xludf.DUMMYFUNCTION("""COMPUTED_VALUE"""),2025)</f>
        <v>2025</v>
      </c>
      <c r="AN134" s="55"/>
    </row>
    <row r="135" spans="1:40" ht="14" x14ac:dyDescent="0.35">
      <c r="A135" s="55" t="str">
        <f t="shared" ca="1" si="0"/>
        <v xml:space="preserve"> CONCEICAO/E.M.E.F. RAIMUNDA LEITE SOBRINHA/ASSISTENTE ESCOLAR/NOITE</v>
      </c>
      <c r="B135" s="55" t="str">
        <f ca="1">IFERROR(__xludf.DUMMYFUNCTION("""COMPUTED_VALUE"""),"00000001498")</f>
        <v>00000001498</v>
      </c>
      <c r="C135" s="55" t="str">
        <f ca="1">IFERROR(__xludf.DUMMYFUNCTION("""COMPUTED_VALUE"""),"T-ASSISTENTE ESCOLAR/00000001498")</f>
        <v>T-ASSISTENTE ESCOLAR/00000001498</v>
      </c>
      <c r="D135" s="56" t="str">
        <f ca="1">IFERROR(__xludf.DUMMYFUNCTION("""COMPUTED_VALUE"""),"https://docs.google.com/spreadsheets/d/1uSHgthxp1OGekLjYESMt6aTZBG9Q1Fr0cEuAmvqdnBY/edit?usp=drivesdk")</f>
        <v>https://docs.google.com/spreadsheets/d/1uSHgthxp1OGekLjYESMt6aTZBG9Q1Fr0cEuAmvqdnBY/edit?usp=drivesdk</v>
      </c>
      <c r="E135" s="55" t="str">
        <f ca="1">IFERROR(__xludf.DUMMYFUNCTION("""COMPUTED_VALUE"""),"17 - PARAIBATEC FIC")</f>
        <v>17 - PARAIBATEC FIC</v>
      </c>
      <c r="F135" s="55" t="str">
        <f ca="1">IFERROR(__xludf.DUMMYFUNCTION("""COMPUTED_VALUE"""),"PARAIBATEC FIC")</f>
        <v>PARAIBATEC FIC</v>
      </c>
      <c r="G135" s="55" t="str">
        <f ca="1">IFERROR(__xludf.DUMMYFUNCTION("""COMPUTED_VALUE"""),"01 - PARAIBATEC")</f>
        <v>01 - PARAIBATEC</v>
      </c>
      <c r="H135" s="55" t="str">
        <f ca="1">IFERROR(__xludf.DUMMYFUNCTION("""COMPUTED_VALUE"""),"PARAIBATEC")</f>
        <v>PARAIBATEC</v>
      </c>
      <c r="I135" s="55" t="str">
        <f ca="1">IFERROR(__xludf.DUMMYFUNCTION("""COMPUTED_VALUE"""),"567 - E.M.E.F. RAIMUNDA LEITE SOBRINHA")</f>
        <v>567 - E.M.E.F. RAIMUNDA LEITE SOBRINHA</v>
      </c>
      <c r="J135" s="55" t="str">
        <f ca="1">IFERROR(__xludf.DUMMYFUNCTION("""COMPUTED_VALUE""")," CONCEICAO")</f>
        <v xml:space="preserve"> CONCEICAO</v>
      </c>
      <c r="K135" s="55"/>
      <c r="L135" s="55"/>
      <c r="M135" s="55" t="str">
        <f ca="1">IFERROR(__xludf.DUMMYFUNCTION("""COMPUTED_VALUE"""),"E.M.E.F. RAIMUNDA LEITE SOBRINHA")</f>
        <v>E.M.E.F. RAIMUNDA LEITE SOBRINHA</v>
      </c>
      <c r="N135" s="55">
        <f ca="1">IFERROR(__xludf.DUMMYFUNCTION("""COMPUTED_VALUE"""),221334)</f>
        <v>221334</v>
      </c>
      <c r="O135" s="55" t="str">
        <f ca="1">IFERROR(__xludf.DUMMYFUNCTION("""COMPUTED_VALUE"""),"DESENVOLVIMENTO EDUCACIONAL E SOCIAL")</f>
        <v>DESENVOLVIMENTO EDUCACIONAL E SOCIAL</v>
      </c>
      <c r="P135" s="55" t="str">
        <f ca="1">IFERROR(__xludf.DUMMYFUNCTION("""COMPUTED_VALUE"""),"ASSISTENTE ESCOLAR")</f>
        <v>ASSISTENTE ESCOLAR</v>
      </c>
      <c r="Q135" s="55" t="str">
        <f ca="1">IFERROR(__xludf.DUMMYFUNCTION("""COMPUTED_VALUE"""),"FIC")</f>
        <v>FIC</v>
      </c>
      <c r="R135" s="55">
        <f ca="1">IFERROR(__xludf.DUMMYFUNCTION("""COMPUTED_VALUE"""),160)</f>
        <v>160</v>
      </c>
      <c r="S135" s="55" t="str">
        <f ca="1">IFERROR(__xludf.DUMMYFUNCTION("""COMPUTED_VALUE"""),"NOITE")</f>
        <v>NOITE</v>
      </c>
      <c r="T135" s="57">
        <f ca="1">IFERROR(__xludf.DUMMYFUNCTION("""COMPUTED_VALUE"""),45692)</f>
        <v>45692</v>
      </c>
      <c r="U135" s="57">
        <f ca="1">IFERROR(__xludf.DUMMYFUNCTION("""COMPUTED_VALUE"""),45825)</f>
        <v>45825</v>
      </c>
      <c r="V135" s="55"/>
      <c r="W135" s="55"/>
      <c r="X135" s="55"/>
      <c r="Y135" s="55" t="str">
        <f ca="1">IFERROR(__xludf.DUMMYFUNCTION("""COMPUTED_VALUE"""),"EM OFERTA")</f>
        <v>EM OFERTA</v>
      </c>
      <c r="Z135" s="55"/>
      <c r="AA135" s="55"/>
      <c r="AB135" s="55"/>
      <c r="AC135" s="55"/>
      <c r="AD135" s="55"/>
      <c r="AE135" s="55"/>
      <c r="AF135" s="55"/>
      <c r="AG135" s="55"/>
      <c r="AH135" s="55" t="str">
        <f ca="1">IFERROR(__xludf.DUMMYFUNCTION("""COMPUTED_VALUE"""),"-")</f>
        <v>-</v>
      </c>
      <c r="AI135" s="55" t="str">
        <f ca="1">IFERROR(__xludf.DUMMYFUNCTION("""COMPUTED_VALUE"""),"WASHINGTON MIGUEL GOMES")</f>
        <v>WASHINGTON MIGUEL GOMES</v>
      </c>
      <c r="AJ135" s="55" t="str">
        <f ca="1">IFERROR(__xludf.DUMMYFUNCTION("""COMPUTED_VALUE"""),"-")</f>
        <v>-</v>
      </c>
      <c r="AK135" s="55" t="str">
        <f ca="1">IFERROR(__xludf.DUMMYFUNCTION("""COMPUTED_VALUE"""),"-")</f>
        <v>-</v>
      </c>
      <c r="AL135" s="55" t="str">
        <f ca="1">IFERROR(__xludf.DUMMYFUNCTION("""COMPUTED_VALUE"""),"FRANCIANY MARRIETE MIRANDA OLIVEIRA DE ALENCAR")</f>
        <v>FRANCIANY MARRIETE MIRANDA OLIVEIRA DE ALENCAR</v>
      </c>
      <c r="AM135" s="55">
        <f ca="1">IFERROR(__xludf.DUMMYFUNCTION("""COMPUTED_VALUE"""),2025)</f>
        <v>2025</v>
      </c>
      <c r="AN135" s="55"/>
    </row>
    <row r="136" spans="1:40" ht="14" x14ac:dyDescent="0.35">
      <c r="A136" s="55" t="str">
        <f t="shared" ca="1" si="0"/>
        <v xml:space="preserve"> GURINHÉM/GRUPO ESCOLAR MUNICIPAL ANALIA ARRUDA DA SILVA/AUXILIAR PEDAGOGICO/NOITE</v>
      </c>
      <c r="B136" s="55" t="str">
        <f ca="1">IFERROR(__xludf.DUMMYFUNCTION("""COMPUTED_VALUE"""),"00000001499")</f>
        <v>00000001499</v>
      </c>
      <c r="C136" s="55" t="str">
        <f ca="1">IFERROR(__xludf.DUMMYFUNCTION("""COMPUTED_VALUE"""),"T-AUXILIAR PEDAGOGICO/00000001499")</f>
        <v>T-AUXILIAR PEDAGOGICO/00000001499</v>
      </c>
      <c r="D136" s="56" t="str">
        <f ca="1">IFERROR(__xludf.DUMMYFUNCTION("""COMPUTED_VALUE"""),"https://docs.google.com/spreadsheets/d/1NBINXnFmJK8khEOckoSv524mIpBBgSS041EudZWd8GY/edit?usp=drivesdk")</f>
        <v>https://docs.google.com/spreadsheets/d/1NBINXnFmJK8khEOckoSv524mIpBBgSS041EudZWd8GY/edit?usp=drivesdk</v>
      </c>
      <c r="E136" s="55" t="str">
        <f ca="1">IFERROR(__xludf.DUMMYFUNCTION("""COMPUTED_VALUE"""),"17 - PARAIBATEC FIC")</f>
        <v>17 - PARAIBATEC FIC</v>
      </c>
      <c r="F136" s="55" t="str">
        <f ca="1">IFERROR(__xludf.DUMMYFUNCTION("""COMPUTED_VALUE"""),"PARAIBATEC FIC")</f>
        <v>PARAIBATEC FIC</v>
      </c>
      <c r="G136" s="55" t="str">
        <f ca="1">IFERROR(__xludf.DUMMYFUNCTION("""COMPUTED_VALUE"""),"01 - PARAIBATEC")</f>
        <v>01 - PARAIBATEC</v>
      </c>
      <c r="H136" s="55" t="str">
        <f ca="1">IFERROR(__xludf.DUMMYFUNCTION("""COMPUTED_VALUE"""),"PARAIBATEC")</f>
        <v>PARAIBATEC</v>
      </c>
      <c r="I136" s="55" t="str">
        <f ca="1">IFERROR(__xludf.DUMMYFUNCTION("""COMPUTED_VALUE"""),"515 - GRUPO ESCOLAR MUNICIPAL ANALIA ARRUDA DA SILVA")</f>
        <v>515 - GRUPO ESCOLAR MUNICIPAL ANALIA ARRUDA DA SILVA</v>
      </c>
      <c r="J136" s="55" t="str">
        <f ca="1">IFERROR(__xludf.DUMMYFUNCTION("""COMPUTED_VALUE""")," GURINHÉM")</f>
        <v xml:space="preserve"> GURINHÉM</v>
      </c>
      <c r="K136" s="55"/>
      <c r="L136" s="55"/>
      <c r="M136" s="55" t="str">
        <f ca="1">IFERROR(__xludf.DUMMYFUNCTION("""COMPUTED_VALUE"""),"GRUPO ESCOLAR MUNICIPAL ANALIA ARRUDA DA SILVA")</f>
        <v>GRUPO ESCOLAR MUNICIPAL ANALIA ARRUDA DA SILVA</v>
      </c>
      <c r="N136" s="55">
        <f ca="1">IFERROR(__xludf.DUMMYFUNCTION("""COMPUTED_VALUE"""),273098)</f>
        <v>273098</v>
      </c>
      <c r="O136" s="55" t="str">
        <f ca="1">IFERROR(__xludf.DUMMYFUNCTION("""COMPUTED_VALUE"""),"DESENVOLVIMENTO EDUCACIONAL E SOCIAL")</f>
        <v>DESENVOLVIMENTO EDUCACIONAL E SOCIAL</v>
      </c>
      <c r="P136" s="55" t="str">
        <f ca="1">IFERROR(__xludf.DUMMYFUNCTION("""COMPUTED_VALUE"""),"AUXILIAR PEDAGOGICO")</f>
        <v>AUXILIAR PEDAGOGICO</v>
      </c>
      <c r="Q136" s="55" t="str">
        <f ca="1">IFERROR(__xludf.DUMMYFUNCTION("""COMPUTED_VALUE"""),"FIC")</f>
        <v>FIC</v>
      </c>
      <c r="R136" s="55">
        <f ca="1">IFERROR(__xludf.DUMMYFUNCTION("""COMPUTED_VALUE"""),200)</f>
        <v>200</v>
      </c>
      <c r="S136" s="55" t="str">
        <f ca="1">IFERROR(__xludf.DUMMYFUNCTION("""COMPUTED_VALUE"""),"NOITE")</f>
        <v>NOITE</v>
      </c>
      <c r="T136" s="57">
        <f ca="1">IFERROR(__xludf.DUMMYFUNCTION("""COMPUTED_VALUE"""),45712)</f>
        <v>45712</v>
      </c>
      <c r="U136" s="57">
        <f ca="1">IFERROR(__xludf.DUMMYFUNCTION("""COMPUTED_VALUE"""),45868)</f>
        <v>45868</v>
      </c>
      <c r="V136" s="55"/>
      <c r="W136" s="55"/>
      <c r="X136" s="55"/>
      <c r="Y136" s="55" t="str">
        <f ca="1">IFERROR(__xludf.DUMMYFUNCTION("""COMPUTED_VALUE"""),"EM OFERTA")</f>
        <v>EM OFERTA</v>
      </c>
      <c r="Z136" s="55"/>
      <c r="AA136" s="55"/>
      <c r="AB136" s="55"/>
      <c r="AC136" s="55"/>
      <c r="AD136" s="55"/>
      <c r="AE136" s="55"/>
      <c r="AF136" s="55"/>
      <c r="AG136" s="55"/>
      <c r="AH136" s="55" t="str">
        <f ca="1">IFERROR(__xludf.DUMMYFUNCTION("""COMPUTED_VALUE"""),"-")</f>
        <v>-</v>
      </c>
      <c r="AI136" s="55" t="str">
        <f ca="1">IFERROR(__xludf.DUMMYFUNCTION("""COMPUTED_VALUE"""),"LINDOMAR OLIVEIRA DA SILVA")</f>
        <v>LINDOMAR OLIVEIRA DA SILVA</v>
      </c>
      <c r="AJ136" s="55" t="str">
        <f ca="1">IFERROR(__xludf.DUMMYFUNCTION("""COMPUTED_VALUE"""),"-")</f>
        <v>-</v>
      </c>
      <c r="AK136" s="55" t="str">
        <f ca="1">IFERROR(__xludf.DUMMYFUNCTION("""COMPUTED_VALUE"""),"-")</f>
        <v>-</v>
      </c>
      <c r="AL136" s="55" t="str">
        <f ca="1">IFERROR(__xludf.DUMMYFUNCTION("""COMPUTED_VALUE"""),"LUCIANE CARNEIRO DE SOUZA")</f>
        <v>LUCIANE CARNEIRO DE SOUZA</v>
      </c>
      <c r="AM136" s="55">
        <f ca="1">IFERROR(__xludf.DUMMYFUNCTION("""COMPUTED_VALUE"""),2025)</f>
        <v>2025</v>
      </c>
      <c r="AN136" s="55"/>
    </row>
    <row r="137" spans="1:40" ht="14" x14ac:dyDescent="0.35">
      <c r="A137" s="55" t="str">
        <f t="shared" ca="1" si="0"/>
        <v xml:space="preserve"> JURIPIRANGA/ESCOLA MUNICIPAL MARIA JOSE BORBA/INGLES BASICO/NOITE</v>
      </c>
      <c r="B137" s="55" t="str">
        <f ca="1">IFERROR(__xludf.DUMMYFUNCTION("""COMPUTED_VALUE"""),"00000001500")</f>
        <v>00000001500</v>
      </c>
      <c r="C137" s="55" t="str">
        <f ca="1">IFERROR(__xludf.DUMMYFUNCTION("""COMPUTED_VALUE"""),"T-INGLES BASICO/00000001500")</f>
        <v>T-INGLES BASICO/00000001500</v>
      </c>
      <c r="D137" s="56" t="str">
        <f ca="1">IFERROR(__xludf.DUMMYFUNCTION("""COMPUTED_VALUE"""),"https://docs.google.com/spreadsheets/d/15Xsz5Vk_d8ydcT9_tGPrKZh2ipLoePP8xuOtglLI5iM/edit?usp=drivesdk")</f>
        <v>https://docs.google.com/spreadsheets/d/15Xsz5Vk_d8ydcT9_tGPrKZh2ipLoePP8xuOtglLI5iM/edit?usp=drivesdk</v>
      </c>
      <c r="E137" s="55" t="str">
        <f ca="1">IFERROR(__xludf.DUMMYFUNCTION("""COMPUTED_VALUE"""),"17 - PARAIBATEC FIC")</f>
        <v>17 - PARAIBATEC FIC</v>
      </c>
      <c r="F137" s="55" t="str">
        <f ca="1">IFERROR(__xludf.DUMMYFUNCTION("""COMPUTED_VALUE"""),"PARAIBATEC FIC")</f>
        <v>PARAIBATEC FIC</v>
      </c>
      <c r="G137" s="55" t="str">
        <f ca="1">IFERROR(__xludf.DUMMYFUNCTION("""COMPUTED_VALUE"""),"01 - PARAIBATEC")</f>
        <v>01 - PARAIBATEC</v>
      </c>
      <c r="H137" s="55" t="str">
        <f ca="1">IFERROR(__xludf.DUMMYFUNCTION("""COMPUTED_VALUE"""),"PARAIBATEC")</f>
        <v>PARAIBATEC</v>
      </c>
      <c r="I137" s="55" t="str">
        <f ca="1">IFERROR(__xludf.DUMMYFUNCTION("""COMPUTED_VALUE"""),"369 - ESCOLA MUNICIPAL MARIA JOSE BORBA")</f>
        <v>369 - ESCOLA MUNICIPAL MARIA JOSE BORBA</v>
      </c>
      <c r="J137" s="55" t="str">
        <f ca="1">IFERROR(__xludf.DUMMYFUNCTION("""COMPUTED_VALUE""")," JURIPIRANGA")</f>
        <v xml:space="preserve"> JURIPIRANGA</v>
      </c>
      <c r="K137" s="55"/>
      <c r="L137" s="55"/>
      <c r="M137" s="55" t="str">
        <f ca="1">IFERROR(__xludf.DUMMYFUNCTION("""COMPUTED_VALUE"""),"ESCOLA MUNICIPAL MARIA JOSE BORBA")</f>
        <v>ESCOLA MUNICIPAL MARIA JOSE BORBA</v>
      </c>
      <c r="N137" s="55">
        <f ca="1">IFERROR(__xludf.DUMMYFUNCTION("""COMPUTED_VALUE"""),221453)</f>
        <v>221453</v>
      </c>
      <c r="O137" s="55" t="str">
        <f ca="1">IFERROR(__xludf.DUMMYFUNCTION("""COMPUTED_VALUE"""),"DESENVOLVIMENTO EDUCACIONAL E SOCIAL")</f>
        <v>DESENVOLVIMENTO EDUCACIONAL E SOCIAL</v>
      </c>
      <c r="P137" s="55" t="str">
        <f ca="1">IFERROR(__xludf.DUMMYFUNCTION("""COMPUTED_VALUE"""),"INGLES BASICO")</f>
        <v>INGLES BASICO</v>
      </c>
      <c r="Q137" s="55" t="str">
        <f ca="1">IFERROR(__xludf.DUMMYFUNCTION("""COMPUTED_VALUE"""),"FIC")</f>
        <v>FIC</v>
      </c>
      <c r="R137" s="55">
        <f ca="1">IFERROR(__xludf.DUMMYFUNCTION("""COMPUTED_VALUE"""),160)</f>
        <v>160</v>
      </c>
      <c r="S137" s="55" t="str">
        <f ca="1">IFERROR(__xludf.DUMMYFUNCTION("""COMPUTED_VALUE"""),"NOITE")</f>
        <v>NOITE</v>
      </c>
      <c r="T137" s="57">
        <f ca="1">IFERROR(__xludf.DUMMYFUNCTION("""COMPUTED_VALUE"""),45728)</f>
        <v>45728</v>
      </c>
      <c r="U137" s="57">
        <f ca="1">IFERROR(__xludf.DUMMYFUNCTION("""COMPUTED_VALUE"""),45859)</f>
        <v>45859</v>
      </c>
      <c r="V137" s="55"/>
      <c r="W137" s="55"/>
      <c r="X137" s="55"/>
      <c r="Y137" s="55" t="str">
        <f ca="1">IFERROR(__xludf.DUMMYFUNCTION("""COMPUTED_VALUE"""),"EM OFERTA")</f>
        <v>EM OFERTA</v>
      </c>
      <c r="Z137" s="55"/>
      <c r="AA137" s="55"/>
      <c r="AB137" s="55"/>
      <c r="AC137" s="55"/>
      <c r="AD137" s="55"/>
      <c r="AE137" s="55"/>
      <c r="AF137" s="55"/>
      <c r="AG137" s="55"/>
      <c r="AH137" s="55" t="str">
        <f ca="1">IFERROR(__xludf.DUMMYFUNCTION("""COMPUTED_VALUE"""),"-")</f>
        <v>-</v>
      </c>
      <c r="AI137" s="55" t="str">
        <f ca="1">IFERROR(__xludf.DUMMYFUNCTION("""COMPUTED_VALUE"""),"FERNANDO RODRIGUES TAVARES")</f>
        <v>FERNANDO RODRIGUES TAVARES</v>
      </c>
      <c r="AJ137" s="55" t="str">
        <f ca="1">IFERROR(__xludf.DUMMYFUNCTION("""COMPUTED_VALUE"""),"-")</f>
        <v>-</v>
      </c>
      <c r="AK137" s="55" t="str">
        <f ca="1">IFERROR(__xludf.DUMMYFUNCTION("""COMPUTED_VALUE"""),"-")</f>
        <v>-</v>
      </c>
      <c r="AL137" s="55" t="str">
        <f ca="1">IFERROR(__xludf.DUMMYFUNCTION("""COMPUTED_VALUE"""),"VAGNER BELARMINO DO NASCIMENTO")</f>
        <v>VAGNER BELARMINO DO NASCIMENTO</v>
      </c>
      <c r="AM137" s="55">
        <f ca="1">IFERROR(__xludf.DUMMYFUNCTION("""COMPUTED_VALUE"""),2025)</f>
        <v>2025</v>
      </c>
      <c r="AN137" s="55"/>
    </row>
    <row r="138" spans="1:40" ht="14" x14ac:dyDescent="0.35">
      <c r="A138" s="55" t="str">
        <f t="shared" ca="1" si="0"/>
        <v xml:space="preserve"> MARI/ASFAM ASSOCIACAO DOS FILHOS E AMIGOS DE MARI/ASSISTENTE ADMINISTRATIVO/NOITE</v>
      </c>
      <c r="B138" s="55" t="str">
        <f ca="1">IFERROR(__xludf.DUMMYFUNCTION("""COMPUTED_VALUE"""),"00000001501")</f>
        <v>00000001501</v>
      </c>
      <c r="C138" s="55" t="str">
        <f ca="1">IFERROR(__xludf.DUMMYFUNCTION("""COMPUTED_VALUE"""),"T-ASSISTENTE ADMINISTRATIVO/00000001501")</f>
        <v>T-ASSISTENTE ADMINISTRATIVO/00000001501</v>
      </c>
      <c r="D138" s="56" t="str">
        <f ca="1">IFERROR(__xludf.DUMMYFUNCTION("""COMPUTED_VALUE"""),"https://docs.google.com/spreadsheets/d/1gSClPmlha1VvUv7Eu1YfbMzL4yIM74V_2Gtv9oqs9eo/edit?usp=drivesdk")</f>
        <v>https://docs.google.com/spreadsheets/d/1gSClPmlha1VvUv7Eu1YfbMzL4yIM74V_2Gtv9oqs9eo/edit?usp=drivesdk</v>
      </c>
      <c r="E138" s="55" t="str">
        <f ca="1">IFERROR(__xludf.DUMMYFUNCTION("""COMPUTED_VALUE"""),"17 - PARAIBATEC FIC")</f>
        <v>17 - PARAIBATEC FIC</v>
      </c>
      <c r="F138" s="55" t="str">
        <f ca="1">IFERROR(__xludf.DUMMYFUNCTION("""COMPUTED_VALUE"""),"PARAIBATEC FIC")</f>
        <v>PARAIBATEC FIC</v>
      </c>
      <c r="G138" s="55" t="str">
        <f ca="1">IFERROR(__xludf.DUMMYFUNCTION("""COMPUTED_VALUE"""),"01 - PARAIBATEC")</f>
        <v>01 - PARAIBATEC</v>
      </c>
      <c r="H138" s="55" t="str">
        <f ca="1">IFERROR(__xludf.DUMMYFUNCTION("""COMPUTED_VALUE"""),"PARAIBATEC")</f>
        <v>PARAIBATEC</v>
      </c>
      <c r="I138" s="55" t="str">
        <f ca="1">IFERROR(__xludf.DUMMYFUNCTION("""COMPUTED_VALUE"""),"433 - ASFAM ASSOCIACAO DOS FILHOS E AMIGOS DE MARI")</f>
        <v>433 - ASFAM ASSOCIACAO DOS FILHOS E AMIGOS DE MARI</v>
      </c>
      <c r="J138" s="55" t="str">
        <f ca="1">IFERROR(__xludf.DUMMYFUNCTION("""COMPUTED_VALUE""")," MARI")</f>
        <v xml:space="preserve"> MARI</v>
      </c>
      <c r="K138" s="55"/>
      <c r="L138" s="55"/>
      <c r="M138" s="55" t="str">
        <f ca="1">IFERROR(__xludf.DUMMYFUNCTION("""COMPUTED_VALUE"""),"ASFAM ASSOCIACAO DOS FILHOS E AMIGOS DE MARI")</f>
        <v>ASFAM ASSOCIACAO DOS FILHOS E AMIGOS DE MARI</v>
      </c>
      <c r="N138" s="55">
        <f ca="1">IFERROR(__xludf.DUMMYFUNCTION("""COMPUTED_VALUE"""),221012)</f>
        <v>221012</v>
      </c>
      <c r="O138" s="55" t="str">
        <f ca="1">IFERROR(__xludf.DUMMYFUNCTION("""COMPUTED_VALUE"""),"GESTAO E NEGOCIOS")</f>
        <v>GESTAO E NEGOCIOS</v>
      </c>
      <c r="P138" s="55" t="str">
        <f ca="1">IFERROR(__xludf.DUMMYFUNCTION("""COMPUTED_VALUE"""),"ASSISTENTE ADMINISTRATIVO")</f>
        <v>ASSISTENTE ADMINISTRATIVO</v>
      </c>
      <c r="Q138" s="55" t="str">
        <f ca="1">IFERROR(__xludf.DUMMYFUNCTION("""COMPUTED_VALUE"""),"FIC")</f>
        <v>FIC</v>
      </c>
      <c r="R138" s="55">
        <f ca="1">IFERROR(__xludf.DUMMYFUNCTION("""COMPUTED_VALUE"""),160)</f>
        <v>160</v>
      </c>
      <c r="S138" s="55" t="str">
        <f ca="1">IFERROR(__xludf.DUMMYFUNCTION("""COMPUTED_VALUE"""),"NOITE")</f>
        <v>NOITE</v>
      </c>
      <c r="T138" s="57">
        <f ca="1">IFERROR(__xludf.DUMMYFUNCTION("""COMPUTED_VALUE"""),45712)</f>
        <v>45712</v>
      </c>
      <c r="U138" s="57">
        <f ca="1">IFERROR(__xludf.DUMMYFUNCTION("""COMPUTED_VALUE"""),45845)</f>
        <v>45845</v>
      </c>
      <c r="V138" s="55"/>
      <c r="W138" s="55"/>
      <c r="X138" s="55"/>
      <c r="Y138" s="55" t="str">
        <f ca="1">IFERROR(__xludf.DUMMYFUNCTION("""COMPUTED_VALUE"""),"EM OFERTA")</f>
        <v>EM OFERTA</v>
      </c>
      <c r="Z138" s="55"/>
      <c r="AA138" s="55"/>
      <c r="AB138" s="55"/>
      <c r="AC138" s="55"/>
      <c r="AD138" s="55"/>
      <c r="AE138" s="55"/>
      <c r="AF138" s="55"/>
      <c r="AG138" s="55"/>
      <c r="AH138" s="55" t="str">
        <f ca="1">IFERROR(__xludf.DUMMYFUNCTION("""COMPUTED_VALUE"""),"-")</f>
        <v>-</v>
      </c>
      <c r="AI138" s="55" t="str">
        <f ca="1">IFERROR(__xludf.DUMMYFUNCTION("""COMPUTED_VALUE"""),"BRUNO SILVA DE ALCANTARA")</f>
        <v>BRUNO SILVA DE ALCANTARA</v>
      </c>
      <c r="AJ138" s="55" t="str">
        <f ca="1">IFERROR(__xludf.DUMMYFUNCTION("""COMPUTED_VALUE"""),"-")</f>
        <v>-</v>
      </c>
      <c r="AK138" s="55" t="str">
        <f ca="1">IFERROR(__xludf.DUMMYFUNCTION("""COMPUTED_VALUE"""),"-")</f>
        <v>-</v>
      </c>
      <c r="AL138" s="55" t="str">
        <f ca="1">IFERROR(__xludf.DUMMYFUNCTION("""COMPUTED_VALUE"""),"CLAUDIA LUCIA MENDES CAVALCANTI")</f>
        <v>CLAUDIA LUCIA MENDES CAVALCANTI</v>
      </c>
      <c r="AM138" s="55">
        <f ca="1">IFERROR(__xludf.DUMMYFUNCTION("""COMPUTED_VALUE"""),2025)</f>
        <v>2025</v>
      </c>
      <c r="AN138" s="55"/>
    </row>
    <row r="139" spans="1:40" ht="14" x14ac:dyDescent="0.35">
      <c r="A139" s="55" t="str">
        <f t="shared" ca="1" si="0"/>
        <v xml:space="preserve"> MASSARANDUBA/SINDICATO DOS TRABALHADORES RURAIS AGRICULTORES E AGRICULTORAS FAMILIARES DE MASSARANDUBA/PREPARADOR DE DOCES E CONSERVAS/MANHA</v>
      </c>
      <c r="B139" s="55" t="str">
        <f ca="1">IFERROR(__xludf.DUMMYFUNCTION("""COMPUTED_VALUE"""),"00000001502")</f>
        <v>00000001502</v>
      </c>
      <c r="C139" s="55" t="str">
        <f ca="1">IFERROR(__xludf.DUMMYFUNCTION("""COMPUTED_VALUE"""),"T-PREPARADOR DE DOCES E CONSERVAS/00000001502")</f>
        <v>T-PREPARADOR DE DOCES E CONSERVAS/00000001502</v>
      </c>
      <c r="D139" s="56" t="str">
        <f ca="1">IFERROR(__xludf.DUMMYFUNCTION("""COMPUTED_VALUE"""),"https://docs.google.com/spreadsheets/d/1lSFGi3Sf8Pr2upESwQUw6FI1qXmne0sRazZRidMgOuk/edit?usp=drivesdk")</f>
        <v>https://docs.google.com/spreadsheets/d/1lSFGi3Sf8Pr2upESwQUw6FI1qXmne0sRazZRidMgOuk/edit?usp=drivesdk</v>
      </c>
      <c r="E139" s="55" t="str">
        <f ca="1">IFERROR(__xludf.DUMMYFUNCTION("""COMPUTED_VALUE"""),"17 - PARAIBATEC FIC")</f>
        <v>17 - PARAIBATEC FIC</v>
      </c>
      <c r="F139" s="55" t="str">
        <f ca="1">IFERROR(__xludf.DUMMYFUNCTION("""COMPUTED_VALUE"""),"PARAIBATEC FIC")</f>
        <v>PARAIBATEC FIC</v>
      </c>
      <c r="G139" s="55" t="str">
        <f ca="1">IFERROR(__xludf.DUMMYFUNCTION("""COMPUTED_VALUE"""),"01 - PARAIBATEC")</f>
        <v>01 - PARAIBATEC</v>
      </c>
      <c r="H139" s="55" t="str">
        <f ca="1">IFERROR(__xludf.DUMMYFUNCTION("""COMPUTED_VALUE"""),"PARAIBATEC")</f>
        <v>PARAIBATEC</v>
      </c>
      <c r="I139" s="55" t="str">
        <f ca="1">IFERROR(__xludf.DUMMYFUNCTION("""COMPUTED_VALUE"""),"568 - SINDICATO DOS TRABALHADORES RURAIS AGRICULTORES E AGRICULTORAS FAMILIARES DE MASSARANDUBA")</f>
        <v>568 - SINDICATO DOS TRABALHADORES RURAIS AGRICULTORES E AGRICULTORAS FAMILIARES DE MASSARANDUBA</v>
      </c>
      <c r="J139" s="55" t="str">
        <f ca="1">IFERROR(__xludf.DUMMYFUNCTION("""COMPUTED_VALUE""")," MASSARANDUBA")</f>
        <v xml:space="preserve"> MASSARANDUBA</v>
      </c>
      <c r="K139" s="55"/>
      <c r="L139" s="55"/>
      <c r="M139" s="55" t="str">
        <f ca="1">IFERROR(__xludf.DUMMYFUNCTION("""COMPUTED_VALUE"""),"SINDICATO DOS TRABALHADORES RURAIS AGRICULTORES E AGRICULTORAS FAMILIARES DE MASSARANDUBA")</f>
        <v>SINDICATO DOS TRABALHADORES RURAIS AGRICULTORES E AGRICULTORAS FAMILIARES DE MASSARANDUBA</v>
      </c>
      <c r="N139" s="55">
        <f ca="1">IFERROR(__xludf.DUMMYFUNCTION("""COMPUTED_VALUE"""),221136)</f>
        <v>221136</v>
      </c>
      <c r="O139" s="55" t="str">
        <f ca="1">IFERROR(__xludf.DUMMYFUNCTION("""COMPUTED_VALUE"""),"PRODUÇAO ALIMENTICIA")</f>
        <v>PRODUÇAO ALIMENTICIA</v>
      </c>
      <c r="P139" s="55" t="str">
        <f ca="1">IFERROR(__xludf.DUMMYFUNCTION("""COMPUTED_VALUE"""),"PREPARADOR DE DOCES E CONSERVAS")</f>
        <v>PREPARADOR DE DOCES E CONSERVAS</v>
      </c>
      <c r="Q139" s="55" t="str">
        <f ca="1">IFERROR(__xludf.DUMMYFUNCTION("""COMPUTED_VALUE"""),"FIC")</f>
        <v>FIC</v>
      </c>
      <c r="R139" s="55">
        <f ca="1">IFERROR(__xludf.DUMMYFUNCTION("""COMPUTED_VALUE"""),200)</f>
        <v>200</v>
      </c>
      <c r="S139" s="55" t="str">
        <f ca="1">IFERROR(__xludf.DUMMYFUNCTION("""COMPUTED_VALUE"""),"MANHA")</f>
        <v>MANHA</v>
      </c>
      <c r="T139" s="57">
        <f ca="1">IFERROR(__xludf.DUMMYFUNCTION("""COMPUTED_VALUE"""),45692)</f>
        <v>45692</v>
      </c>
      <c r="U139" s="57">
        <f ca="1">IFERROR(__xludf.DUMMYFUNCTION("""COMPUTED_VALUE"""),45821)</f>
        <v>45821</v>
      </c>
      <c r="V139" s="55"/>
      <c r="W139" s="55"/>
      <c r="X139" s="55"/>
      <c r="Y139" s="55" t="str">
        <f ca="1">IFERROR(__xludf.DUMMYFUNCTION("""COMPUTED_VALUE"""),"EM OFERTA")</f>
        <v>EM OFERTA</v>
      </c>
      <c r="Z139" s="55"/>
      <c r="AA139" s="55"/>
      <c r="AB139" s="55"/>
      <c r="AC139" s="55"/>
      <c r="AD139" s="55"/>
      <c r="AE139" s="55"/>
      <c r="AF139" s="55"/>
      <c r="AG139" s="55"/>
      <c r="AH139" s="55" t="str">
        <f ca="1">IFERROR(__xludf.DUMMYFUNCTION("""COMPUTED_VALUE"""),"-")</f>
        <v>-</v>
      </c>
      <c r="AI139" s="55" t="str">
        <f ca="1">IFERROR(__xludf.DUMMYFUNCTION("""COMPUTED_VALUE"""),"CLIVANIA RAMOS DE BRITO ARAUJO")</f>
        <v>CLIVANIA RAMOS DE BRITO ARAUJO</v>
      </c>
      <c r="AJ139" s="55" t="str">
        <f ca="1">IFERROR(__xludf.DUMMYFUNCTION("""COMPUTED_VALUE"""),"-")</f>
        <v>-</v>
      </c>
      <c r="AK139" s="55" t="str">
        <f ca="1">IFERROR(__xludf.DUMMYFUNCTION("""COMPUTED_VALUE"""),"-")</f>
        <v>-</v>
      </c>
      <c r="AL139" s="55" t="str">
        <f ca="1">IFERROR(__xludf.DUMMYFUNCTION("""COMPUTED_VALUE"""),"LAIZA SOLIELY COSTA GONÇALVES")</f>
        <v>LAIZA SOLIELY COSTA GONÇALVES</v>
      </c>
      <c r="AM139" s="55">
        <f ca="1">IFERROR(__xludf.DUMMYFUNCTION("""COMPUTED_VALUE"""),2025)</f>
        <v>2025</v>
      </c>
      <c r="AN139" s="55"/>
    </row>
    <row r="140" spans="1:40" ht="14" x14ac:dyDescent="0.35">
      <c r="A140" s="55" t="str">
        <f t="shared" ca="1" si="0"/>
        <v xml:space="preserve"> MATURÉIA/EMEF MARIA TAMARA SOUZA DO NASCIMENTO/CONDUTOR DE TURISMO EM UNIDADES DE CONSERVAÇAO AMBIENTAL LOCAL/NOITE</v>
      </c>
      <c r="B140" s="55" t="str">
        <f ca="1">IFERROR(__xludf.DUMMYFUNCTION("""COMPUTED_VALUE"""),"00000001503")</f>
        <v>00000001503</v>
      </c>
      <c r="C140" s="55" t="str">
        <f ca="1">IFERROR(__xludf.DUMMYFUNCTION("""COMPUTED_VALUE"""),"T-CONDUTOR DE TURISMO EM UNIDADES DE CONSERVAÇAO AMBIENTAL LOCAL/00000001503")</f>
        <v>T-CONDUTOR DE TURISMO EM UNIDADES DE CONSERVAÇAO AMBIENTAL LOCAL/00000001503</v>
      </c>
      <c r="D140" s="56" t="str">
        <f ca="1">IFERROR(__xludf.DUMMYFUNCTION("""COMPUTED_VALUE"""),"https://docs.google.com/spreadsheets/d/1CY0pcdvs5iY4cNQoc5Sr4NpyR81CIgRLVdilFy3KwoA/edit?usp=drivesdk")</f>
        <v>https://docs.google.com/spreadsheets/d/1CY0pcdvs5iY4cNQoc5Sr4NpyR81CIgRLVdilFy3KwoA/edit?usp=drivesdk</v>
      </c>
      <c r="E140" s="55" t="str">
        <f ca="1">IFERROR(__xludf.DUMMYFUNCTION("""COMPUTED_VALUE"""),"17 - PARAIBATEC FIC")</f>
        <v>17 - PARAIBATEC FIC</v>
      </c>
      <c r="F140" s="55" t="str">
        <f ca="1">IFERROR(__xludf.DUMMYFUNCTION("""COMPUTED_VALUE"""),"PARAIBATEC FIC")</f>
        <v>PARAIBATEC FIC</v>
      </c>
      <c r="G140" s="55" t="str">
        <f ca="1">IFERROR(__xludf.DUMMYFUNCTION("""COMPUTED_VALUE"""),"01 - PARAIBATEC")</f>
        <v>01 - PARAIBATEC</v>
      </c>
      <c r="H140" s="55" t="str">
        <f ca="1">IFERROR(__xludf.DUMMYFUNCTION("""COMPUTED_VALUE"""),"PARAIBATEC")</f>
        <v>PARAIBATEC</v>
      </c>
      <c r="I140" s="55" t="str">
        <f ca="1">IFERROR(__xludf.DUMMYFUNCTION("""COMPUTED_VALUE"""),"435 - EMEF MARIA TAMARA SOUZA DO NASCIMENTO")</f>
        <v>435 - EMEF MARIA TAMARA SOUZA DO NASCIMENTO</v>
      </c>
      <c r="J140" s="55" t="str">
        <f ca="1">IFERROR(__xludf.DUMMYFUNCTION("""COMPUTED_VALUE""")," MATURÉIA")</f>
        <v xml:space="preserve"> MATURÉIA</v>
      </c>
      <c r="K140" s="55"/>
      <c r="L140" s="55"/>
      <c r="M140" s="55" t="str">
        <f ca="1">IFERROR(__xludf.DUMMYFUNCTION("""COMPUTED_VALUE"""),"EMEF MARIA TAMARA SOUZA DO NASCIMENTO")</f>
        <v>EMEF MARIA TAMARA SOUZA DO NASCIMENTO</v>
      </c>
      <c r="N140" s="55">
        <f ca="1">IFERROR(__xludf.DUMMYFUNCTION("""COMPUTED_VALUE"""),221412)</f>
        <v>221412</v>
      </c>
      <c r="O140" s="55" t="str">
        <f ca="1">IFERROR(__xludf.DUMMYFUNCTION("""COMPUTED_VALUE"""),"TURISMO, HOSPITALIDADE E LAZER")</f>
        <v>TURISMO, HOSPITALIDADE E LAZER</v>
      </c>
      <c r="P140" s="55" t="str">
        <f ca="1">IFERROR(__xludf.DUMMYFUNCTION("""COMPUTED_VALUE"""),"CONDUTOR DE TURISMO EM UNIDADES DE CONSERVAÇAO AMBIENTAL LOCAL")</f>
        <v>CONDUTOR DE TURISMO EM UNIDADES DE CONSERVAÇAO AMBIENTAL LOCAL</v>
      </c>
      <c r="Q140" s="55" t="str">
        <f ca="1">IFERROR(__xludf.DUMMYFUNCTION("""COMPUTED_VALUE"""),"FIC")</f>
        <v>FIC</v>
      </c>
      <c r="R140" s="55">
        <f ca="1">IFERROR(__xludf.DUMMYFUNCTION("""COMPUTED_VALUE"""),200)</f>
        <v>200</v>
      </c>
      <c r="S140" s="55" t="str">
        <f ca="1">IFERROR(__xludf.DUMMYFUNCTION("""COMPUTED_VALUE"""),"NOITE")</f>
        <v>NOITE</v>
      </c>
      <c r="T140" s="57">
        <f ca="1">IFERROR(__xludf.DUMMYFUNCTION("""COMPUTED_VALUE"""),45713)</f>
        <v>45713</v>
      </c>
      <c r="U140" s="57">
        <f ca="1">IFERROR(__xludf.DUMMYFUNCTION("""COMPUTED_VALUE"""),45839)</f>
        <v>45839</v>
      </c>
      <c r="V140" s="55"/>
      <c r="W140" s="55"/>
      <c r="X140" s="55"/>
      <c r="Y140" s="55" t="str">
        <f ca="1">IFERROR(__xludf.DUMMYFUNCTION("""COMPUTED_VALUE"""),"EM OFERTA")</f>
        <v>EM OFERTA</v>
      </c>
      <c r="Z140" s="55"/>
      <c r="AA140" s="55"/>
      <c r="AB140" s="55"/>
      <c r="AC140" s="55"/>
      <c r="AD140" s="55"/>
      <c r="AE140" s="55"/>
      <c r="AF140" s="55"/>
      <c r="AG140" s="55"/>
      <c r="AH140" s="55" t="str">
        <f ca="1">IFERROR(__xludf.DUMMYFUNCTION("""COMPUTED_VALUE"""),"-")</f>
        <v>-</v>
      </c>
      <c r="AI140" s="55" t="str">
        <f ca="1">IFERROR(__xludf.DUMMYFUNCTION("""COMPUTED_VALUE"""),"ALISSON MENESES BATISTA")</f>
        <v>ALISSON MENESES BATISTA</v>
      </c>
      <c r="AJ140" s="55" t="str">
        <f ca="1">IFERROR(__xludf.DUMMYFUNCTION("""COMPUTED_VALUE"""),"-")</f>
        <v>-</v>
      </c>
      <c r="AK140" s="55" t="str">
        <f ca="1">IFERROR(__xludf.DUMMYFUNCTION("""COMPUTED_VALUE"""),"-")</f>
        <v>-</v>
      </c>
      <c r="AL140" s="55" t="str">
        <f ca="1">IFERROR(__xludf.DUMMYFUNCTION("""COMPUTED_VALUE"""),"RICELLI MONTEIRO DE LIRA")</f>
        <v>RICELLI MONTEIRO DE LIRA</v>
      </c>
      <c r="AM140" s="55">
        <f ca="1">IFERROR(__xludf.DUMMYFUNCTION("""COMPUTED_VALUE"""),2025)</f>
        <v>2025</v>
      </c>
      <c r="AN140" s="55"/>
    </row>
    <row r="141" spans="1:40" ht="14" x14ac:dyDescent="0.35">
      <c r="A141" s="55" t="str">
        <f t="shared" ca="1" si="0"/>
        <v xml:space="preserve"> SÃO BENTINHO/CENTRO DE REFERENCIA DE ASSISTENCIA SOCIAL CRAS/AUXILIAR PEDAGOGICO/TARDE</v>
      </c>
      <c r="B141" s="55" t="str">
        <f ca="1">IFERROR(__xludf.DUMMYFUNCTION("""COMPUTED_VALUE"""),"00000001504")</f>
        <v>00000001504</v>
      </c>
      <c r="C141" s="55" t="str">
        <f ca="1">IFERROR(__xludf.DUMMYFUNCTION("""COMPUTED_VALUE"""),"T-AUXILIAR PEDAGOGICO/00000001504")</f>
        <v>T-AUXILIAR PEDAGOGICO/00000001504</v>
      </c>
      <c r="D141" s="56" t="str">
        <f ca="1">IFERROR(__xludf.DUMMYFUNCTION("""COMPUTED_VALUE"""),"https://docs.google.com/spreadsheets/d/1Zey2qZa-dQuoU5BLJOI8bCQQkZwBepKuTZCH6C-GSF0/edit?usp=drivesdk")</f>
        <v>https://docs.google.com/spreadsheets/d/1Zey2qZa-dQuoU5BLJOI8bCQQkZwBepKuTZCH6C-GSF0/edit?usp=drivesdk</v>
      </c>
      <c r="E141" s="55" t="str">
        <f ca="1">IFERROR(__xludf.DUMMYFUNCTION("""COMPUTED_VALUE"""),"17 - PARAIBATEC FIC")</f>
        <v>17 - PARAIBATEC FIC</v>
      </c>
      <c r="F141" s="55" t="str">
        <f ca="1">IFERROR(__xludf.DUMMYFUNCTION("""COMPUTED_VALUE"""),"PARAIBATEC FIC")</f>
        <v>PARAIBATEC FIC</v>
      </c>
      <c r="G141" s="55" t="str">
        <f ca="1">IFERROR(__xludf.DUMMYFUNCTION("""COMPUTED_VALUE"""),"01 - PARAIBATEC")</f>
        <v>01 - PARAIBATEC</v>
      </c>
      <c r="H141" s="55" t="str">
        <f ca="1">IFERROR(__xludf.DUMMYFUNCTION("""COMPUTED_VALUE"""),"PARAIBATEC")</f>
        <v>PARAIBATEC</v>
      </c>
      <c r="I141" s="55" t="str">
        <f ca="1">IFERROR(__xludf.DUMMYFUNCTION("""COMPUTED_VALUE"""),"569 - CENTRO DE REFERENCIA DE ASSISTENCIA SOCIAL CRAS")</f>
        <v>569 - CENTRO DE REFERENCIA DE ASSISTENCIA SOCIAL CRAS</v>
      </c>
      <c r="J141" s="55" t="str">
        <f ca="1">IFERROR(__xludf.DUMMYFUNCTION("""COMPUTED_VALUE""")," SÃO BENTINHO")</f>
        <v xml:space="preserve"> SÃO BENTINHO</v>
      </c>
      <c r="K141" s="55"/>
      <c r="L141" s="55"/>
      <c r="M141" s="55" t="str">
        <f ca="1">IFERROR(__xludf.DUMMYFUNCTION("""COMPUTED_VALUE"""),"CENTRO DE REFERENCIA DE ASSISTENCIA SOCIAL CRAS")</f>
        <v>CENTRO DE REFERENCIA DE ASSISTENCIA SOCIAL CRAS</v>
      </c>
      <c r="N141" s="55">
        <f ca="1">IFERROR(__xludf.DUMMYFUNCTION("""COMPUTED_VALUE"""),273098)</f>
        <v>273098</v>
      </c>
      <c r="O141" s="55" t="str">
        <f ca="1">IFERROR(__xludf.DUMMYFUNCTION("""COMPUTED_VALUE"""),"DESENVOLVIMENTO EDUCACIONAL E SOCIAL")</f>
        <v>DESENVOLVIMENTO EDUCACIONAL E SOCIAL</v>
      </c>
      <c r="P141" s="55" t="str">
        <f ca="1">IFERROR(__xludf.DUMMYFUNCTION("""COMPUTED_VALUE"""),"AUXILIAR PEDAGOGICO")</f>
        <v>AUXILIAR PEDAGOGICO</v>
      </c>
      <c r="Q141" s="55" t="str">
        <f ca="1">IFERROR(__xludf.DUMMYFUNCTION("""COMPUTED_VALUE"""),"FIC")</f>
        <v>FIC</v>
      </c>
      <c r="R141" s="55">
        <f ca="1">IFERROR(__xludf.DUMMYFUNCTION("""COMPUTED_VALUE"""),200)</f>
        <v>200</v>
      </c>
      <c r="S141" s="55" t="str">
        <f ca="1">IFERROR(__xludf.DUMMYFUNCTION("""COMPUTED_VALUE"""),"TARDE")</f>
        <v>TARDE</v>
      </c>
      <c r="T141" s="57">
        <f ca="1">IFERROR(__xludf.DUMMYFUNCTION("""COMPUTED_VALUE"""),45692)</f>
        <v>45692</v>
      </c>
      <c r="U141" s="57">
        <f ca="1">IFERROR(__xludf.DUMMYFUNCTION("""COMPUTED_VALUE"""),45854)</f>
        <v>45854</v>
      </c>
      <c r="V141" s="55"/>
      <c r="W141" s="55"/>
      <c r="X141" s="55"/>
      <c r="Y141" s="55" t="str">
        <f ca="1">IFERROR(__xludf.DUMMYFUNCTION("""COMPUTED_VALUE"""),"EM OFERTA")</f>
        <v>EM OFERTA</v>
      </c>
      <c r="Z141" s="55"/>
      <c r="AA141" s="55"/>
      <c r="AB141" s="55"/>
      <c r="AC141" s="55"/>
      <c r="AD141" s="55"/>
      <c r="AE141" s="55"/>
      <c r="AF141" s="55"/>
      <c r="AG141" s="55"/>
      <c r="AH141" s="55" t="str">
        <f ca="1">IFERROR(__xludf.DUMMYFUNCTION("""COMPUTED_VALUE"""),"-")</f>
        <v>-</v>
      </c>
      <c r="AI141" s="55" t="str">
        <f ca="1">IFERROR(__xludf.DUMMYFUNCTION("""COMPUTED_VALUE"""),"DAMIAO TRIGUEIRO DA COSTA")</f>
        <v>DAMIAO TRIGUEIRO DA COSTA</v>
      </c>
      <c r="AJ141" s="55" t="str">
        <f ca="1">IFERROR(__xludf.DUMMYFUNCTION("""COMPUTED_VALUE"""),"-")</f>
        <v>-</v>
      </c>
      <c r="AK141" s="55" t="str">
        <f ca="1">IFERROR(__xludf.DUMMYFUNCTION("""COMPUTED_VALUE"""),"-")</f>
        <v>-</v>
      </c>
      <c r="AL141" s="55" t="str">
        <f ca="1">IFERROR(__xludf.DUMMYFUNCTION("""COMPUTED_VALUE"""),"FRANCISCO DE ASSIS SANTANA")</f>
        <v>FRANCISCO DE ASSIS SANTANA</v>
      </c>
      <c r="AM141" s="55">
        <f ca="1">IFERROR(__xludf.DUMMYFUNCTION("""COMPUTED_VALUE"""),2025)</f>
        <v>2025</v>
      </c>
      <c r="AN141" s="55"/>
    </row>
    <row r="142" spans="1:40" ht="14" x14ac:dyDescent="0.35">
      <c r="A142" s="55" t="str">
        <f t="shared" ca="1" si="0"/>
        <v xml:space="preserve"> ZABELÊ/CENTRO DE CONVIVENCIA/CAPRINOCULTOR/TARDE</v>
      </c>
      <c r="B142" s="55" t="str">
        <f ca="1">IFERROR(__xludf.DUMMYFUNCTION("""COMPUTED_VALUE"""),"00000001505")</f>
        <v>00000001505</v>
      </c>
      <c r="C142" s="55" t="str">
        <f ca="1">IFERROR(__xludf.DUMMYFUNCTION("""COMPUTED_VALUE"""),"T-CAPRINOCULTOR/00000001505")</f>
        <v>T-CAPRINOCULTOR/00000001505</v>
      </c>
      <c r="D142" s="56" t="str">
        <f ca="1">IFERROR(__xludf.DUMMYFUNCTION("""COMPUTED_VALUE"""),"https://docs.google.com/spreadsheets/d/1RtbPjgMyseDanQGS8wlcFj2OBl2IrTWUK8_jJGQ19eU/edit?usp=drivesdk")</f>
        <v>https://docs.google.com/spreadsheets/d/1RtbPjgMyseDanQGS8wlcFj2OBl2IrTWUK8_jJGQ19eU/edit?usp=drivesdk</v>
      </c>
      <c r="E142" s="55" t="str">
        <f ca="1">IFERROR(__xludf.DUMMYFUNCTION("""COMPUTED_VALUE"""),"17 - PARAIBATEC FIC")</f>
        <v>17 - PARAIBATEC FIC</v>
      </c>
      <c r="F142" s="55" t="str">
        <f ca="1">IFERROR(__xludf.DUMMYFUNCTION("""COMPUTED_VALUE"""),"PARAIBATEC FIC")</f>
        <v>PARAIBATEC FIC</v>
      </c>
      <c r="G142" s="55" t="str">
        <f ca="1">IFERROR(__xludf.DUMMYFUNCTION("""COMPUTED_VALUE"""),"01 - PARAIBATEC")</f>
        <v>01 - PARAIBATEC</v>
      </c>
      <c r="H142" s="55" t="str">
        <f ca="1">IFERROR(__xludf.DUMMYFUNCTION("""COMPUTED_VALUE"""),"PARAIBATEC")</f>
        <v>PARAIBATEC</v>
      </c>
      <c r="I142" s="55" t="str">
        <f ca="1">IFERROR(__xludf.DUMMYFUNCTION("""COMPUTED_VALUE"""),"570 - CENTRO DE CONVIVENCIA")</f>
        <v>570 - CENTRO DE CONVIVENCIA</v>
      </c>
      <c r="J142" s="55" t="str">
        <f ca="1">IFERROR(__xludf.DUMMYFUNCTION("""COMPUTED_VALUE""")," ZABELÊ")</f>
        <v xml:space="preserve"> ZABELÊ</v>
      </c>
      <c r="K142" s="55"/>
      <c r="L142" s="55"/>
      <c r="M142" s="55" t="str">
        <f ca="1">IFERROR(__xludf.DUMMYFUNCTION("""COMPUTED_VALUE"""),"CENTRO DE CONVIVENCIA")</f>
        <v>CENTRO DE CONVIVENCIA</v>
      </c>
      <c r="N142" s="55">
        <f ca="1">IFERROR(__xludf.DUMMYFUNCTION("""COMPUTED_VALUE"""),264122)</f>
        <v>264122</v>
      </c>
      <c r="O142" s="55" t="str">
        <f ca="1">IFERROR(__xludf.DUMMYFUNCTION("""COMPUTED_VALUE"""),"RECURSOS NATURAIS")</f>
        <v>RECURSOS NATURAIS</v>
      </c>
      <c r="P142" s="55" t="str">
        <f ca="1">IFERROR(__xludf.DUMMYFUNCTION("""COMPUTED_VALUE"""),"CAPRINOCULTOR")</f>
        <v>CAPRINOCULTOR</v>
      </c>
      <c r="Q142" s="55" t="str">
        <f ca="1">IFERROR(__xludf.DUMMYFUNCTION("""COMPUTED_VALUE"""),"FIC")</f>
        <v>FIC</v>
      </c>
      <c r="R142" s="55">
        <f ca="1">IFERROR(__xludf.DUMMYFUNCTION("""COMPUTED_VALUE"""),200)</f>
        <v>200</v>
      </c>
      <c r="S142" s="55" t="str">
        <f ca="1">IFERROR(__xludf.DUMMYFUNCTION("""COMPUTED_VALUE"""),"TARDE")</f>
        <v>TARDE</v>
      </c>
      <c r="T142" s="57">
        <f ca="1">IFERROR(__xludf.DUMMYFUNCTION("""COMPUTED_VALUE"""),45691)</f>
        <v>45691</v>
      </c>
      <c r="U142" s="57"/>
      <c r="V142" s="55"/>
      <c r="W142" s="55"/>
      <c r="X142" s="55"/>
      <c r="Y142" s="55" t="str">
        <f ca="1">IFERROR(__xludf.DUMMYFUNCTION("""COMPUTED_VALUE"""),"EM OFERTA")</f>
        <v>EM OFERTA</v>
      </c>
      <c r="Z142" s="55"/>
      <c r="AA142" s="55"/>
      <c r="AB142" s="55"/>
      <c r="AC142" s="55"/>
      <c r="AD142" s="55"/>
      <c r="AE142" s="55"/>
      <c r="AF142" s="55"/>
      <c r="AG142" s="55"/>
      <c r="AH142" s="55" t="str">
        <f ca="1">IFERROR(__xludf.DUMMYFUNCTION("""COMPUTED_VALUE"""),"-")</f>
        <v>-</v>
      </c>
      <c r="AI142" s="55" t="str">
        <f ca="1">IFERROR(__xludf.DUMMYFUNCTION("""COMPUTED_VALUE"""),"DANILO DE SOUZA FARIAS")</f>
        <v>DANILO DE SOUZA FARIAS</v>
      </c>
      <c r="AJ142" s="55" t="str">
        <f ca="1">IFERROR(__xludf.DUMMYFUNCTION("""COMPUTED_VALUE"""),"-")</f>
        <v>-</v>
      </c>
      <c r="AK142" s="55" t="str">
        <f ca="1">IFERROR(__xludf.DUMMYFUNCTION("""COMPUTED_VALUE"""),"-")</f>
        <v>-</v>
      </c>
      <c r="AL142" s="55" t="str">
        <f ca="1">IFERROR(__xludf.DUMMYFUNCTION("""COMPUTED_VALUE"""),"RENATO VAZ ALVES")</f>
        <v>RENATO VAZ ALVES</v>
      </c>
      <c r="AM142" s="55">
        <f ca="1">IFERROR(__xludf.DUMMYFUNCTION("""COMPUTED_VALUE"""),2025)</f>
        <v>2025</v>
      </c>
      <c r="AN142" s="55"/>
    </row>
    <row r="143" spans="1:40" ht="14" x14ac:dyDescent="0.35">
      <c r="A143" s="55" t="str">
        <f t="shared" ca="1" si="0"/>
        <v>#N/A/#N/A/PRODUTOR AGROPECUARIO/NOITE</v>
      </c>
      <c r="B143" s="55" t="str">
        <f ca="1">IFERROR(__xludf.DUMMYFUNCTION("""COMPUTED_VALUE"""),"00000001506")</f>
        <v>00000001506</v>
      </c>
      <c r="C143" s="55" t="str">
        <f ca="1">IFERROR(__xludf.DUMMYFUNCTION("""COMPUTED_VALUE"""),"T-PRODUTOR AGROPECUARIO/00000001506")</f>
        <v>T-PRODUTOR AGROPECUARIO/00000001506</v>
      </c>
      <c r="D143" s="56" t="str">
        <f ca="1">IFERROR(__xludf.DUMMYFUNCTION("""COMPUTED_VALUE"""),"https://docs.google.com/spreadsheets/d/1eoyjxonLnk8eT2F7CEvIXzJPlqTaxTsNwYnoSHJXvN4")</f>
        <v>https://docs.google.com/spreadsheets/d/1eoyjxonLnk8eT2F7CEvIXzJPlqTaxTsNwYnoSHJXvN4</v>
      </c>
      <c r="E143" s="55" t="str">
        <f ca="1">IFERROR(__xludf.DUMMYFUNCTION("""COMPUTED_VALUE"""),"17 - PARAIBATEC FIC")</f>
        <v>17 - PARAIBATEC FIC</v>
      </c>
      <c r="F143" s="55" t="str">
        <f ca="1">IFERROR(__xludf.DUMMYFUNCTION("""COMPUTED_VALUE"""),"PARAIBATEC FIC")</f>
        <v>PARAIBATEC FIC</v>
      </c>
      <c r="G143" s="55" t="str">
        <f ca="1">IFERROR(__xludf.DUMMYFUNCTION("""COMPUTED_VALUE"""),"01 - PARAIBATEC")</f>
        <v>01 - PARAIBATEC</v>
      </c>
      <c r="H143" s="55" t="str">
        <f ca="1">IFERROR(__xludf.DUMMYFUNCTION("""COMPUTED_VALUE"""),"PARAIBATEC")</f>
        <v>PARAIBATEC</v>
      </c>
      <c r="I143" s="55" t="str">
        <f ca="1">IFERROR(__xludf.DUMMYFUNCTION("""COMPUTED_VALUE"""),"467 - ESCOLA ESTADUAL DE ENSINO FUNDAMENTAL JOSÉ LEITE")</f>
        <v>467 - ESCOLA ESTADUAL DE ENSINO FUNDAMENTAL JOSÉ LEITE</v>
      </c>
      <c r="J143" s="55" t="str">
        <f ca="1">IFERROR(__xludf.DUMMYFUNCTION("""COMPUTED_VALUE"""),"#N/A")</f>
        <v>#N/A</v>
      </c>
      <c r="K143" s="55" t="str">
        <f ca="1">IFERROR(__xludf.DUMMYFUNCTION("""COMPUTED_VALUE"""),"#N/A")</f>
        <v>#N/A</v>
      </c>
      <c r="L143" s="55" t="str">
        <f ca="1">IFERROR(__xludf.DUMMYFUNCTION("""COMPUTED_VALUE"""),"#N/A")</f>
        <v>#N/A</v>
      </c>
      <c r="M143" s="55" t="str">
        <f ca="1">IFERROR(__xludf.DUMMYFUNCTION("""COMPUTED_VALUE"""),"#N/A")</f>
        <v>#N/A</v>
      </c>
      <c r="N143" s="55">
        <f ca="1">IFERROR(__xludf.DUMMYFUNCTION("""COMPUTED_VALUE"""),221124)</f>
        <v>221124</v>
      </c>
      <c r="O143" s="55" t="str">
        <f ca="1">IFERROR(__xludf.DUMMYFUNCTION("""COMPUTED_VALUE"""),"RECURSOS NATURAIS")</f>
        <v>RECURSOS NATURAIS</v>
      </c>
      <c r="P143" s="55" t="str">
        <f ca="1">IFERROR(__xludf.DUMMYFUNCTION("""COMPUTED_VALUE"""),"PRODUTOR AGROPECUARIO")</f>
        <v>PRODUTOR AGROPECUARIO</v>
      </c>
      <c r="Q143" s="55" t="str">
        <f ca="1">IFERROR(__xludf.DUMMYFUNCTION("""COMPUTED_VALUE"""),"FIC")</f>
        <v>FIC</v>
      </c>
      <c r="R143" s="55">
        <f ca="1">IFERROR(__xludf.DUMMYFUNCTION("""COMPUTED_VALUE"""),250)</f>
        <v>250</v>
      </c>
      <c r="S143" s="55" t="str">
        <f ca="1">IFERROR(__xludf.DUMMYFUNCTION("""COMPUTED_VALUE"""),"NOITE")</f>
        <v>NOITE</v>
      </c>
      <c r="T143" s="57">
        <f ca="1">IFERROR(__xludf.DUMMYFUNCTION("""COMPUTED_VALUE"""),45691)</f>
        <v>45691</v>
      </c>
      <c r="U143" s="57">
        <f ca="1">IFERROR(__xludf.DUMMYFUNCTION("""COMPUTED_VALUE"""),45894)</f>
        <v>45894</v>
      </c>
      <c r="V143" s="55"/>
      <c r="W143" s="55"/>
      <c r="X143" s="55"/>
      <c r="Y143" s="55" t="str">
        <f ca="1">IFERROR(__xludf.DUMMYFUNCTION("""COMPUTED_VALUE"""),"EM OFERTA")</f>
        <v>EM OFERTA</v>
      </c>
      <c r="Z143" s="55"/>
      <c r="AA143" s="55"/>
      <c r="AB143" s="55"/>
      <c r="AC143" s="55"/>
      <c r="AD143" s="55"/>
      <c r="AE143" s="55"/>
      <c r="AF143" s="55"/>
      <c r="AG143" s="55"/>
      <c r="AH143" s="55" t="str">
        <f ca="1">IFERROR(__xludf.DUMMYFUNCTION("""COMPUTED_VALUE"""),"-")</f>
        <v>-</v>
      </c>
      <c r="AI143" s="55" t="str">
        <f ca="1">IFERROR(__xludf.DUMMYFUNCTION("""COMPUTED_VALUE"""),"MARIA FERNANDA ALVES DA SILVA")</f>
        <v>MARIA FERNANDA ALVES DA SILVA</v>
      </c>
      <c r="AJ143" s="55" t="str">
        <f ca="1">IFERROR(__xludf.DUMMYFUNCTION("""COMPUTED_VALUE"""),"-")</f>
        <v>-</v>
      </c>
      <c r="AK143" s="55" t="str">
        <f ca="1">IFERROR(__xludf.DUMMYFUNCTION("""COMPUTED_VALUE"""),"-")</f>
        <v>-</v>
      </c>
      <c r="AL143" s="55" t="str">
        <f ca="1">IFERROR(__xludf.DUMMYFUNCTION("""COMPUTED_VALUE"""),"GIANLUCA NUNES DA FONSECA")</f>
        <v>GIANLUCA NUNES DA FONSECA</v>
      </c>
      <c r="AM143" s="55">
        <f ca="1">IFERROR(__xludf.DUMMYFUNCTION("""COMPUTED_VALUE"""),2025)</f>
        <v>2025</v>
      </c>
      <c r="AN143" s="55"/>
    </row>
    <row r="144" spans="1:40" ht="14" x14ac:dyDescent="0.35">
      <c r="A144" s="55" t="str">
        <f t="shared" ca="1" si="0"/>
        <v xml:space="preserve"> SANTANA DOS GARROTES/SECRETARIA MUNICIPAL DE ASSISTENCIA SOCIAL/CUIDADOR INFANTIL/TARDE</v>
      </c>
      <c r="B144" s="55" t="str">
        <f ca="1">IFERROR(__xludf.DUMMYFUNCTION("""COMPUTED_VALUE"""),"00000001507")</f>
        <v>00000001507</v>
      </c>
      <c r="C144" s="55" t="str">
        <f ca="1">IFERROR(__xludf.DUMMYFUNCTION("""COMPUTED_VALUE"""),"T-CUIDADOR INFANTIL/00000001507")</f>
        <v>T-CUIDADOR INFANTIL/00000001507</v>
      </c>
      <c r="D144" s="56" t="str">
        <f ca="1">IFERROR(__xludf.DUMMYFUNCTION("""COMPUTED_VALUE"""),"https://docs.google.com/spreadsheets/d/18jtJ8o34XAYPGK0oXFNWmXZ-xj2OWoSVdW0rDqyz3Xo")</f>
        <v>https://docs.google.com/spreadsheets/d/18jtJ8o34XAYPGK0oXFNWmXZ-xj2OWoSVdW0rDqyz3Xo</v>
      </c>
      <c r="E144" s="55" t="str">
        <f ca="1">IFERROR(__xludf.DUMMYFUNCTION("""COMPUTED_VALUE"""),"17 - PARAIBATEC FIC")</f>
        <v>17 - PARAIBATEC FIC</v>
      </c>
      <c r="F144" s="55" t="str">
        <f ca="1">IFERROR(__xludf.DUMMYFUNCTION("""COMPUTED_VALUE"""),"PARAIBATEC FIC")</f>
        <v>PARAIBATEC FIC</v>
      </c>
      <c r="G144" s="55" t="str">
        <f ca="1">IFERROR(__xludf.DUMMYFUNCTION("""COMPUTED_VALUE"""),"01 - PARAIBATEC")</f>
        <v>01 - PARAIBATEC</v>
      </c>
      <c r="H144" s="55" t="str">
        <f ca="1">IFERROR(__xludf.DUMMYFUNCTION("""COMPUTED_VALUE"""),"PARAIBATEC")</f>
        <v>PARAIBATEC</v>
      </c>
      <c r="I144" s="55" t="str">
        <f ca="1">IFERROR(__xludf.DUMMYFUNCTION("""COMPUTED_VALUE"""),"572 - SECRETARIA MUNICIPAL DE ASSISTENCIA SOCIAL")</f>
        <v>572 - SECRETARIA MUNICIPAL DE ASSISTENCIA SOCIAL</v>
      </c>
      <c r="J144" s="55" t="str">
        <f ca="1">IFERROR(__xludf.DUMMYFUNCTION("""COMPUTED_VALUE""")," SANTANA DOS GARROTES")</f>
        <v xml:space="preserve"> SANTANA DOS GARROTES</v>
      </c>
      <c r="K144" s="55"/>
      <c r="L144" s="55"/>
      <c r="M144" s="55" t="str">
        <f ca="1">IFERROR(__xludf.DUMMYFUNCTION("""COMPUTED_VALUE"""),"SECRETARIA MUNICIPAL DE ASSISTENCIA SOCIAL")</f>
        <v>SECRETARIA MUNICIPAL DE ASSISTENCIA SOCIAL</v>
      </c>
      <c r="N144" s="55">
        <f ca="1">IFERROR(__xludf.DUMMYFUNCTION("""COMPUTED_VALUE"""),221538)</f>
        <v>221538</v>
      </c>
      <c r="O144" s="55" t="str">
        <f ca="1">IFERROR(__xludf.DUMMYFUNCTION("""COMPUTED_VALUE"""),"AMBIENTE E SAUDE")</f>
        <v>AMBIENTE E SAUDE</v>
      </c>
      <c r="P144" s="55" t="str">
        <f ca="1">IFERROR(__xludf.DUMMYFUNCTION("""COMPUTED_VALUE"""),"CUIDADOR INFANTIL")</f>
        <v>CUIDADOR INFANTIL</v>
      </c>
      <c r="Q144" s="55" t="str">
        <f ca="1">IFERROR(__xludf.DUMMYFUNCTION("""COMPUTED_VALUE"""),"FIC")</f>
        <v>FIC</v>
      </c>
      <c r="R144" s="55">
        <f ca="1">IFERROR(__xludf.DUMMYFUNCTION("""COMPUTED_VALUE"""),160)</f>
        <v>160</v>
      </c>
      <c r="S144" s="55" t="str">
        <f ca="1">IFERROR(__xludf.DUMMYFUNCTION("""COMPUTED_VALUE"""),"TARDE")</f>
        <v>TARDE</v>
      </c>
      <c r="T144" s="57">
        <f ca="1">IFERROR(__xludf.DUMMYFUNCTION("""COMPUTED_VALUE"""),45728)</f>
        <v>45728</v>
      </c>
      <c r="U144" s="57">
        <f ca="1">IFERROR(__xludf.DUMMYFUNCTION("""COMPUTED_VALUE"""),45853)</f>
        <v>45853</v>
      </c>
      <c r="V144" s="55"/>
      <c r="W144" s="55"/>
      <c r="X144" s="55"/>
      <c r="Y144" s="55" t="str">
        <f ca="1">IFERROR(__xludf.DUMMYFUNCTION("""COMPUTED_VALUE"""),"EM OFERTA")</f>
        <v>EM OFERTA</v>
      </c>
      <c r="Z144" s="55"/>
      <c r="AA144" s="55"/>
      <c r="AB144" s="55"/>
      <c r="AC144" s="55"/>
      <c r="AD144" s="55"/>
      <c r="AE144" s="55"/>
      <c r="AF144" s="55"/>
      <c r="AG144" s="55"/>
      <c r="AH144" s="55" t="str">
        <f ca="1">IFERROR(__xludf.DUMMYFUNCTION("""COMPUTED_VALUE"""),"-")</f>
        <v>-</v>
      </c>
      <c r="AI144" s="55" t="str">
        <f ca="1">IFERROR(__xludf.DUMMYFUNCTION("""COMPUTED_VALUE"""),"JOAO PAULO BARBOZA DE SOUZA")</f>
        <v>JOAO PAULO BARBOZA DE SOUZA</v>
      </c>
      <c r="AJ144" s="55" t="str">
        <f ca="1">IFERROR(__xludf.DUMMYFUNCTION("""COMPUTED_VALUE"""),"-")</f>
        <v>-</v>
      </c>
      <c r="AK144" s="55" t="str">
        <f ca="1">IFERROR(__xludf.DUMMYFUNCTION("""COMPUTED_VALUE"""),"-")</f>
        <v>-</v>
      </c>
      <c r="AL144" s="55" t="str">
        <f ca="1">IFERROR(__xludf.DUMMYFUNCTION("""COMPUTED_VALUE"""),"GILCLEAN DE SOUSA CIRILO")</f>
        <v>GILCLEAN DE SOUSA CIRILO</v>
      </c>
      <c r="AM144" s="55">
        <f ca="1">IFERROR(__xludf.DUMMYFUNCTION("""COMPUTED_VALUE"""),2025)</f>
        <v>2025</v>
      </c>
      <c r="AN144" s="55"/>
    </row>
    <row r="145" spans="1:40" ht="14" x14ac:dyDescent="0.35">
      <c r="A145" s="55" t="str">
        <f t="shared" ca="1" si="0"/>
        <v xml:space="preserve"> JOÃO PESSOA/ASSOCIACAO BENEFICENTE SAO JOSE/ASSISTENTE DE COSTURA/TARDE</v>
      </c>
      <c r="B145" s="55" t="str">
        <f ca="1">IFERROR(__xludf.DUMMYFUNCTION("""COMPUTED_VALUE"""),"00000001508")</f>
        <v>00000001508</v>
      </c>
      <c r="C145" s="55" t="str">
        <f ca="1">IFERROR(__xludf.DUMMYFUNCTION("""COMPUTED_VALUE"""),"T-ASSISTENTE DE COSTURA/00000001508")</f>
        <v>T-ASSISTENTE DE COSTURA/00000001508</v>
      </c>
      <c r="D145" s="56" t="str">
        <f ca="1">IFERROR(__xludf.DUMMYFUNCTION("""COMPUTED_VALUE"""),"https://docs.google.com/spreadsheets/d/1TRVUV0_R8w8L255nF8giCzggxbE8-sAJjqvhumIudiU")</f>
        <v>https://docs.google.com/spreadsheets/d/1TRVUV0_R8w8L255nF8giCzggxbE8-sAJjqvhumIudiU</v>
      </c>
      <c r="E145" s="55" t="str">
        <f ca="1">IFERROR(__xludf.DUMMYFUNCTION("""COMPUTED_VALUE"""),"17 - PARAIBATEC FIC")</f>
        <v>17 - PARAIBATEC FIC</v>
      </c>
      <c r="F145" s="55" t="str">
        <f ca="1">IFERROR(__xludf.DUMMYFUNCTION("""COMPUTED_VALUE"""),"PARAIBATEC FIC")</f>
        <v>PARAIBATEC FIC</v>
      </c>
      <c r="G145" s="55" t="str">
        <f ca="1">IFERROR(__xludf.DUMMYFUNCTION("""COMPUTED_VALUE"""),"01 - PARAIBATEC")</f>
        <v>01 - PARAIBATEC</v>
      </c>
      <c r="H145" s="55" t="str">
        <f ca="1">IFERROR(__xludf.DUMMYFUNCTION("""COMPUTED_VALUE"""),"PARAIBATEC")</f>
        <v>PARAIBATEC</v>
      </c>
      <c r="I145" s="55" t="str">
        <f ca="1">IFERROR(__xludf.DUMMYFUNCTION("""COMPUTED_VALUE"""),"522 - ASSOCIACAO BENEFICENTE SAO JOSE")</f>
        <v>522 - ASSOCIACAO BENEFICENTE SAO JOSE</v>
      </c>
      <c r="J145" s="55" t="str">
        <f ca="1">IFERROR(__xludf.DUMMYFUNCTION("""COMPUTED_VALUE""")," JOÃO PESSOA")</f>
        <v xml:space="preserve"> JOÃO PESSOA</v>
      </c>
      <c r="K145" s="55"/>
      <c r="L145" s="55"/>
      <c r="M145" s="55" t="str">
        <f ca="1">IFERROR(__xludf.DUMMYFUNCTION("""COMPUTED_VALUE"""),"ASSOCIACAO BENEFICENTE SAO JOSE")</f>
        <v>ASSOCIACAO BENEFICENTE SAO JOSE</v>
      </c>
      <c r="N145" s="55">
        <f ca="1">IFERROR(__xludf.DUMMYFUNCTION("""COMPUTED_VALUE"""),278078)</f>
        <v>278078</v>
      </c>
      <c r="O145" s="55" t="str">
        <f ca="1">IFERROR(__xludf.DUMMYFUNCTION("""COMPUTED_VALUE"""),"PRODUÇAO CULTURAL E DESIGN")</f>
        <v>PRODUÇAO CULTURAL E DESIGN</v>
      </c>
      <c r="P145" s="55" t="str">
        <f ca="1">IFERROR(__xludf.DUMMYFUNCTION("""COMPUTED_VALUE"""),"ASSISTENTE DE COSTURA")</f>
        <v>ASSISTENTE DE COSTURA</v>
      </c>
      <c r="Q145" s="55" t="str">
        <f ca="1">IFERROR(__xludf.DUMMYFUNCTION("""COMPUTED_VALUE"""),"FIC")</f>
        <v>FIC</v>
      </c>
      <c r="R145" s="55">
        <f ca="1">IFERROR(__xludf.DUMMYFUNCTION("""COMPUTED_VALUE"""),160)</f>
        <v>160</v>
      </c>
      <c r="S145" s="55" t="str">
        <f ca="1">IFERROR(__xludf.DUMMYFUNCTION("""COMPUTED_VALUE"""),"TARDE")</f>
        <v>TARDE</v>
      </c>
      <c r="T145" s="57">
        <f ca="1">IFERROR(__xludf.DUMMYFUNCTION("""COMPUTED_VALUE"""),45692)</f>
        <v>45692</v>
      </c>
      <c r="U145" s="57">
        <f ca="1">IFERROR(__xludf.DUMMYFUNCTION("""COMPUTED_VALUE"""),45792)</f>
        <v>45792</v>
      </c>
      <c r="V145" s="55"/>
      <c r="W145" s="55"/>
      <c r="X145" s="55"/>
      <c r="Y145" s="55" t="str">
        <f ca="1">IFERROR(__xludf.DUMMYFUNCTION("""COMPUTED_VALUE"""),"EM OFERTA")</f>
        <v>EM OFERTA</v>
      </c>
      <c r="Z145" s="55"/>
      <c r="AA145" s="55"/>
      <c r="AB145" s="55"/>
      <c r="AC145" s="55"/>
      <c r="AD145" s="55"/>
      <c r="AE145" s="55"/>
      <c r="AF145" s="55"/>
      <c r="AG145" s="55"/>
      <c r="AH145" s="55" t="str">
        <f ca="1">IFERROR(__xludf.DUMMYFUNCTION("""COMPUTED_VALUE"""),"-")</f>
        <v>-</v>
      </c>
      <c r="AI145" s="55" t="str">
        <f ca="1">IFERROR(__xludf.DUMMYFUNCTION("""COMPUTED_VALUE"""),"DAVID GLASIEL DE AZEVEDO MARINHO")</f>
        <v>DAVID GLASIEL DE AZEVEDO MARINHO</v>
      </c>
      <c r="AJ145" s="55" t="str">
        <f ca="1">IFERROR(__xludf.DUMMYFUNCTION("""COMPUTED_VALUE"""),"-")</f>
        <v>-</v>
      </c>
      <c r="AK145" s="55" t="str">
        <f ca="1">IFERROR(__xludf.DUMMYFUNCTION("""COMPUTED_VALUE"""),"-")</f>
        <v>-</v>
      </c>
      <c r="AL145" s="55" t="str">
        <f ca="1">IFERROR(__xludf.DUMMYFUNCTION("""COMPUTED_VALUE"""),"SIMONE ALVES DE ARAUJO")</f>
        <v>SIMONE ALVES DE ARAUJO</v>
      </c>
      <c r="AM145" s="55">
        <f ca="1">IFERROR(__xludf.DUMMYFUNCTION("""COMPUTED_VALUE"""),2025)</f>
        <v>2025</v>
      </c>
      <c r="AN145" s="55"/>
    </row>
    <row r="146" spans="1:40" ht="14" x14ac:dyDescent="0.35">
      <c r="A146" s="55" t="str">
        <f t="shared" ca="1" si="0"/>
        <v xml:space="preserve"> ALAGOA NOVA/CENTRO DE CULTURA E CIDADANIA DA ACAJAMAN/ASSISTENTE ADMINISTRATIVO/NOITE</v>
      </c>
      <c r="B146" s="55" t="str">
        <f ca="1">IFERROR(__xludf.DUMMYFUNCTION("""COMPUTED_VALUE"""),"00000001509")</f>
        <v>00000001509</v>
      </c>
      <c r="C146" s="55" t="str">
        <f ca="1">IFERROR(__xludf.DUMMYFUNCTION("""COMPUTED_VALUE"""),"T-ASSISTENTE ADMINISTRATIVO/00000001509")</f>
        <v>T-ASSISTENTE ADMINISTRATIVO/00000001509</v>
      </c>
      <c r="D146" s="56" t="str">
        <f ca="1">IFERROR(__xludf.DUMMYFUNCTION("""COMPUTED_VALUE"""),"https://docs.google.com/spreadsheets/d/1cNgF5PYvWfcuWbv54tfoJnu_1M1P4Y8jvIlzPS5puDM")</f>
        <v>https://docs.google.com/spreadsheets/d/1cNgF5PYvWfcuWbv54tfoJnu_1M1P4Y8jvIlzPS5puDM</v>
      </c>
      <c r="E146" s="55" t="str">
        <f ca="1">IFERROR(__xludf.DUMMYFUNCTION("""COMPUTED_VALUE"""),"17 - PARAIBATEC FIC")</f>
        <v>17 - PARAIBATEC FIC</v>
      </c>
      <c r="F146" s="55" t="str">
        <f ca="1">IFERROR(__xludf.DUMMYFUNCTION("""COMPUTED_VALUE"""),"PARAIBATEC FIC")</f>
        <v>PARAIBATEC FIC</v>
      </c>
      <c r="G146" s="55" t="str">
        <f ca="1">IFERROR(__xludf.DUMMYFUNCTION("""COMPUTED_VALUE"""),"01 - PARAIBATEC")</f>
        <v>01 - PARAIBATEC</v>
      </c>
      <c r="H146" s="55" t="str">
        <f ca="1">IFERROR(__xludf.DUMMYFUNCTION("""COMPUTED_VALUE"""),"PARAIBATEC")</f>
        <v>PARAIBATEC</v>
      </c>
      <c r="I146" s="55" t="str">
        <f ca="1">IFERROR(__xludf.DUMMYFUNCTION("""COMPUTED_VALUE"""),"573 - CENTRO DE CULTURA E CIDADANIA DA ACAJAMAN")</f>
        <v>573 - CENTRO DE CULTURA E CIDADANIA DA ACAJAMAN</v>
      </c>
      <c r="J146" s="55" t="str">
        <f ca="1">IFERROR(__xludf.DUMMYFUNCTION("""COMPUTED_VALUE""")," ALAGOA NOVA")</f>
        <v xml:space="preserve"> ALAGOA NOVA</v>
      </c>
      <c r="K146" s="55"/>
      <c r="L146" s="55"/>
      <c r="M146" s="55" t="str">
        <f ca="1">IFERROR(__xludf.DUMMYFUNCTION("""COMPUTED_VALUE"""),"CENTRO DE CULTURA E CIDADANIA DA ACAJAMAN")</f>
        <v>CENTRO DE CULTURA E CIDADANIA DA ACAJAMAN</v>
      </c>
      <c r="N146" s="55">
        <f ca="1">IFERROR(__xludf.DUMMYFUNCTION("""COMPUTED_VALUE"""),221012)</f>
        <v>221012</v>
      </c>
      <c r="O146" s="55" t="str">
        <f ca="1">IFERROR(__xludf.DUMMYFUNCTION("""COMPUTED_VALUE"""),"GESTAO E NEGOCIOS")</f>
        <v>GESTAO E NEGOCIOS</v>
      </c>
      <c r="P146" s="55" t="str">
        <f ca="1">IFERROR(__xludf.DUMMYFUNCTION("""COMPUTED_VALUE"""),"ASSISTENTE ADMINISTRATIVO")</f>
        <v>ASSISTENTE ADMINISTRATIVO</v>
      </c>
      <c r="Q146" s="55" t="str">
        <f ca="1">IFERROR(__xludf.DUMMYFUNCTION("""COMPUTED_VALUE"""),"FIC")</f>
        <v>FIC</v>
      </c>
      <c r="R146" s="55">
        <f ca="1">IFERROR(__xludf.DUMMYFUNCTION("""COMPUTED_VALUE"""),160)</f>
        <v>160</v>
      </c>
      <c r="S146" s="55" t="str">
        <f ca="1">IFERROR(__xludf.DUMMYFUNCTION("""COMPUTED_VALUE"""),"NOITE")</f>
        <v>NOITE</v>
      </c>
      <c r="T146" s="57">
        <f ca="1">IFERROR(__xludf.DUMMYFUNCTION("""COMPUTED_VALUE"""),45733)</f>
        <v>45733</v>
      </c>
      <c r="U146" s="57">
        <f ca="1">IFERROR(__xludf.DUMMYFUNCTION("""COMPUTED_VALUE"""),45860)</f>
        <v>45860</v>
      </c>
      <c r="V146" s="55"/>
      <c r="W146" s="55"/>
      <c r="X146" s="55"/>
      <c r="Y146" s="55" t="str">
        <f ca="1">IFERROR(__xludf.DUMMYFUNCTION("""COMPUTED_VALUE"""),"EM OFERTA")</f>
        <v>EM OFERTA</v>
      </c>
      <c r="Z146" s="55"/>
      <c r="AA146" s="55"/>
      <c r="AB146" s="55"/>
      <c r="AC146" s="55"/>
      <c r="AD146" s="55"/>
      <c r="AE146" s="55"/>
      <c r="AF146" s="55"/>
      <c r="AG146" s="55"/>
      <c r="AH146" s="55" t="str">
        <f ca="1">IFERROR(__xludf.DUMMYFUNCTION("""COMPUTED_VALUE"""),"-")</f>
        <v>-</v>
      </c>
      <c r="AI146" s="55" t="str">
        <f ca="1">IFERROR(__xludf.DUMMYFUNCTION("""COMPUTED_VALUE"""),"MARIANE DA SILVA SOARES")</f>
        <v>MARIANE DA SILVA SOARES</v>
      </c>
      <c r="AJ146" s="55" t="str">
        <f ca="1">IFERROR(__xludf.DUMMYFUNCTION("""COMPUTED_VALUE"""),"-")</f>
        <v>-</v>
      </c>
      <c r="AK146" s="55" t="str">
        <f ca="1">IFERROR(__xludf.DUMMYFUNCTION("""COMPUTED_VALUE"""),"-")</f>
        <v>-</v>
      </c>
      <c r="AL146" s="55" t="str">
        <f ca="1">IFERROR(__xludf.DUMMYFUNCTION("""COMPUTED_VALUE"""),"RENALY EDUARDO DOS SANTOS")</f>
        <v>RENALY EDUARDO DOS SANTOS</v>
      </c>
      <c r="AM146" s="55">
        <f ca="1">IFERROR(__xludf.DUMMYFUNCTION("""COMPUTED_VALUE"""),2025)</f>
        <v>2025</v>
      </c>
      <c r="AN146" s="55"/>
    </row>
    <row r="147" spans="1:40" ht="14" x14ac:dyDescent="0.35">
      <c r="A147" s="55" t="str">
        <f t="shared" ca="1" si="0"/>
        <v xml:space="preserve"> BOQUEIRÃO/ESCOLA AGRICOLA DE BOQUEIRAO/INSEMINADOR ARTIFICIAL DE ANIMAIS/TARDE</v>
      </c>
      <c r="B147" s="55" t="str">
        <f ca="1">IFERROR(__xludf.DUMMYFUNCTION("""COMPUTED_VALUE"""),"00000001510")</f>
        <v>00000001510</v>
      </c>
      <c r="C147" s="55" t="str">
        <f ca="1">IFERROR(__xludf.DUMMYFUNCTION("""COMPUTED_VALUE"""),"T-INSEMINADOR ARTIFICIAL DE ANIMAIS/00000001510")</f>
        <v>T-INSEMINADOR ARTIFICIAL DE ANIMAIS/00000001510</v>
      </c>
      <c r="D147" s="56" t="str">
        <f ca="1">IFERROR(__xludf.DUMMYFUNCTION("""COMPUTED_VALUE"""),"https://docs.google.com/spreadsheets/d/1b27G4_VSzGUxvzI2a46xF19FQEguZ3hQQ2dF6xaJN38")</f>
        <v>https://docs.google.com/spreadsheets/d/1b27G4_VSzGUxvzI2a46xF19FQEguZ3hQQ2dF6xaJN38</v>
      </c>
      <c r="E147" s="55" t="str">
        <f ca="1">IFERROR(__xludf.DUMMYFUNCTION("""COMPUTED_VALUE"""),"17 - PARAIBATEC FIC")</f>
        <v>17 - PARAIBATEC FIC</v>
      </c>
      <c r="F147" s="55" t="str">
        <f ca="1">IFERROR(__xludf.DUMMYFUNCTION("""COMPUTED_VALUE"""),"PARAIBATEC FIC")</f>
        <v>PARAIBATEC FIC</v>
      </c>
      <c r="G147" s="55" t="str">
        <f ca="1">IFERROR(__xludf.DUMMYFUNCTION("""COMPUTED_VALUE"""),"01 - PARAIBATEC")</f>
        <v>01 - PARAIBATEC</v>
      </c>
      <c r="H147" s="55" t="str">
        <f ca="1">IFERROR(__xludf.DUMMYFUNCTION("""COMPUTED_VALUE"""),"PARAIBATEC")</f>
        <v>PARAIBATEC</v>
      </c>
      <c r="I147" s="55" t="str">
        <f ca="1">IFERROR(__xludf.DUMMYFUNCTION("""COMPUTED_VALUE"""),"574 - ESCOLA AGRICOLA DE BOQUEIRAO")</f>
        <v>574 - ESCOLA AGRICOLA DE BOQUEIRAO</v>
      </c>
      <c r="J147" s="55" t="str">
        <f ca="1">IFERROR(__xludf.DUMMYFUNCTION("""COMPUTED_VALUE""")," BOQUEIRÃO")</f>
        <v xml:space="preserve"> BOQUEIRÃO</v>
      </c>
      <c r="K147" s="55"/>
      <c r="L147" s="55"/>
      <c r="M147" s="55" t="str">
        <f ca="1">IFERROR(__xludf.DUMMYFUNCTION("""COMPUTED_VALUE"""),"ESCOLA AGRICOLA DE BOQUEIRAO")</f>
        <v>ESCOLA AGRICOLA DE BOQUEIRAO</v>
      </c>
      <c r="N147" s="55">
        <f ca="1">IFERROR(__xludf.DUMMYFUNCTION("""COMPUTED_VALUE"""),221108)</f>
        <v>221108</v>
      </c>
      <c r="O147" s="55" t="str">
        <f ca="1">IFERROR(__xludf.DUMMYFUNCTION("""COMPUTED_VALUE"""),"RECURSOS NATURAIS")</f>
        <v>RECURSOS NATURAIS</v>
      </c>
      <c r="P147" s="55" t="str">
        <f ca="1">IFERROR(__xludf.DUMMYFUNCTION("""COMPUTED_VALUE"""),"INSEMINADOR ARTIFICIAL DE ANIMAIS")</f>
        <v>INSEMINADOR ARTIFICIAL DE ANIMAIS</v>
      </c>
      <c r="Q147" s="55" t="str">
        <f ca="1">IFERROR(__xludf.DUMMYFUNCTION("""COMPUTED_VALUE"""),"FIC")</f>
        <v>FIC</v>
      </c>
      <c r="R147" s="55">
        <f ca="1">IFERROR(__xludf.DUMMYFUNCTION("""COMPUTED_VALUE"""),160)</f>
        <v>160</v>
      </c>
      <c r="S147" s="55" t="str">
        <f ca="1">IFERROR(__xludf.DUMMYFUNCTION("""COMPUTED_VALUE"""),"TARDE")</f>
        <v>TARDE</v>
      </c>
      <c r="T147" s="57">
        <f ca="1">IFERROR(__xludf.DUMMYFUNCTION("""COMPUTED_VALUE"""),45692)</f>
        <v>45692</v>
      </c>
      <c r="U147" s="57">
        <f ca="1">IFERROR(__xludf.DUMMYFUNCTION("""COMPUTED_VALUE"""),45825)</f>
        <v>45825</v>
      </c>
      <c r="V147" s="55"/>
      <c r="W147" s="55"/>
      <c r="X147" s="55"/>
      <c r="Y147" s="55" t="str">
        <f ca="1">IFERROR(__xludf.DUMMYFUNCTION("""COMPUTED_VALUE"""),"EM OFERTA")</f>
        <v>EM OFERTA</v>
      </c>
      <c r="Z147" s="55"/>
      <c r="AA147" s="55"/>
      <c r="AB147" s="55"/>
      <c r="AC147" s="55"/>
      <c r="AD147" s="55"/>
      <c r="AE147" s="55"/>
      <c r="AF147" s="55"/>
      <c r="AG147" s="55"/>
      <c r="AH147" s="55" t="str">
        <f ca="1">IFERROR(__xludf.DUMMYFUNCTION("""COMPUTED_VALUE"""),"-")</f>
        <v>-</v>
      </c>
      <c r="AI147" s="55" t="str">
        <f ca="1">IFERROR(__xludf.DUMMYFUNCTION("""COMPUTED_VALUE"""),"MARGARETH LEAL RICARDO DE ARAUJO SILVA")</f>
        <v>MARGARETH LEAL RICARDO DE ARAUJO SILVA</v>
      </c>
      <c r="AJ147" s="55" t="str">
        <f ca="1">IFERROR(__xludf.DUMMYFUNCTION("""COMPUTED_VALUE"""),"-")</f>
        <v>-</v>
      </c>
      <c r="AK147" s="55" t="str">
        <f ca="1">IFERROR(__xludf.DUMMYFUNCTION("""COMPUTED_VALUE"""),"-")</f>
        <v>-</v>
      </c>
      <c r="AL147" s="55" t="str">
        <f ca="1">IFERROR(__xludf.DUMMYFUNCTION("""COMPUTED_VALUE"""),"DIEGO LIMA DA SILVA GOMES")</f>
        <v>DIEGO LIMA DA SILVA GOMES</v>
      </c>
      <c r="AM147" s="55">
        <f ca="1">IFERROR(__xludf.DUMMYFUNCTION("""COMPUTED_VALUE"""),2025)</f>
        <v>2025</v>
      </c>
      <c r="AN147" s="55"/>
    </row>
    <row r="148" spans="1:40" ht="14" x14ac:dyDescent="0.35">
      <c r="A148" s="55" t="str">
        <f t="shared" ca="1" si="0"/>
        <v xml:space="preserve"> CASSERENGUE/AUDITORIO DA ESCOLA FERNANDO MACENA/CRIADOR DE PEIXES EM VIVEIROS ESCAVADOS/TARDE</v>
      </c>
      <c r="B148" s="55" t="str">
        <f ca="1">IFERROR(__xludf.DUMMYFUNCTION("""COMPUTED_VALUE"""),"00000001511")</f>
        <v>00000001511</v>
      </c>
      <c r="C148" s="55" t="str">
        <f ca="1">IFERROR(__xludf.DUMMYFUNCTION("""COMPUTED_VALUE"""),"T-CRIADOR DE PEIXES EM VIVEIROS ESCAVADOS/00000001511")</f>
        <v>T-CRIADOR DE PEIXES EM VIVEIROS ESCAVADOS/00000001511</v>
      </c>
      <c r="D148" s="56" t="str">
        <f ca="1">IFERROR(__xludf.DUMMYFUNCTION("""COMPUTED_VALUE"""),"https://docs.google.com/spreadsheets/d/12rn8vWRRzgeb4SZ64z-xcDviQ9O7Q-XhQ40G2I3PvmE")</f>
        <v>https://docs.google.com/spreadsheets/d/12rn8vWRRzgeb4SZ64z-xcDviQ9O7Q-XhQ40G2I3PvmE</v>
      </c>
      <c r="E148" s="55" t="str">
        <f ca="1">IFERROR(__xludf.DUMMYFUNCTION("""COMPUTED_VALUE"""),"17 - PARAIBATEC FIC")</f>
        <v>17 - PARAIBATEC FIC</v>
      </c>
      <c r="F148" s="55" t="str">
        <f ca="1">IFERROR(__xludf.DUMMYFUNCTION("""COMPUTED_VALUE"""),"PARAIBATEC FIC")</f>
        <v>PARAIBATEC FIC</v>
      </c>
      <c r="G148" s="55" t="str">
        <f ca="1">IFERROR(__xludf.DUMMYFUNCTION("""COMPUTED_VALUE"""),"01 - PARAIBATEC")</f>
        <v>01 - PARAIBATEC</v>
      </c>
      <c r="H148" s="55" t="str">
        <f ca="1">IFERROR(__xludf.DUMMYFUNCTION("""COMPUTED_VALUE"""),"PARAIBATEC")</f>
        <v>PARAIBATEC</v>
      </c>
      <c r="I148" s="55" t="str">
        <f ca="1">IFERROR(__xludf.DUMMYFUNCTION("""COMPUTED_VALUE"""),"575 - AUDITORIO DA ESCOLA FERNANDO MACENA")</f>
        <v>575 - AUDITORIO DA ESCOLA FERNANDO MACENA</v>
      </c>
      <c r="J148" s="55" t="str">
        <f ca="1">IFERROR(__xludf.DUMMYFUNCTION("""COMPUTED_VALUE""")," CASSERENGUE")</f>
        <v xml:space="preserve"> CASSERENGUE</v>
      </c>
      <c r="K148" s="55"/>
      <c r="L148" s="55"/>
      <c r="M148" s="55" t="str">
        <f ca="1">IFERROR(__xludf.DUMMYFUNCTION("""COMPUTED_VALUE"""),"AUDITORIO DA ESCOLA FERNANDO MACENA")</f>
        <v>AUDITORIO DA ESCOLA FERNANDO MACENA</v>
      </c>
      <c r="N148" s="55">
        <f ca="1">IFERROR(__xludf.DUMMYFUNCTION("""COMPUTED_VALUE"""),221097)</f>
        <v>221097</v>
      </c>
      <c r="O148" s="55" t="str">
        <f ca="1">IFERROR(__xludf.DUMMYFUNCTION("""COMPUTED_VALUE"""),"RECURSOS NATURAIS")</f>
        <v>RECURSOS NATURAIS</v>
      </c>
      <c r="P148" s="55" t="str">
        <f ca="1">IFERROR(__xludf.DUMMYFUNCTION("""COMPUTED_VALUE"""),"CRIADOR DE PEIXES EM VIVEIROS ESCAVADOS")</f>
        <v>CRIADOR DE PEIXES EM VIVEIROS ESCAVADOS</v>
      </c>
      <c r="Q148" s="55" t="str">
        <f ca="1">IFERROR(__xludf.DUMMYFUNCTION("""COMPUTED_VALUE"""),"FIC")</f>
        <v>FIC</v>
      </c>
      <c r="R148" s="55">
        <f ca="1">IFERROR(__xludf.DUMMYFUNCTION("""COMPUTED_VALUE"""),200)</f>
        <v>200</v>
      </c>
      <c r="S148" s="55" t="str">
        <f ca="1">IFERROR(__xludf.DUMMYFUNCTION("""COMPUTED_VALUE"""),"TARDE")</f>
        <v>TARDE</v>
      </c>
      <c r="T148" s="57">
        <f ca="1">IFERROR(__xludf.DUMMYFUNCTION("""COMPUTED_VALUE"""),45713)</f>
        <v>45713</v>
      </c>
      <c r="U148" s="57">
        <f ca="1">IFERROR(__xludf.DUMMYFUNCTION("""COMPUTED_VALUE"""),45875)</f>
        <v>45875</v>
      </c>
      <c r="V148" s="55"/>
      <c r="W148" s="55"/>
      <c r="X148" s="55"/>
      <c r="Y148" s="55" t="str">
        <f ca="1">IFERROR(__xludf.DUMMYFUNCTION("""COMPUTED_VALUE"""),"EM OFERTA")</f>
        <v>EM OFERTA</v>
      </c>
      <c r="Z148" s="55"/>
      <c r="AA148" s="55"/>
      <c r="AB148" s="55"/>
      <c r="AC148" s="55"/>
      <c r="AD148" s="55"/>
      <c r="AE148" s="55"/>
      <c r="AF148" s="55"/>
      <c r="AG148" s="55"/>
      <c r="AH148" s="55" t="str">
        <f ca="1">IFERROR(__xludf.DUMMYFUNCTION("""COMPUTED_VALUE"""),"-")</f>
        <v>-</v>
      </c>
      <c r="AI148" s="55" t="str">
        <f ca="1">IFERROR(__xludf.DUMMYFUNCTION("""COMPUTED_VALUE"""),"EDIVANHA PEREIRA DIAS")</f>
        <v>EDIVANHA PEREIRA DIAS</v>
      </c>
      <c r="AJ148" s="55" t="str">
        <f ca="1">IFERROR(__xludf.DUMMYFUNCTION("""COMPUTED_VALUE"""),"-")</f>
        <v>-</v>
      </c>
      <c r="AK148" s="55" t="str">
        <f ca="1">IFERROR(__xludf.DUMMYFUNCTION("""COMPUTED_VALUE"""),"-")</f>
        <v>-</v>
      </c>
      <c r="AL148" s="55" t="str">
        <f ca="1">IFERROR(__xludf.DUMMYFUNCTION("""COMPUTED_VALUE"""),"ERONILDO ALVES DA SILVA")</f>
        <v>ERONILDO ALVES DA SILVA</v>
      </c>
      <c r="AM148" s="55">
        <f ca="1">IFERROR(__xludf.DUMMYFUNCTION("""COMPUTED_VALUE"""),2025)</f>
        <v>2025</v>
      </c>
      <c r="AN148" s="55"/>
    </row>
    <row r="149" spans="1:40" ht="14" x14ac:dyDescent="0.35">
      <c r="A149" s="55" t="str">
        <f t="shared" ca="1" si="0"/>
        <v xml:space="preserve"> DIAMANTE/ESCOLA MUNICIPAL ARLINDO BATISTA PALITOT/HORTICULTOR ORGÂNICO/NOITE</v>
      </c>
      <c r="B149" s="55" t="str">
        <f ca="1">IFERROR(__xludf.DUMMYFUNCTION("""COMPUTED_VALUE"""),"00000001512")</f>
        <v>00000001512</v>
      </c>
      <c r="C149" s="55" t="str">
        <f ca="1">IFERROR(__xludf.DUMMYFUNCTION("""COMPUTED_VALUE"""),"T-HORTICULTOR ORGÂNICO/00000001512")</f>
        <v>T-HORTICULTOR ORGÂNICO/00000001512</v>
      </c>
      <c r="D149" s="56" t="str">
        <f ca="1">IFERROR(__xludf.DUMMYFUNCTION("""COMPUTED_VALUE"""),"https://docs.google.com/spreadsheets/d/1GLGUJ83q9wmxfeXV8nCjcCN2fmvwir941jSg-fD0MNs")</f>
        <v>https://docs.google.com/spreadsheets/d/1GLGUJ83q9wmxfeXV8nCjcCN2fmvwir941jSg-fD0MNs</v>
      </c>
      <c r="E149" s="55" t="str">
        <f ca="1">IFERROR(__xludf.DUMMYFUNCTION("""COMPUTED_VALUE"""),"17 - PARAIBATEC FIC")</f>
        <v>17 - PARAIBATEC FIC</v>
      </c>
      <c r="F149" s="55" t="str">
        <f ca="1">IFERROR(__xludf.DUMMYFUNCTION("""COMPUTED_VALUE"""),"PARAIBATEC FIC")</f>
        <v>PARAIBATEC FIC</v>
      </c>
      <c r="G149" s="55" t="str">
        <f ca="1">IFERROR(__xludf.DUMMYFUNCTION("""COMPUTED_VALUE"""),"01 - PARAIBATEC")</f>
        <v>01 - PARAIBATEC</v>
      </c>
      <c r="H149" s="55" t="str">
        <f ca="1">IFERROR(__xludf.DUMMYFUNCTION("""COMPUTED_VALUE"""),"PARAIBATEC")</f>
        <v>PARAIBATEC</v>
      </c>
      <c r="I149" s="55" t="str">
        <f ca="1">IFERROR(__xludf.DUMMYFUNCTION("""COMPUTED_VALUE"""),"511 - ESCOLA MUNICIPAL ARLINDO BATISTA PALITOT")</f>
        <v>511 - ESCOLA MUNICIPAL ARLINDO BATISTA PALITOT</v>
      </c>
      <c r="J149" s="55" t="str">
        <f ca="1">IFERROR(__xludf.DUMMYFUNCTION("""COMPUTED_VALUE""")," DIAMANTE")</f>
        <v xml:space="preserve"> DIAMANTE</v>
      </c>
      <c r="K149" s="55"/>
      <c r="L149" s="55"/>
      <c r="M149" s="55" t="str">
        <f ca="1">IFERROR(__xludf.DUMMYFUNCTION("""COMPUTED_VALUE"""),"ESCOLA MUNICIPAL ARLINDO BATISTA PALITOT")</f>
        <v>ESCOLA MUNICIPAL ARLINDO BATISTA PALITOT</v>
      </c>
      <c r="N149" s="55">
        <f ca="1">IFERROR(__xludf.DUMMYFUNCTION("""COMPUTED_VALUE"""),221105)</f>
        <v>221105</v>
      </c>
      <c r="O149" s="55" t="str">
        <f ca="1">IFERROR(__xludf.DUMMYFUNCTION("""COMPUTED_VALUE"""),"RECURSOS NATURAIS")</f>
        <v>RECURSOS NATURAIS</v>
      </c>
      <c r="P149" s="55" t="str">
        <f ca="1">IFERROR(__xludf.DUMMYFUNCTION("""COMPUTED_VALUE"""),"HORTICULTOR ORGÂNICO")</f>
        <v>HORTICULTOR ORGÂNICO</v>
      </c>
      <c r="Q149" s="55" t="str">
        <f ca="1">IFERROR(__xludf.DUMMYFUNCTION("""COMPUTED_VALUE"""),"FIC")</f>
        <v>FIC</v>
      </c>
      <c r="R149" s="55">
        <f ca="1">IFERROR(__xludf.DUMMYFUNCTION("""COMPUTED_VALUE"""),160)</f>
        <v>160</v>
      </c>
      <c r="S149" s="55" t="str">
        <f ca="1">IFERROR(__xludf.DUMMYFUNCTION("""COMPUTED_VALUE"""),"NOITE")</f>
        <v>NOITE</v>
      </c>
      <c r="T149" s="57">
        <f ca="1">IFERROR(__xludf.DUMMYFUNCTION("""COMPUTED_VALUE"""),45691)</f>
        <v>45691</v>
      </c>
      <c r="U149" s="57">
        <f ca="1">IFERROR(__xludf.DUMMYFUNCTION("""COMPUTED_VALUE"""),45826)</f>
        <v>45826</v>
      </c>
      <c r="V149" s="55"/>
      <c r="W149" s="55"/>
      <c r="X149" s="55"/>
      <c r="Y149" s="55" t="str">
        <f ca="1">IFERROR(__xludf.DUMMYFUNCTION("""COMPUTED_VALUE"""),"EM OFERTA")</f>
        <v>EM OFERTA</v>
      </c>
      <c r="Z149" s="55"/>
      <c r="AA149" s="55"/>
      <c r="AB149" s="55"/>
      <c r="AC149" s="55"/>
      <c r="AD149" s="55"/>
      <c r="AE149" s="55"/>
      <c r="AF149" s="55"/>
      <c r="AG149" s="55"/>
      <c r="AH149" s="55" t="str">
        <f ca="1">IFERROR(__xludf.DUMMYFUNCTION("""COMPUTED_VALUE"""),"-")</f>
        <v>-</v>
      </c>
      <c r="AI149" s="55" t="str">
        <f ca="1">IFERROR(__xludf.DUMMYFUNCTION("""COMPUTED_VALUE"""),"ROBERLANDIA DE ABRANTES GADELHA SILVA")</f>
        <v>ROBERLANDIA DE ABRANTES GADELHA SILVA</v>
      </c>
      <c r="AJ149" s="55" t="str">
        <f ca="1">IFERROR(__xludf.DUMMYFUNCTION("""COMPUTED_VALUE"""),"-")</f>
        <v>-</v>
      </c>
      <c r="AK149" s="55" t="str">
        <f ca="1">IFERROR(__xludf.DUMMYFUNCTION("""COMPUTED_VALUE"""),"-")</f>
        <v>-</v>
      </c>
      <c r="AL149" s="55" t="str">
        <f ca="1">IFERROR(__xludf.DUMMYFUNCTION("""COMPUTED_VALUE"""),"COSMO CAVALCANTI DE LIRA")</f>
        <v>COSMO CAVALCANTI DE LIRA</v>
      </c>
      <c r="AM149" s="55">
        <f ca="1">IFERROR(__xludf.DUMMYFUNCTION("""COMPUTED_VALUE"""),2025)</f>
        <v>2025</v>
      </c>
      <c r="AN149" s="55"/>
    </row>
    <row r="150" spans="1:40" ht="14" x14ac:dyDescent="0.35">
      <c r="A150" s="55" t="str">
        <f t="shared" ca="1" si="0"/>
        <v xml:space="preserve"> INGÁ/ESCOLA QUILOMBOLA DE PEDRA D’AGUA JOSEFA MARIA DO ESPIRITO SANTO/AGRICULTOR FAMILIAR/NOITE</v>
      </c>
      <c r="B150" s="55" t="str">
        <f ca="1">IFERROR(__xludf.DUMMYFUNCTION("""COMPUTED_VALUE"""),"00000001513")</f>
        <v>00000001513</v>
      </c>
      <c r="C150" s="55" t="str">
        <f ca="1">IFERROR(__xludf.DUMMYFUNCTION("""COMPUTED_VALUE"""),"T-AGRICULTOR FAMILIAR/00000001513")</f>
        <v>T-AGRICULTOR FAMILIAR/00000001513</v>
      </c>
      <c r="D150" s="56" t="str">
        <f ca="1">IFERROR(__xludf.DUMMYFUNCTION("""COMPUTED_VALUE"""),"https://docs.google.com/spreadsheets/d/1Buo4MSlSVKSfOLKZnDCAFrR6iHYDixv7h0rn0nnlPIg")</f>
        <v>https://docs.google.com/spreadsheets/d/1Buo4MSlSVKSfOLKZnDCAFrR6iHYDixv7h0rn0nnlPIg</v>
      </c>
      <c r="E150" s="55" t="str">
        <f ca="1">IFERROR(__xludf.DUMMYFUNCTION("""COMPUTED_VALUE"""),"17 - PARAIBATEC FIC")</f>
        <v>17 - PARAIBATEC FIC</v>
      </c>
      <c r="F150" s="55" t="str">
        <f ca="1">IFERROR(__xludf.DUMMYFUNCTION("""COMPUTED_VALUE"""),"PARAIBATEC FIC")</f>
        <v>PARAIBATEC FIC</v>
      </c>
      <c r="G150" s="55" t="str">
        <f ca="1">IFERROR(__xludf.DUMMYFUNCTION("""COMPUTED_VALUE"""),"01 - PARAIBATEC")</f>
        <v>01 - PARAIBATEC</v>
      </c>
      <c r="H150" s="55" t="str">
        <f ca="1">IFERROR(__xludf.DUMMYFUNCTION("""COMPUTED_VALUE"""),"PARAIBATEC")</f>
        <v>PARAIBATEC</v>
      </c>
      <c r="I150" s="55" t="str">
        <f ca="1">IFERROR(__xludf.DUMMYFUNCTION("""COMPUTED_VALUE"""),"577 - ESCOLA QUILOMBOLA DE PEDRA D’AGUA JOSEFA MARIA DO ESPIRITO SANTO")</f>
        <v>577 - ESCOLA QUILOMBOLA DE PEDRA D’AGUA JOSEFA MARIA DO ESPIRITO SANTO</v>
      </c>
      <c r="J150" s="55" t="str">
        <f ca="1">IFERROR(__xludf.DUMMYFUNCTION("""COMPUTED_VALUE""")," INGÁ")</f>
        <v xml:space="preserve"> INGÁ</v>
      </c>
      <c r="K150" s="55"/>
      <c r="L150" s="55"/>
      <c r="M150" s="55" t="str">
        <f ca="1">IFERROR(__xludf.DUMMYFUNCTION("""COMPUTED_VALUE"""),"ESCOLA QUILOMBOLA DE PEDRA D’AGUA JOSEFA MARIA DO ESPIRITO SANTO")</f>
        <v>ESCOLA QUILOMBOLA DE PEDRA D’AGUA JOSEFA MARIA DO ESPIRITO SANTO</v>
      </c>
      <c r="N150" s="55">
        <f ca="1">IFERROR(__xludf.DUMMYFUNCTION("""COMPUTED_VALUE"""),221289)</f>
        <v>221289</v>
      </c>
      <c r="O150" s="55" t="str">
        <f ca="1">IFERROR(__xludf.DUMMYFUNCTION("""COMPUTED_VALUE"""),"RECURSOS NATURAIS")</f>
        <v>RECURSOS NATURAIS</v>
      </c>
      <c r="P150" s="55" t="str">
        <f ca="1">IFERROR(__xludf.DUMMYFUNCTION("""COMPUTED_VALUE"""),"AGRICULTOR FAMILIAR")</f>
        <v>AGRICULTOR FAMILIAR</v>
      </c>
      <c r="Q150" s="55" t="str">
        <f ca="1">IFERROR(__xludf.DUMMYFUNCTION("""COMPUTED_VALUE"""),"FIC")</f>
        <v>FIC</v>
      </c>
      <c r="R150" s="55">
        <f ca="1">IFERROR(__xludf.DUMMYFUNCTION("""COMPUTED_VALUE"""),200)</f>
        <v>200</v>
      </c>
      <c r="S150" s="55" t="str">
        <f ca="1">IFERROR(__xludf.DUMMYFUNCTION("""COMPUTED_VALUE"""),"NOITE")</f>
        <v>NOITE</v>
      </c>
      <c r="T150" s="57">
        <f ca="1">IFERROR(__xludf.DUMMYFUNCTION("""COMPUTED_VALUE"""),45726)</f>
        <v>45726</v>
      </c>
      <c r="U150" s="57">
        <f ca="1">IFERROR(__xludf.DUMMYFUNCTION("""COMPUTED_VALUE"""),45890)</f>
        <v>45890</v>
      </c>
      <c r="V150" s="55"/>
      <c r="W150" s="55"/>
      <c r="X150" s="55"/>
      <c r="Y150" s="55" t="str">
        <f ca="1">IFERROR(__xludf.DUMMYFUNCTION("""COMPUTED_VALUE"""),"EM OFERTA")</f>
        <v>EM OFERTA</v>
      </c>
      <c r="Z150" s="55"/>
      <c r="AA150" s="55"/>
      <c r="AB150" s="55"/>
      <c r="AC150" s="55"/>
      <c r="AD150" s="55"/>
      <c r="AE150" s="55"/>
      <c r="AF150" s="55"/>
      <c r="AG150" s="55"/>
      <c r="AH150" s="55" t="str">
        <f ca="1">IFERROR(__xludf.DUMMYFUNCTION("""COMPUTED_VALUE"""),"-")</f>
        <v>-</v>
      </c>
      <c r="AI150" s="55" t="str">
        <f ca="1">IFERROR(__xludf.DUMMYFUNCTION("""COMPUTED_VALUE"""),"TESSIO ALVES DA SILVA DIAS")</f>
        <v>TESSIO ALVES DA SILVA DIAS</v>
      </c>
      <c r="AJ150" s="55" t="str">
        <f ca="1">IFERROR(__xludf.DUMMYFUNCTION("""COMPUTED_VALUE"""),"-")</f>
        <v>-</v>
      </c>
      <c r="AK150" s="55" t="str">
        <f ca="1">IFERROR(__xludf.DUMMYFUNCTION("""COMPUTED_VALUE"""),"-")</f>
        <v>-</v>
      </c>
      <c r="AL150" s="55" t="str">
        <f ca="1">IFERROR(__xludf.DUMMYFUNCTION("""COMPUTED_VALUE"""),"JOSE LUCAS DA SILVA BACALHAU")</f>
        <v>JOSE LUCAS DA SILVA BACALHAU</v>
      </c>
      <c r="AM150" s="55">
        <f ca="1">IFERROR(__xludf.DUMMYFUNCTION("""COMPUTED_VALUE"""),2025)</f>
        <v>2025</v>
      </c>
      <c r="AN150" s="55"/>
    </row>
    <row r="151" spans="1:40" ht="14" x14ac:dyDescent="0.35">
      <c r="A151" s="55" t="str">
        <f t="shared" ca="1" si="0"/>
        <v xml:space="preserve"> SÃO VICENTE DO SERIDÓ/SINDICATO DOS TRABALHADORES RURAIS/AGRICULTOR ORGÂNICO/MANHA</v>
      </c>
      <c r="B151" s="55" t="str">
        <f ca="1">IFERROR(__xludf.DUMMYFUNCTION("""COMPUTED_VALUE"""),"00000001514")</f>
        <v>00000001514</v>
      </c>
      <c r="C151" s="55" t="str">
        <f ca="1">IFERROR(__xludf.DUMMYFUNCTION("""COMPUTED_VALUE"""),"T-AGRICULTOR ORGÂNICO/00000001514")</f>
        <v>T-AGRICULTOR ORGÂNICO/00000001514</v>
      </c>
      <c r="D151" s="56" t="str">
        <f ca="1">IFERROR(__xludf.DUMMYFUNCTION("""COMPUTED_VALUE"""),"https://docs.google.com/spreadsheets/d/1HX1gtybRdOnqfrOWhjNZSkaHPinyiHcON4Mumx8t76o")</f>
        <v>https://docs.google.com/spreadsheets/d/1HX1gtybRdOnqfrOWhjNZSkaHPinyiHcON4Mumx8t76o</v>
      </c>
      <c r="E151" s="55" t="str">
        <f ca="1">IFERROR(__xludf.DUMMYFUNCTION("""COMPUTED_VALUE"""),"17 - PARAIBATEC FIC")</f>
        <v>17 - PARAIBATEC FIC</v>
      </c>
      <c r="F151" s="55" t="str">
        <f ca="1">IFERROR(__xludf.DUMMYFUNCTION("""COMPUTED_VALUE"""),"PARAIBATEC FIC")</f>
        <v>PARAIBATEC FIC</v>
      </c>
      <c r="G151" s="55" t="str">
        <f ca="1">IFERROR(__xludf.DUMMYFUNCTION("""COMPUTED_VALUE"""),"01 - PARAIBATEC")</f>
        <v>01 - PARAIBATEC</v>
      </c>
      <c r="H151" s="55" t="str">
        <f ca="1">IFERROR(__xludf.DUMMYFUNCTION("""COMPUTED_VALUE"""),"PARAIBATEC")</f>
        <v>PARAIBATEC</v>
      </c>
      <c r="I151" s="55" t="str">
        <f ca="1">IFERROR(__xludf.DUMMYFUNCTION("""COMPUTED_VALUE"""),"576 - SINDICATO DOS TRABALHADORES RURAIS")</f>
        <v>576 - SINDICATO DOS TRABALHADORES RURAIS</v>
      </c>
      <c r="J151" s="55" t="str">
        <f ca="1">IFERROR(__xludf.DUMMYFUNCTION("""COMPUTED_VALUE""")," SÃO VICENTE DO SERIDÓ")</f>
        <v xml:space="preserve"> SÃO VICENTE DO SERIDÓ</v>
      </c>
      <c r="K151" s="55"/>
      <c r="L151" s="55"/>
      <c r="M151" s="55" t="str">
        <f ca="1">IFERROR(__xludf.DUMMYFUNCTION("""COMPUTED_VALUE"""),"SINDICATO DOS TRABALHADORES RURAIS")</f>
        <v>SINDICATO DOS TRABALHADORES RURAIS</v>
      </c>
      <c r="N151" s="55">
        <f ca="1">IFERROR(__xludf.DUMMYFUNCTION("""COMPUTED_VALUE"""),221106)</f>
        <v>221106</v>
      </c>
      <c r="O151" s="55" t="str">
        <f ca="1">IFERROR(__xludf.DUMMYFUNCTION("""COMPUTED_VALUE"""),"RECURSOS NATURAIS")</f>
        <v>RECURSOS NATURAIS</v>
      </c>
      <c r="P151" s="55" t="str">
        <f ca="1">IFERROR(__xludf.DUMMYFUNCTION("""COMPUTED_VALUE"""),"AGRICULTOR ORGÂNICO")</f>
        <v>AGRICULTOR ORGÂNICO</v>
      </c>
      <c r="Q151" s="55" t="str">
        <f ca="1">IFERROR(__xludf.DUMMYFUNCTION("""COMPUTED_VALUE"""),"FIC")</f>
        <v>FIC</v>
      </c>
      <c r="R151" s="55">
        <f ca="1">IFERROR(__xludf.DUMMYFUNCTION("""COMPUTED_VALUE"""),160)</f>
        <v>160</v>
      </c>
      <c r="S151" s="55" t="str">
        <f ca="1">IFERROR(__xludf.DUMMYFUNCTION("""COMPUTED_VALUE"""),"MANHA")</f>
        <v>MANHA</v>
      </c>
      <c r="T151" s="57">
        <f ca="1">IFERROR(__xludf.DUMMYFUNCTION("""COMPUTED_VALUE"""),45712)</f>
        <v>45712</v>
      </c>
      <c r="U151" s="57">
        <f ca="1">IFERROR(__xludf.DUMMYFUNCTION("""COMPUTED_VALUE"""),45845)</f>
        <v>45845</v>
      </c>
      <c r="V151" s="55"/>
      <c r="W151" s="55"/>
      <c r="X151" s="55"/>
      <c r="Y151" s="55" t="str">
        <f ca="1">IFERROR(__xludf.DUMMYFUNCTION("""COMPUTED_VALUE"""),"EM OFERTA")</f>
        <v>EM OFERTA</v>
      </c>
      <c r="Z151" s="55"/>
      <c r="AA151" s="55"/>
      <c r="AB151" s="55"/>
      <c r="AC151" s="55"/>
      <c r="AD151" s="55"/>
      <c r="AE151" s="55"/>
      <c r="AF151" s="55"/>
      <c r="AG151" s="55"/>
      <c r="AH151" s="55" t="str">
        <f ca="1">IFERROR(__xludf.DUMMYFUNCTION("""COMPUTED_VALUE"""),"-")</f>
        <v>-</v>
      </c>
      <c r="AI151" s="55" t="str">
        <f ca="1">IFERROR(__xludf.DUMMYFUNCTION("""COMPUTED_VALUE"""),"MILENY DOS SANTOS DE SOUZA")</f>
        <v>MILENY DOS SANTOS DE SOUZA</v>
      </c>
      <c r="AJ151" s="55" t="str">
        <f ca="1">IFERROR(__xludf.DUMMYFUNCTION("""COMPUTED_VALUE"""),"-")</f>
        <v>-</v>
      </c>
      <c r="AK151" s="55" t="str">
        <f ca="1">IFERROR(__xludf.DUMMYFUNCTION("""COMPUTED_VALUE"""),"-")</f>
        <v>-</v>
      </c>
      <c r="AL151" s="55" t="str">
        <f ca="1">IFERROR(__xludf.DUMMYFUNCTION("""COMPUTED_VALUE"""),"AUSTRO JOSE FAUSTINO TAVARES")</f>
        <v>AUSTRO JOSE FAUSTINO TAVARES</v>
      </c>
      <c r="AM151" s="55">
        <f ca="1">IFERROR(__xludf.DUMMYFUNCTION("""COMPUTED_VALUE"""),2025)</f>
        <v>2025</v>
      </c>
      <c r="AN151" s="55"/>
    </row>
    <row r="152" spans="1:40" ht="14" x14ac:dyDescent="0.35">
      <c r="A152" s="55" t="str">
        <f t="shared" ca="1" si="0"/>
        <v xml:space="preserve"> SÃO MAMEDE/SECRETARIA DA EDUCACAO/CUIDADOR DE IDOSO/NOITE</v>
      </c>
      <c r="B152" s="55" t="str">
        <f ca="1">IFERROR(__xludf.DUMMYFUNCTION("""COMPUTED_VALUE"""),"00000001515")</f>
        <v>00000001515</v>
      </c>
      <c r="C152" s="55" t="str">
        <f ca="1">IFERROR(__xludf.DUMMYFUNCTION("""COMPUTED_VALUE"""),"T-CUIDADOR DE IDOSO/00000001515")</f>
        <v>T-CUIDADOR DE IDOSO/00000001515</v>
      </c>
      <c r="D152" s="56" t="str">
        <f ca="1">IFERROR(__xludf.DUMMYFUNCTION("""COMPUTED_VALUE"""),"https://docs.google.com/spreadsheets/d/1s10F0pEcqOYjlDJoAJMxPm9O4BDyAt70r-CLDfnqyy8")</f>
        <v>https://docs.google.com/spreadsheets/d/1s10F0pEcqOYjlDJoAJMxPm9O4BDyAt70r-CLDfnqyy8</v>
      </c>
      <c r="E152" s="55" t="str">
        <f ca="1">IFERROR(__xludf.DUMMYFUNCTION("""COMPUTED_VALUE"""),"17 - PARAIBATEC FIC")</f>
        <v>17 - PARAIBATEC FIC</v>
      </c>
      <c r="F152" s="55" t="str">
        <f ca="1">IFERROR(__xludf.DUMMYFUNCTION("""COMPUTED_VALUE"""),"PARAIBATEC FIC")</f>
        <v>PARAIBATEC FIC</v>
      </c>
      <c r="G152" s="55" t="str">
        <f ca="1">IFERROR(__xludf.DUMMYFUNCTION("""COMPUTED_VALUE"""),"01 - PARAIBATEC")</f>
        <v>01 - PARAIBATEC</v>
      </c>
      <c r="H152" s="55" t="str">
        <f ca="1">IFERROR(__xludf.DUMMYFUNCTION("""COMPUTED_VALUE"""),"PARAIBATEC")</f>
        <v>PARAIBATEC</v>
      </c>
      <c r="I152" s="55" t="str">
        <f ca="1">IFERROR(__xludf.DUMMYFUNCTION("""COMPUTED_VALUE"""),"557 - SECRETARIA DA EDUCACAO")</f>
        <v>557 - SECRETARIA DA EDUCACAO</v>
      </c>
      <c r="J152" s="55" t="str">
        <f ca="1">IFERROR(__xludf.DUMMYFUNCTION("""COMPUTED_VALUE""")," SÃO MAMEDE")</f>
        <v xml:space="preserve"> SÃO MAMEDE</v>
      </c>
      <c r="K152" s="55"/>
      <c r="L152" s="55"/>
      <c r="M152" s="55" t="str">
        <f ca="1">IFERROR(__xludf.DUMMYFUNCTION("""COMPUTED_VALUE"""),"SECRETARIA DA EDUCACAO")</f>
        <v>SECRETARIA DA EDUCACAO</v>
      </c>
      <c r="N152" s="55">
        <f ca="1">IFERROR(__xludf.DUMMYFUNCTION("""COMPUTED_VALUE"""),221539)</f>
        <v>221539</v>
      </c>
      <c r="O152" s="55" t="str">
        <f ca="1">IFERROR(__xludf.DUMMYFUNCTION("""COMPUTED_VALUE"""),"AMBIENTE E SAUDE")</f>
        <v>AMBIENTE E SAUDE</v>
      </c>
      <c r="P152" s="55" t="str">
        <f ca="1">IFERROR(__xludf.DUMMYFUNCTION("""COMPUTED_VALUE"""),"CUIDADOR DE IDOSO")</f>
        <v>CUIDADOR DE IDOSO</v>
      </c>
      <c r="Q152" s="55" t="str">
        <f ca="1">IFERROR(__xludf.DUMMYFUNCTION("""COMPUTED_VALUE"""),"FIC")</f>
        <v>FIC</v>
      </c>
      <c r="R152" s="55">
        <f ca="1">IFERROR(__xludf.DUMMYFUNCTION("""COMPUTED_VALUE"""),160)</f>
        <v>160</v>
      </c>
      <c r="S152" s="55" t="str">
        <f ca="1">IFERROR(__xludf.DUMMYFUNCTION("""COMPUTED_VALUE"""),"NOITE")</f>
        <v>NOITE</v>
      </c>
      <c r="T152" s="57">
        <f ca="1">IFERROR(__xludf.DUMMYFUNCTION("""COMPUTED_VALUE"""),45692)</f>
        <v>45692</v>
      </c>
      <c r="U152" s="57">
        <f ca="1">IFERROR(__xludf.DUMMYFUNCTION("""COMPUTED_VALUE"""),45825)</f>
        <v>45825</v>
      </c>
      <c r="V152" s="55"/>
      <c r="W152" s="55"/>
      <c r="X152" s="55"/>
      <c r="Y152" s="55" t="str">
        <f ca="1">IFERROR(__xludf.DUMMYFUNCTION("""COMPUTED_VALUE"""),"EM OFERTA")</f>
        <v>EM OFERTA</v>
      </c>
      <c r="Z152" s="55"/>
      <c r="AA152" s="55"/>
      <c r="AB152" s="55"/>
      <c r="AC152" s="55"/>
      <c r="AD152" s="55"/>
      <c r="AE152" s="55"/>
      <c r="AF152" s="55"/>
      <c r="AG152" s="55"/>
      <c r="AH152" s="55" t="str">
        <f ca="1">IFERROR(__xludf.DUMMYFUNCTION("""COMPUTED_VALUE"""),"-")</f>
        <v>-</v>
      </c>
      <c r="AI152" s="55" t="str">
        <f ca="1">IFERROR(__xludf.DUMMYFUNCTION("""COMPUTED_VALUE"""),"KECIO DA SILVA SANTOS")</f>
        <v>KECIO DA SILVA SANTOS</v>
      </c>
      <c r="AJ152" s="55" t="str">
        <f ca="1">IFERROR(__xludf.DUMMYFUNCTION("""COMPUTED_VALUE"""),"-")</f>
        <v>-</v>
      </c>
      <c r="AK152" s="55" t="str">
        <f ca="1">IFERROR(__xludf.DUMMYFUNCTION("""COMPUTED_VALUE"""),"-")</f>
        <v>-</v>
      </c>
      <c r="AL152" s="55" t="str">
        <f ca="1">IFERROR(__xludf.DUMMYFUNCTION("""COMPUTED_VALUE"""),"LUAN NORBERTO DE OLIVEIRA")</f>
        <v>LUAN NORBERTO DE OLIVEIRA</v>
      </c>
      <c r="AM152" s="55">
        <f ca="1">IFERROR(__xludf.DUMMYFUNCTION("""COMPUTED_VALUE"""),2025)</f>
        <v>2025</v>
      </c>
      <c r="AN152" s="55"/>
    </row>
    <row r="153" spans="1:40" ht="14" x14ac:dyDescent="0.35">
      <c r="A153" s="55" t="str">
        <f t="shared" ca="1" si="0"/>
        <v xml:space="preserve"> AGUIAR/EMEF LIDIA CABRAL DE SOUSA/BOMBEIRO CIVIL/NOITE</v>
      </c>
      <c r="B153" s="55" t="str">
        <f ca="1">IFERROR(__xludf.DUMMYFUNCTION("""COMPUTED_VALUE"""),"00000001516")</f>
        <v>00000001516</v>
      </c>
      <c r="C153" s="55" t="str">
        <f ca="1">IFERROR(__xludf.DUMMYFUNCTION("""COMPUTED_VALUE"""),"T-BOMBEIRO CIVIL/00000001516")</f>
        <v>T-BOMBEIRO CIVIL/00000001516</v>
      </c>
      <c r="D153" s="56" t="str">
        <f ca="1">IFERROR(__xludf.DUMMYFUNCTION("""COMPUTED_VALUE"""),"https://docs.google.com/spreadsheets/d/1MHTsILib_Qhc4GDwcNr1WhcTKhkw4tSDblXv3hcweJM")</f>
        <v>https://docs.google.com/spreadsheets/d/1MHTsILib_Qhc4GDwcNr1WhcTKhkw4tSDblXv3hcweJM</v>
      </c>
      <c r="E153" s="55" t="str">
        <f ca="1">IFERROR(__xludf.DUMMYFUNCTION("""COMPUTED_VALUE"""),"17 - PARAIBATEC FIC")</f>
        <v>17 - PARAIBATEC FIC</v>
      </c>
      <c r="F153" s="55" t="str">
        <f ca="1">IFERROR(__xludf.DUMMYFUNCTION("""COMPUTED_VALUE"""),"PARAIBATEC FIC")</f>
        <v>PARAIBATEC FIC</v>
      </c>
      <c r="G153" s="55" t="str">
        <f ca="1">IFERROR(__xludf.DUMMYFUNCTION("""COMPUTED_VALUE"""),"01 - PARAIBATEC")</f>
        <v>01 - PARAIBATEC</v>
      </c>
      <c r="H153" s="55" t="str">
        <f ca="1">IFERROR(__xludf.DUMMYFUNCTION("""COMPUTED_VALUE"""),"PARAIBATEC")</f>
        <v>PARAIBATEC</v>
      </c>
      <c r="I153" s="55" t="str">
        <f ca="1">IFERROR(__xludf.DUMMYFUNCTION("""COMPUTED_VALUE"""),"578 - EMEF LIDIA CABRAL DE SOUSA")</f>
        <v>578 - EMEF LIDIA CABRAL DE SOUSA</v>
      </c>
      <c r="J153" s="55" t="str">
        <f ca="1">IFERROR(__xludf.DUMMYFUNCTION("""COMPUTED_VALUE""")," AGUIAR")</f>
        <v xml:space="preserve"> AGUIAR</v>
      </c>
      <c r="K153" s="55"/>
      <c r="L153" s="55"/>
      <c r="M153" s="55" t="str">
        <f ca="1">IFERROR(__xludf.DUMMYFUNCTION("""COMPUTED_VALUE"""),"EMEF LIDIA CABRAL DE SOUSA")</f>
        <v>EMEF LIDIA CABRAL DE SOUSA</v>
      </c>
      <c r="N153" s="55">
        <f ca="1">IFERROR(__xludf.DUMMYFUNCTION("""COMPUTED_VALUE"""),221292)</f>
        <v>221292</v>
      </c>
      <c r="O153" s="55" t="str">
        <f ca="1">IFERROR(__xludf.DUMMYFUNCTION("""COMPUTED_VALUE"""),"SEGURANÇA")</f>
        <v>SEGURANÇA</v>
      </c>
      <c r="P153" s="55" t="str">
        <f ca="1">IFERROR(__xludf.DUMMYFUNCTION("""COMPUTED_VALUE"""),"BOMBEIRO CIVIL")</f>
        <v>BOMBEIRO CIVIL</v>
      </c>
      <c r="Q153" s="55" t="str">
        <f ca="1">IFERROR(__xludf.DUMMYFUNCTION("""COMPUTED_VALUE"""),"FIC")</f>
        <v>FIC</v>
      </c>
      <c r="R153" s="55">
        <f ca="1">IFERROR(__xludf.DUMMYFUNCTION("""COMPUTED_VALUE"""),210)</f>
        <v>210</v>
      </c>
      <c r="S153" s="55" t="str">
        <f ca="1">IFERROR(__xludf.DUMMYFUNCTION("""COMPUTED_VALUE"""),"NOITE")</f>
        <v>NOITE</v>
      </c>
      <c r="T153" s="57">
        <f ca="1">IFERROR(__xludf.DUMMYFUNCTION("""COMPUTED_VALUE"""),45713)</f>
        <v>45713</v>
      </c>
      <c r="U153" s="57">
        <f ca="1">IFERROR(__xludf.DUMMYFUNCTION("""COMPUTED_VALUE"""),45882)</f>
        <v>45882</v>
      </c>
      <c r="V153" s="55"/>
      <c r="W153" s="55"/>
      <c r="X153" s="55"/>
      <c r="Y153" s="55" t="str">
        <f ca="1">IFERROR(__xludf.DUMMYFUNCTION("""COMPUTED_VALUE"""),"EM OFERTA")</f>
        <v>EM OFERTA</v>
      </c>
      <c r="Z153" s="55"/>
      <c r="AA153" s="55"/>
      <c r="AB153" s="55"/>
      <c r="AC153" s="55"/>
      <c r="AD153" s="55"/>
      <c r="AE153" s="55"/>
      <c r="AF153" s="55"/>
      <c r="AG153" s="55"/>
      <c r="AH153" s="55" t="str">
        <f ca="1">IFERROR(__xludf.DUMMYFUNCTION("""COMPUTED_VALUE"""),"-")</f>
        <v>-</v>
      </c>
      <c r="AI153" s="55" t="str">
        <f ca="1">IFERROR(__xludf.DUMMYFUNCTION("""COMPUTED_VALUE"""),"MARCOS ALBERTO DA SILVA JUNIOR")</f>
        <v>MARCOS ALBERTO DA SILVA JUNIOR</v>
      </c>
      <c r="AJ153" s="55" t="str">
        <f ca="1">IFERROR(__xludf.DUMMYFUNCTION("""COMPUTED_VALUE"""),"-")</f>
        <v>-</v>
      </c>
      <c r="AK153" s="55" t="str">
        <f ca="1">IFERROR(__xludf.DUMMYFUNCTION("""COMPUTED_VALUE"""),"-")</f>
        <v>-</v>
      </c>
      <c r="AL153" s="55" t="str">
        <f ca="1">IFERROR(__xludf.DUMMYFUNCTION("""COMPUTED_VALUE"""),"GEORGE CARLOS DOS SANTOS ANSELMO")</f>
        <v>GEORGE CARLOS DOS SANTOS ANSELMO</v>
      </c>
      <c r="AM153" s="55">
        <f ca="1">IFERROR(__xludf.DUMMYFUNCTION("""COMPUTED_VALUE"""),2025)</f>
        <v>2025</v>
      </c>
      <c r="AN153" s="55"/>
    </row>
    <row r="154" spans="1:40" ht="14" x14ac:dyDescent="0.35">
      <c r="A154" s="55" t="str">
        <f t="shared" ca="1" si="0"/>
        <v xml:space="preserve"> AGUA BRANCA/ESCOLA MAE IAIA/PEDREIRO DE ALVENARIA/NOITE</v>
      </c>
      <c r="B154" s="55" t="str">
        <f ca="1">IFERROR(__xludf.DUMMYFUNCTION("""COMPUTED_VALUE"""),"00000001517")</f>
        <v>00000001517</v>
      </c>
      <c r="C154" s="55" t="str">
        <f ca="1">IFERROR(__xludf.DUMMYFUNCTION("""COMPUTED_VALUE"""),"T-PEDREIRO DE ALVENARIA/00000001517")</f>
        <v>T-PEDREIRO DE ALVENARIA/00000001517</v>
      </c>
      <c r="D154" s="56" t="str">
        <f ca="1">IFERROR(__xludf.DUMMYFUNCTION("""COMPUTED_VALUE"""),"https://docs.google.com/spreadsheets/d/1T-iwcTmdKcsrmUOnq_Ls5zpgt3LfjeE72vV9zjps2Tk")</f>
        <v>https://docs.google.com/spreadsheets/d/1T-iwcTmdKcsrmUOnq_Ls5zpgt3LfjeE72vV9zjps2Tk</v>
      </c>
      <c r="E154" s="55" t="str">
        <f ca="1">IFERROR(__xludf.DUMMYFUNCTION("""COMPUTED_VALUE"""),"17 - PARAIBATEC FIC")</f>
        <v>17 - PARAIBATEC FIC</v>
      </c>
      <c r="F154" s="55" t="str">
        <f ca="1">IFERROR(__xludf.DUMMYFUNCTION("""COMPUTED_VALUE"""),"PARAIBATEC FIC")</f>
        <v>PARAIBATEC FIC</v>
      </c>
      <c r="G154" s="55" t="str">
        <f ca="1">IFERROR(__xludf.DUMMYFUNCTION("""COMPUTED_VALUE"""),"01 - PARAIBATEC")</f>
        <v>01 - PARAIBATEC</v>
      </c>
      <c r="H154" s="55" t="str">
        <f ca="1">IFERROR(__xludf.DUMMYFUNCTION("""COMPUTED_VALUE"""),"PARAIBATEC")</f>
        <v>PARAIBATEC</v>
      </c>
      <c r="I154" s="55" t="str">
        <f ca="1">IFERROR(__xludf.DUMMYFUNCTION("""COMPUTED_VALUE"""),"442 - ESCOLA MAE IAIA")</f>
        <v>442 - ESCOLA MAE IAIA</v>
      </c>
      <c r="J154" s="55" t="str">
        <f ca="1">IFERROR(__xludf.DUMMYFUNCTION("""COMPUTED_VALUE""")," AGUA BRANCA")</f>
        <v xml:space="preserve"> AGUA BRANCA</v>
      </c>
      <c r="K154" s="55"/>
      <c r="L154" s="55"/>
      <c r="M154" s="55" t="str">
        <f ca="1">IFERROR(__xludf.DUMMYFUNCTION("""COMPUTED_VALUE"""),"ESCOLA MAE IAIA")</f>
        <v>ESCOLA MAE IAIA</v>
      </c>
      <c r="N154" s="55">
        <f ca="1">IFERROR(__xludf.DUMMYFUNCTION("""COMPUTED_VALUE"""),221497)</f>
        <v>221497</v>
      </c>
      <c r="O154" s="55" t="str">
        <f ca="1">IFERROR(__xludf.DUMMYFUNCTION("""COMPUTED_VALUE"""),"INFRAESTRUTURA")</f>
        <v>INFRAESTRUTURA</v>
      </c>
      <c r="P154" s="55" t="str">
        <f ca="1">IFERROR(__xludf.DUMMYFUNCTION("""COMPUTED_VALUE"""),"PEDREIRO DE ALVENARIA")</f>
        <v>PEDREIRO DE ALVENARIA</v>
      </c>
      <c r="Q154" s="55" t="str">
        <f ca="1">IFERROR(__xludf.DUMMYFUNCTION("""COMPUTED_VALUE"""),"FIC")</f>
        <v>FIC</v>
      </c>
      <c r="R154" s="55">
        <f ca="1">IFERROR(__xludf.DUMMYFUNCTION("""COMPUTED_VALUE"""),200)</f>
        <v>200</v>
      </c>
      <c r="S154" s="55" t="str">
        <f ca="1">IFERROR(__xludf.DUMMYFUNCTION("""COMPUTED_VALUE"""),"NOITE")</f>
        <v>NOITE</v>
      </c>
      <c r="T154" s="57">
        <f ca="1">IFERROR(__xludf.DUMMYFUNCTION("""COMPUTED_VALUE"""),45713)</f>
        <v>45713</v>
      </c>
      <c r="U154" s="57">
        <f ca="1">IFERROR(__xludf.DUMMYFUNCTION("""COMPUTED_VALUE"""),45839)</f>
        <v>45839</v>
      </c>
      <c r="V154" s="55"/>
      <c r="W154" s="55"/>
      <c r="X154" s="55"/>
      <c r="Y154" s="55" t="str">
        <f ca="1">IFERROR(__xludf.DUMMYFUNCTION("""COMPUTED_VALUE"""),"EM OFERTA")</f>
        <v>EM OFERTA</v>
      </c>
      <c r="Z154" s="55"/>
      <c r="AA154" s="55"/>
      <c r="AB154" s="55"/>
      <c r="AC154" s="55"/>
      <c r="AD154" s="55"/>
      <c r="AE154" s="55"/>
      <c r="AF154" s="55"/>
      <c r="AG154" s="55"/>
      <c r="AH154" s="55" t="str">
        <f ca="1">IFERROR(__xludf.DUMMYFUNCTION("""COMPUTED_VALUE"""),"-")</f>
        <v>-</v>
      </c>
      <c r="AI154" s="55" t="str">
        <f ca="1">IFERROR(__xludf.DUMMYFUNCTION("""COMPUTED_VALUE"""),"TAMARA TATISE BISPO PEREIRA")</f>
        <v>TAMARA TATISE BISPO PEREIRA</v>
      </c>
      <c r="AJ154" s="55" t="str">
        <f ca="1">IFERROR(__xludf.DUMMYFUNCTION("""COMPUTED_VALUE"""),"-")</f>
        <v>-</v>
      </c>
      <c r="AK154" s="55" t="str">
        <f ca="1">IFERROR(__xludf.DUMMYFUNCTION("""COMPUTED_VALUE"""),"-")</f>
        <v>-</v>
      </c>
      <c r="AL154" s="55" t="str">
        <f ca="1">IFERROR(__xludf.DUMMYFUNCTION("""COMPUTED_VALUE"""),"CLARO ALVINO SEGUNDO FILHO")</f>
        <v>CLARO ALVINO SEGUNDO FILHO</v>
      </c>
      <c r="AM154" s="55">
        <f ca="1">IFERROR(__xludf.DUMMYFUNCTION("""COMPUTED_VALUE"""),2025)</f>
        <v>2025</v>
      </c>
      <c r="AN154" s="55"/>
    </row>
    <row r="155" spans="1:40" ht="14" x14ac:dyDescent="0.35">
      <c r="A155" s="55" t="str">
        <f t="shared" ca="1" si="0"/>
        <v xml:space="preserve"> BARRA DE SANTA ROSA/AUDITORIO DA USINA MARIA JOSE SOUSA SILVA/CAPRINOCULTOR/NOITE</v>
      </c>
      <c r="B155" s="55" t="str">
        <f ca="1">IFERROR(__xludf.DUMMYFUNCTION("""COMPUTED_VALUE"""),"00000001518")</f>
        <v>00000001518</v>
      </c>
      <c r="C155" s="55" t="str">
        <f ca="1">IFERROR(__xludf.DUMMYFUNCTION("""COMPUTED_VALUE"""),"T-CAPRINOCULTOR/00000001518")</f>
        <v>T-CAPRINOCULTOR/00000001518</v>
      </c>
      <c r="D155" s="56" t="str">
        <f ca="1">IFERROR(__xludf.DUMMYFUNCTION("""COMPUTED_VALUE"""),"https://docs.google.com/spreadsheets/d/1_JSwxFHfprCKqY8Wez7TlDPusoMuu1dO0X4H8Z2DoBc")</f>
        <v>https://docs.google.com/spreadsheets/d/1_JSwxFHfprCKqY8Wez7TlDPusoMuu1dO0X4H8Z2DoBc</v>
      </c>
      <c r="E155" s="55" t="str">
        <f ca="1">IFERROR(__xludf.DUMMYFUNCTION("""COMPUTED_VALUE"""),"17 - PARAIBATEC FIC")</f>
        <v>17 - PARAIBATEC FIC</v>
      </c>
      <c r="F155" s="55" t="str">
        <f ca="1">IFERROR(__xludf.DUMMYFUNCTION("""COMPUTED_VALUE"""),"PARAIBATEC FIC")</f>
        <v>PARAIBATEC FIC</v>
      </c>
      <c r="G155" s="55" t="str">
        <f ca="1">IFERROR(__xludf.DUMMYFUNCTION("""COMPUTED_VALUE"""),"01 - PARAIBATEC")</f>
        <v>01 - PARAIBATEC</v>
      </c>
      <c r="H155" s="55" t="str">
        <f ca="1">IFERROR(__xludf.DUMMYFUNCTION("""COMPUTED_VALUE"""),"PARAIBATEC")</f>
        <v>PARAIBATEC</v>
      </c>
      <c r="I155" s="55" t="str">
        <f ca="1">IFERROR(__xludf.DUMMYFUNCTION("""COMPUTED_VALUE"""),"579 - AUDITORIO DA USINA MARIA JOSE SOUSA SILVA")</f>
        <v>579 - AUDITORIO DA USINA MARIA JOSE SOUSA SILVA</v>
      </c>
      <c r="J155" s="55" t="str">
        <f ca="1">IFERROR(__xludf.DUMMYFUNCTION("""COMPUTED_VALUE""")," BARRA DE SANTA ROSA")</f>
        <v xml:space="preserve"> BARRA DE SANTA ROSA</v>
      </c>
      <c r="K155" s="55"/>
      <c r="L155" s="55"/>
      <c r="M155" s="55" t="str">
        <f ca="1">IFERROR(__xludf.DUMMYFUNCTION("""COMPUTED_VALUE"""),"AUDITORIO DA USINA MARIA JOSE SOUSA SILVA")</f>
        <v>AUDITORIO DA USINA MARIA JOSE SOUSA SILVA</v>
      </c>
      <c r="N155" s="55">
        <f ca="1">IFERROR(__xludf.DUMMYFUNCTION("""COMPUTED_VALUE"""),264122)</f>
        <v>264122</v>
      </c>
      <c r="O155" s="55" t="str">
        <f ca="1">IFERROR(__xludf.DUMMYFUNCTION("""COMPUTED_VALUE"""),"RECURSOS NATURAIS")</f>
        <v>RECURSOS NATURAIS</v>
      </c>
      <c r="P155" s="55" t="str">
        <f ca="1">IFERROR(__xludf.DUMMYFUNCTION("""COMPUTED_VALUE"""),"CAPRINOCULTOR")</f>
        <v>CAPRINOCULTOR</v>
      </c>
      <c r="Q155" s="55" t="str">
        <f ca="1">IFERROR(__xludf.DUMMYFUNCTION("""COMPUTED_VALUE"""),"FIC")</f>
        <v>FIC</v>
      </c>
      <c r="R155" s="55">
        <f ca="1">IFERROR(__xludf.DUMMYFUNCTION("""COMPUTED_VALUE"""),200)</f>
        <v>200</v>
      </c>
      <c r="S155" s="55" t="str">
        <f ca="1">IFERROR(__xludf.DUMMYFUNCTION("""COMPUTED_VALUE"""),"NOITE")</f>
        <v>NOITE</v>
      </c>
      <c r="T155" s="57">
        <f ca="1">IFERROR(__xludf.DUMMYFUNCTION("""COMPUTED_VALUE"""),45726)</f>
        <v>45726</v>
      </c>
      <c r="U155" s="57">
        <f ca="1">IFERROR(__xludf.DUMMYFUNCTION("""COMPUTED_VALUE"""),45823)</f>
        <v>45823</v>
      </c>
      <c r="V155" s="55"/>
      <c r="W155" s="55"/>
      <c r="X155" s="55"/>
      <c r="Y155" s="55" t="str">
        <f ca="1">IFERROR(__xludf.DUMMYFUNCTION("""COMPUTED_VALUE"""),"EM OFERTA")</f>
        <v>EM OFERTA</v>
      </c>
      <c r="Z155" s="55"/>
      <c r="AA155" s="55"/>
      <c r="AB155" s="55"/>
      <c r="AC155" s="55"/>
      <c r="AD155" s="55"/>
      <c r="AE155" s="55"/>
      <c r="AF155" s="55"/>
      <c r="AG155" s="55"/>
      <c r="AH155" s="55" t="str">
        <f ca="1">IFERROR(__xludf.DUMMYFUNCTION("""COMPUTED_VALUE"""),"-")</f>
        <v>-</v>
      </c>
      <c r="AI155" s="55" t="str">
        <f ca="1">IFERROR(__xludf.DUMMYFUNCTION("""COMPUTED_VALUE"""),"ANGELICA SOUSA SANTOS")</f>
        <v>ANGELICA SOUSA SANTOS</v>
      </c>
      <c r="AJ155" s="55" t="str">
        <f ca="1">IFERROR(__xludf.DUMMYFUNCTION("""COMPUTED_VALUE"""),"-")</f>
        <v>-</v>
      </c>
      <c r="AK155" s="55" t="str">
        <f ca="1">IFERROR(__xludf.DUMMYFUNCTION("""COMPUTED_VALUE"""),"-")</f>
        <v>-</v>
      </c>
      <c r="AL155" s="55" t="str">
        <f ca="1">IFERROR(__xludf.DUMMYFUNCTION("""COMPUTED_VALUE"""),"ROMILDO DA SILVA NEVES")</f>
        <v>ROMILDO DA SILVA NEVES</v>
      </c>
      <c r="AM155" s="55">
        <f ca="1">IFERROR(__xludf.DUMMYFUNCTION("""COMPUTED_VALUE"""),2025)</f>
        <v>2025</v>
      </c>
      <c r="AN155" s="55"/>
    </row>
    <row r="156" spans="1:40" ht="14" x14ac:dyDescent="0.35">
      <c r="A156" s="55" t="str">
        <f t="shared" ca="1" si="0"/>
        <v xml:space="preserve"> UIRAÚNA/ECIT DR. JOSE DUARTE FILHO/CUIDADOR DE IDOSO/NOITE</v>
      </c>
      <c r="B156" s="55" t="str">
        <f ca="1">IFERROR(__xludf.DUMMYFUNCTION("""COMPUTED_VALUE"""),"00000001519")</f>
        <v>00000001519</v>
      </c>
      <c r="C156" s="55" t="str">
        <f ca="1">IFERROR(__xludf.DUMMYFUNCTION("""COMPUTED_VALUE"""),"T-CUIDADOR DE IDOSO/00000001519")</f>
        <v>T-CUIDADOR DE IDOSO/00000001519</v>
      </c>
      <c r="D156" s="56" t="str">
        <f ca="1">IFERROR(__xludf.DUMMYFUNCTION("""COMPUTED_VALUE"""),"https://docs.google.com/spreadsheets/d/1S2Xgy6APj59Q2s_JTXLRd1g8o9_jGoLxAJFE-yZVH6k")</f>
        <v>https://docs.google.com/spreadsheets/d/1S2Xgy6APj59Q2s_JTXLRd1g8o9_jGoLxAJFE-yZVH6k</v>
      </c>
      <c r="E156" s="55" t="str">
        <f ca="1">IFERROR(__xludf.DUMMYFUNCTION("""COMPUTED_VALUE"""),"17 - PARAIBATEC FIC")</f>
        <v>17 - PARAIBATEC FIC</v>
      </c>
      <c r="F156" s="55" t="str">
        <f ca="1">IFERROR(__xludf.DUMMYFUNCTION("""COMPUTED_VALUE"""),"PARAIBATEC FIC")</f>
        <v>PARAIBATEC FIC</v>
      </c>
      <c r="G156" s="55" t="str">
        <f ca="1">IFERROR(__xludf.DUMMYFUNCTION("""COMPUTED_VALUE"""),"01 - PARAIBATEC")</f>
        <v>01 - PARAIBATEC</v>
      </c>
      <c r="H156" s="55" t="str">
        <f ca="1">IFERROR(__xludf.DUMMYFUNCTION("""COMPUTED_VALUE"""),"PARAIBATEC")</f>
        <v>PARAIBATEC</v>
      </c>
      <c r="I156" s="55" t="str">
        <f ca="1">IFERROR(__xludf.DUMMYFUNCTION("""COMPUTED_VALUE"""),"562 - ECIT DR. JOSE DUARTE FILHO")</f>
        <v>562 - ECIT DR. JOSE DUARTE FILHO</v>
      </c>
      <c r="J156" s="55" t="str">
        <f ca="1">IFERROR(__xludf.DUMMYFUNCTION("""COMPUTED_VALUE""")," UIRAÚNA")</f>
        <v xml:space="preserve"> UIRAÚNA</v>
      </c>
      <c r="K156" s="55"/>
      <c r="L156" s="55"/>
      <c r="M156" s="55" t="str">
        <f ca="1">IFERROR(__xludf.DUMMYFUNCTION("""COMPUTED_VALUE"""),"ECIT DR. JOSE DUARTE FILHO")</f>
        <v>ECIT DR. JOSE DUARTE FILHO</v>
      </c>
      <c r="N156" s="55">
        <f ca="1">IFERROR(__xludf.DUMMYFUNCTION("""COMPUTED_VALUE"""),221539)</f>
        <v>221539</v>
      </c>
      <c r="O156" s="55" t="str">
        <f ca="1">IFERROR(__xludf.DUMMYFUNCTION("""COMPUTED_VALUE"""),"AMBIENTE E SAUDE")</f>
        <v>AMBIENTE E SAUDE</v>
      </c>
      <c r="P156" s="55" t="str">
        <f ca="1">IFERROR(__xludf.DUMMYFUNCTION("""COMPUTED_VALUE"""),"CUIDADOR DE IDOSO")</f>
        <v>CUIDADOR DE IDOSO</v>
      </c>
      <c r="Q156" s="55" t="str">
        <f ca="1">IFERROR(__xludf.DUMMYFUNCTION("""COMPUTED_VALUE"""),"FIC")</f>
        <v>FIC</v>
      </c>
      <c r="R156" s="55">
        <f ca="1">IFERROR(__xludf.DUMMYFUNCTION("""COMPUTED_VALUE"""),160)</f>
        <v>160</v>
      </c>
      <c r="S156" s="55" t="str">
        <f ca="1">IFERROR(__xludf.DUMMYFUNCTION("""COMPUTED_VALUE"""),"NOITE")</f>
        <v>NOITE</v>
      </c>
      <c r="T156" s="57">
        <f ca="1">IFERROR(__xludf.DUMMYFUNCTION("""COMPUTED_VALUE"""),45712)</f>
        <v>45712</v>
      </c>
      <c r="U156" s="57">
        <f ca="1">IFERROR(__xludf.DUMMYFUNCTION("""COMPUTED_VALUE"""),45797)</f>
        <v>45797</v>
      </c>
      <c r="V156" s="55"/>
      <c r="W156" s="55"/>
      <c r="X156" s="55"/>
      <c r="Y156" s="55" t="str">
        <f ca="1">IFERROR(__xludf.DUMMYFUNCTION("""COMPUTED_VALUE"""),"EM OFERTA")</f>
        <v>EM OFERTA</v>
      </c>
      <c r="Z156" s="55"/>
      <c r="AA156" s="55"/>
      <c r="AB156" s="55"/>
      <c r="AC156" s="55"/>
      <c r="AD156" s="55"/>
      <c r="AE156" s="55"/>
      <c r="AF156" s="55"/>
      <c r="AG156" s="55"/>
      <c r="AH156" s="55" t="str">
        <f ca="1">IFERROR(__xludf.DUMMYFUNCTION("""COMPUTED_VALUE"""),"-")</f>
        <v>-</v>
      </c>
      <c r="AI156" s="55" t="str">
        <f ca="1">IFERROR(__xludf.DUMMYFUNCTION("""COMPUTED_VALUE"""),"BOANERGES DA SILVA BATISTA")</f>
        <v>BOANERGES DA SILVA BATISTA</v>
      </c>
      <c r="AJ156" s="55" t="str">
        <f ca="1">IFERROR(__xludf.DUMMYFUNCTION("""COMPUTED_VALUE"""),"-")</f>
        <v>-</v>
      </c>
      <c r="AK156" s="55" t="str">
        <f ca="1">IFERROR(__xludf.DUMMYFUNCTION("""COMPUTED_VALUE"""),"-")</f>
        <v>-</v>
      </c>
      <c r="AL156" s="55" t="str">
        <f ca="1">IFERROR(__xludf.DUMMYFUNCTION("""COMPUTED_VALUE"""),"MARIA JANICELIA BEZERRA DE MORAIS LACERDA")</f>
        <v>MARIA JANICELIA BEZERRA DE MORAIS LACERDA</v>
      </c>
      <c r="AM156" s="55">
        <f ca="1">IFERROR(__xludf.DUMMYFUNCTION("""COMPUTED_VALUE"""),2025)</f>
        <v>2025</v>
      </c>
      <c r="AN156" s="55"/>
    </row>
    <row r="157" spans="1:40" ht="14" x14ac:dyDescent="0.35">
      <c r="A157" s="55" t="str">
        <f t="shared" ca="1" si="0"/>
        <v xml:space="preserve"> AMPARO/E.M.E.B. ILDEFONSO ANSELMO DA SILVA/CUIDADOR INFANTIL/MANHA</v>
      </c>
      <c r="B157" s="55" t="str">
        <f ca="1">IFERROR(__xludf.DUMMYFUNCTION("""COMPUTED_VALUE"""),"00000001520")</f>
        <v>00000001520</v>
      </c>
      <c r="C157" s="55" t="str">
        <f ca="1">IFERROR(__xludf.DUMMYFUNCTION("""COMPUTED_VALUE"""),"T-CUIDADOR INFANTIL/00000001520")</f>
        <v>T-CUIDADOR INFANTIL/00000001520</v>
      </c>
      <c r="D157" s="56" t="str">
        <f ca="1">IFERROR(__xludf.DUMMYFUNCTION("""COMPUTED_VALUE"""),"https://docs.google.com/spreadsheets/d/1dS6eQFNvMQOKMbjCLQsVNpM0zNTHTOAnerY44jdXOPU")</f>
        <v>https://docs.google.com/spreadsheets/d/1dS6eQFNvMQOKMbjCLQsVNpM0zNTHTOAnerY44jdXOPU</v>
      </c>
      <c r="E157" s="55" t="str">
        <f ca="1">IFERROR(__xludf.DUMMYFUNCTION("""COMPUTED_VALUE"""),"17 - PARAIBATEC FIC")</f>
        <v>17 - PARAIBATEC FIC</v>
      </c>
      <c r="F157" s="55" t="str">
        <f ca="1">IFERROR(__xludf.DUMMYFUNCTION("""COMPUTED_VALUE"""),"PARAIBATEC FIC")</f>
        <v>PARAIBATEC FIC</v>
      </c>
      <c r="G157" s="55" t="str">
        <f ca="1">IFERROR(__xludf.DUMMYFUNCTION("""COMPUTED_VALUE"""),"01 - PARAIBATEC")</f>
        <v>01 - PARAIBATEC</v>
      </c>
      <c r="H157" s="55" t="str">
        <f ca="1">IFERROR(__xludf.DUMMYFUNCTION("""COMPUTED_VALUE"""),"PARAIBATEC")</f>
        <v>PARAIBATEC</v>
      </c>
      <c r="I157" s="55" t="str">
        <f ca="1">IFERROR(__xludf.DUMMYFUNCTION("""COMPUTED_VALUE"""),"580 - E.M.E.B. ILDEFONSO ANSELMO DA SILVA")</f>
        <v>580 - E.M.E.B. ILDEFONSO ANSELMO DA SILVA</v>
      </c>
      <c r="J157" s="55" t="str">
        <f ca="1">IFERROR(__xludf.DUMMYFUNCTION("""COMPUTED_VALUE""")," AMPARO")</f>
        <v xml:space="preserve"> AMPARO</v>
      </c>
      <c r="K157" s="55"/>
      <c r="L157" s="55"/>
      <c r="M157" s="55" t="str">
        <f ca="1">IFERROR(__xludf.DUMMYFUNCTION("""COMPUTED_VALUE"""),"E.M.E.B. ILDEFONSO ANSELMO DA SILVA")</f>
        <v>E.M.E.B. ILDEFONSO ANSELMO DA SILVA</v>
      </c>
      <c r="N157" s="55">
        <f ca="1">IFERROR(__xludf.DUMMYFUNCTION("""COMPUTED_VALUE"""),221538)</f>
        <v>221538</v>
      </c>
      <c r="O157" s="55" t="str">
        <f ca="1">IFERROR(__xludf.DUMMYFUNCTION("""COMPUTED_VALUE"""),"AMBIENTE E SAUDE")</f>
        <v>AMBIENTE E SAUDE</v>
      </c>
      <c r="P157" s="55" t="str">
        <f ca="1">IFERROR(__xludf.DUMMYFUNCTION("""COMPUTED_VALUE"""),"CUIDADOR INFANTIL")</f>
        <v>CUIDADOR INFANTIL</v>
      </c>
      <c r="Q157" s="55" t="str">
        <f ca="1">IFERROR(__xludf.DUMMYFUNCTION("""COMPUTED_VALUE"""),"FIC")</f>
        <v>FIC</v>
      </c>
      <c r="R157" s="55">
        <f ca="1">IFERROR(__xludf.DUMMYFUNCTION("""COMPUTED_VALUE"""),160)</f>
        <v>160</v>
      </c>
      <c r="S157" s="55" t="str">
        <f ca="1">IFERROR(__xludf.DUMMYFUNCTION("""COMPUTED_VALUE"""),"MANHA")</f>
        <v>MANHA</v>
      </c>
      <c r="T157" s="57">
        <f ca="1">IFERROR(__xludf.DUMMYFUNCTION("""COMPUTED_VALUE"""),45714)</f>
        <v>45714</v>
      </c>
      <c r="U157" s="57">
        <f ca="1">IFERROR(__xludf.DUMMYFUNCTION("""COMPUTED_VALUE"""),45847)</f>
        <v>45847</v>
      </c>
      <c r="V157" s="55"/>
      <c r="W157" s="55"/>
      <c r="X157" s="55"/>
      <c r="Y157" s="55" t="str">
        <f ca="1">IFERROR(__xludf.DUMMYFUNCTION("""COMPUTED_VALUE"""),"EM OFERTA")</f>
        <v>EM OFERTA</v>
      </c>
      <c r="Z157" s="55"/>
      <c r="AA157" s="55"/>
      <c r="AB157" s="55"/>
      <c r="AC157" s="55"/>
      <c r="AD157" s="55"/>
      <c r="AE157" s="55"/>
      <c r="AF157" s="55"/>
      <c r="AG157" s="55"/>
      <c r="AH157" s="55" t="str">
        <f ca="1">IFERROR(__xludf.DUMMYFUNCTION("""COMPUTED_VALUE"""),"-")</f>
        <v>-</v>
      </c>
      <c r="AI157" s="55" t="str">
        <f ca="1">IFERROR(__xludf.DUMMYFUNCTION("""COMPUTED_VALUE"""),"KIARA DE SOUSA BATISTA")</f>
        <v>KIARA DE SOUSA BATISTA</v>
      </c>
      <c r="AJ157" s="55" t="str">
        <f ca="1">IFERROR(__xludf.DUMMYFUNCTION("""COMPUTED_VALUE"""),"-")</f>
        <v>-</v>
      </c>
      <c r="AK157" s="55" t="str">
        <f ca="1">IFERROR(__xludf.DUMMYFUNCTION("""COMPUTED_VALUE"""),"-")</f>
        <v>-</v>
      </c>
      <c r="AL157" s="55" t="str">
        <f ca="1">IFERROR(__xludf.DUMMYFUNCTION("""COMPUTED_VALUE"""),"IARA SOARES DO NASCIMENTO")</f>
        <v>IARA SOARES DO NASCIMENTO</v>
      </c>
      <c r="AM157" s="55">
        <f ca="1">IFERROR(__xludf.DUMMYFUNCTION("""COMPUTED_VALUE"""),2025)</f>
        <v>2025</v>
      </c>
      <c r="AN157" s="55"/>
    </row>
    <row r="158" spans="1:40" ht="14" x14ac:dyDescent="0.35">
      <c r="A158" s="55" t="str">
        <f t="shared" ca="1" si="0"/>
        <v xml:space="preserve"> MAMANGUAPE/CENTRO DE CIENCIAS APLICADAS E EDUCACAO (CCAE)/ASSISTENTE ADMINISTRATIVO/TARDE</v>
      </c>
      <c r="B158" s="55" t="str">
        <f ca="1">IFERROR(__xludf.DUMMYFUNCTION("""COMPUTED_VALUE"""),"00000001521")</f>
        <v>00000001521</v>
      </c>
      <c r="C158" s="55" t="str">
        <f ca="1">IFERROR(__xludf.DUMMYFUNCTION("""COMPUTED_VALUE"""),"T-ASSISTENTE ADMINISTRATIVO/00000001521")</f>
        <v>T-ASSISTENTE ADMINISTRATIVO/00000001521</v>
      </c>
      <c r="D158" s="56" t="str">
        <f ca="1">IFERROR(__xludf.DUMMYFUNCTION("""COMPUTED_VALUE"""),"https://docs.google.com/spreadsheets/d/1qY8rgVOpDM5HDDCdR6g6PU1i5awkvFwUQvsM8jl3oxs")</f>
        <v>https://docs.google.com/spreadsheets/d/1qY8rgVOpDM5HDDCdR6g6PU1i5awkvFwUQvsM8jl3oxs</v>
      </c>
      <c r="E158" s="55" t="str">
        <f ca="1">IFERROR(__xludf.DUMMYFUNCTION("""COMPUTED_VALUE"""),"17 - PARAIBATEC FIC")</f>
        <v>17 - PARAIBATEC FIC</v>
      </c>
      <c r="F158" s="55" t="str">
        <f ca="1">IFERROR(__xludf.DUMMYFUNCTION("""COMPUTED_VALUE"""),"PARAIBATEC FIC")</f>
        <v>PARAIBATEC FIC</v>
      </c>
      <c r="G158" s="55" t="str">
        <f ca="1">IFERROR(__xludf.DUMMYFUNCTION("""COMPUTED_VALUE"""),"01 - PARAIBATEC")</f>
        <v>01 - PARAIBATEC</v>
      </c>
      <c r="H158" s="55" t="str">
        <f ca="1">IFERROR(__xludf.DUMMYFUNCTION("""COMPUTED_VALUE"""),"PARAIBATEC")</f>
        <v>PARAIBATEC</v>
      </c>
      <c r="I158" s="55" t="str">
        <f ca="1">IFERROR(__xludf.DUMMYFUNCTION("""COMPUTED_VALUE"""),"581 - CENTRO DE CIENCIAS APLICADAS E EDUCACAO (CCAE)")</f>
        <v>581 - CENTRO DE CIENCIAS APLICADAS E EDUCACAO (CCAE)</v>
      </c>
      <c r="J158" s="55" t="str">
        <f ca="1">IFERROR(__xludf.DUMMYFUNCTION("""COMPUTED_VALUE""")," MAMANGUAPE")</f>
        <v xml:space="preserve"> MAMANGUAPE</v>
      </c>
      <c r="K158" s="55"/>
      <c r="L158" s="55"/>
      <c r="M158" s="55" t="str">
        <f ca="1">IFERROR(__xludf.DUMMYFUNCTION("""COMPUTED_VALUE"""),"CENTRO DE CIENCIAS APLICADAS E EDUCACAO (CCAE)")</f>
        <v>CENTRO DE CIENCIAS APLICADAS E EDUCACAO (CCAE)</v>
      </c>
      <c r="N158" s="55">
        <f ca="1">IFERROR(__xludf.DUMMYFUNCTION("""COMPUTED_VALUE"""),221012)</f>
        <v>221012</v>
      </c>
      <c r="O158" s="55" t="str">
        <f ca="1">IFERROR(__xludf.DUMMYFUNCTION("""COMPUTED_VALUE"""),"GESTAO E NEGOCIOS")</f>
        <v>GESTAO E NEGOCIOS</v>
      </c>
      <c r="P158" s="55" t="str">
        <f ca="1">IFERROR(__xludf.DUMMYFUNCTION("""COMPUTED_VALUE"""),"ASSISTENTE ADMINISTRATIVO")</f>
        <v>ASSISTENTE ADMINISTRATIVO</v>
      </c>
      <c r="Q158" s="55" t="str">
        <f ca="1">IFERROR(__xludf.DUMMYFUNCTION("""COMPUTED_VALUE"""),"FIC")</f>
        <v>FIC</v>
      </c>
      <c r="R158" s="55">
        <f ca="1">IFERROR(__xludf.DUMMYFUNCTION("""COMPUTED_VALUE"""),160)</f>
        <v>160</v>
      </c>
      <c r="S158" s="55" t="str">
        <f ca="1">IFERROR(__xludf.DUMMYFUNCTION("""COMPUTED_VALUE"""),"TARDE")</f>
        <v>TARDE</v>
      </c>
      <c r="T158" s="57">
        <f ca="1">IFERROR(__xludf.DUMMYFUNCTION("""COMPUTED_VALUE"""),45692)</f>
        <v>45692</v>
      </c>
      <c r="U158" s="57">
        <f ca="1">IFERROR(__xludf.DUMMYFUNCTION("""COMPUTED_VALUE"""),45825)</f>
        <v>45825</v>
      </c>
      <c r="V158" s="55"/>
      <c r="W158" s="55"/>
      <c r="X158" s="55"/>
      <c r="Y158" s="55" t="str">
        <f ca="1">IFERROR(__xludf.DUMMYFUNCTION("""COMPUTED_VALUE"""),"EM OFERTA")</f>
        <v>EM OFERTA</v>
      </c>
      <c r="Z158" s="55"/>
      <c r="AA158" s="55"/>
      <c r="AB158" s="55"/>
      <c r="AC158" s="55"/>
      <c r="AD158" s="55"/>
      <c r="AE158" s="55"/>
      <c r="AF158" s="55"/>
      <c r="AG158" s="55"/>
      <c r="AH158" s="55" t="str">
        <f ca="1">IFERROR(__xludf.DUMMYFUNCTION("""COMPUTED_VALUE"""),"-")</f>
        <v>-</v>
      </c>
      <c r="AI158" s="55" t="str">
        <f ca="1">IFERROR(__xludf.DUMMYFUNCTION("""COMPUTED_VALUE"""),"RODRIGO LUIZ TARGINO DUTRA")</f>
        <v>RODRIGO LUIZ TARGINO DUTRA</v>
      </c>
      <c r="AJ158" s="55" t="str">
        <f ca="1">IFERROR(__xludf.DUMMYFUNCTION("""COMPUTED_VALUE"""),"-")</f>
        <v>-</v>
      </c>
      <c r="AK158" s="55" t="str">
        <f ca="1">IFERROR(__xludf.DUMMYFUNCTION("""COMPUTED_VALUE"""),"-")</f>
        <v>-</v>
      </c>
      <c r="AL158" s="55" t="str">
        <f ca="1">IFERROR(__xludf.DUMMYFUNCTION("""COMPUTED_VALUE"""),"FRANCISCO FELIPE BARRETO OLIVEIRA")</f>
        <v>FRANCISCO FELIPE BARRETO OLIVEIRA</v>
      </c>
      <c r="AM158" s="55">
        <f ca="1">IFERROR(__xludf.DUMMYFUNCTION("""COMPUTED_VALUE"""),2025)</f>
        <v>2025</v>
      </c>
      <c r="AN158" s="55"/>
    </row>
    <row r="159" spans="1:40" ht="14" x14ac:dyDescent="0.35">
      <c r="A159" s="55" t="str">
        <f t="shared" ca="1" si="0"/>
        <v xml:space="preserve"> PRATA/ECIT FRANCISCO DE ASSIS GONZAGA/AGRICULTOR FAMILIAR/NOITE</v>
      </c>
      <c r="B159" s="55" t="str">
        <f ca="1">IFERROR(__xludf.DUMMYFUNCTION("""COMPUTED_VALUE"""),"00000001522")</f>
        <v>00000001522</v>
      </c>
      <c r="C159" s="55" t="str">
        <f ca="1">IFERROR(__xludf.DUMMYFUNCTION("""COMPUTED_VALUE"""),"T-AGRICULTOR FAMILIAR/00000001522")</f>
        <v>T-AGRICULTOR FAMILIAR/00000001522</v>
      </c>
      <c r="D159" s="56" t="str">
        <f ca="1">IFERROR(__xludf.DUMMYFUNCTION("""COMPUTED_VALUE"""),"https://docs.google.com/spreadsheets/d/1WtsADbkfVqgmZ9kKgd-WrcQYJ-Sgu9y45czdpVs_O8U")</f>
        <v>https://docs.google.com/spreadsheets/d/1WtsADbkfVqgmZ9kKgd-WrcQYJ-Sgu9y45czdpVs_O8U</v>
      </c>
      <c r="E159" s="55" t="str">
        <f ca="1">IFERROR(__xludf.DUMMYFUNCTION("""COMPUTED_VALUE"""),"17 - PARAIBATEC FIC")</f>
        <v>17 - PARAIBATEC FIC</v>
      </c>
      <c r="F159" s="55" t="str">
        <f ca="1">IFERROR(__xludf.DUMMYFUNCTION("""COMPUTED_VALUE"""),"PARAIBATEC FIC")</f>
        <v>PARAIBATEC FIC</v>
      </c>
      <c r="G159" s="55" t="str">
        <f ca="1">IFERROR(__xludf.DUMMYFUNCTION("""COMPUTED_VALUE"""),"01 - PARAIBATEC")</f>
        <v>01 - PARAIBATEC</v>
      </c>
      <c r="H159" s="55" t="str">
        <f ca="1">IFERROR(__xludf.DUMMYFUNCTION("""COMPUTED_VALUE"""),"PARAIBATEC")</f>
        <v>PARAIBATEC</v>
      </c>
      <c r="I159" s="55" t="str">
        <f ca="1">IFERROR(__xludf.DUMMYFUNCTION("""COMPUTED_VALUE"""),"544 - ECIT FRANCISCO DE ASSIS GONZAGA")</f>
        <v>544 - ECIT FRANCISCO DE ASSIS GONZAGA</v>
      </c>
      <c r="J159" s="55" t="str">
        <f ca="1">IFERROR(__xludf.DUMMYFUNCTION("""COMPUTED_VALUE""")," PRATA")</f>
        <v xml:space="preserve"> PRATA</v>
      </c>
      <c r="K159" s="55"/>
      <c r="L159" s="55"/>
      <c r="M159" s="55" t="str">
        <f ca="1">IFERROR(__xludf.DUMMYFUNCTION("""COMPUTED_VALUE"""),"ECIT FRANCISCO DE ASSIS GONZAGA")</f>
        <v>ECIT FRANCISCO DE ASSIS GONZAGA</v>
      </c>
      <c r="N159" s="55">
        <f ca="1">IFERROR(__xludf.DUMMYFUNCTION("""COMPUTED_VALUE"""),221289)</f>
        <v>221289</v>
      </c>
      <c r="O159" s="55" t="str">
        <f ca="1">IFERROR(__xludf.DUMMYFUNCTION("""COMPUTED_VALUE"""),"RECURSOS NATURAIS")</f>
        <v>RECURSOS NATURAIS</v>
      </c>
      <c r="P159" s="55" t="str">
        <f ca="1">IFERROR(__xludf.DUMMYFUNCTION("""COMPUTED_VALUE"""),"AGRICULTOR FAMILIAR")</f>
        <v>AGRICULTOR FAMILIAR</v>
      </c>
      <c r="Q159" s="55" t="str">
        <f ca="1">IFERROR(__xludf.DUMMYFUNCTION("""COMPUTED_VALUE"""),"FIC")</f>
        <v>FIC</v>
      </c>
      <c r="R159" s="55">
        <f ca="1">IFERROR(__xludf.DUMMYFUNCTION("""COMPUTED_VALUE"""),200)</f>
        <v>200</v>
      </c>
      <c r="S159" s="55" t="str">
        <f ca="1">IFERROR(__xludf.DUMMYFUNCTION("""COMPUTED_VALUE"""),"NOITE")</f>
        <v>NOITE</v>
      </c>
      <c r="T159" s="57">
        <f ca="1">IFERROR(__xludf.DUMMYFUNCTION("""COMPUTED_VALUE"""),45691)</f>
        <v>45691</v>
      </c>
      <c r="U159" s="57">
        <f ca="1">IFERROR(__xludf.DUMMYFUNCTION("""COMPUTED_VALUE"""),45824)</f>
        <v>45824</v>
      </c>
      <c r="V159" s="55"/>
      <c r="W159" s="55"/>
      <c r="X159" s="55"/>
      <c r="Y159" s="55" t="str">
        <f ca="1">IFERROR(__xludf.DUMMYFUNCTION("""COMPUTED_VALUE"""),"CANCELADA")</f>
        <v>CANCELADA</v>
      </c>
      <c r="Z159" s="55"/>
      <c r="AA159" s="55"/>
      <c r="AB159" s="55"/>
      <c r="AC159" s="55"/>
      <c r="AD159" s="55"/>
      <c r="AE159" s="55"/>
      <c r="AF159" s="55"/>
      <c r="AG159" s="55"/>
      <c r="AH159" s="55" t="str">
        <f ca="1">IFERROR(__xludf.DUMMYFUNCTION("""COMPUTED_VALUE"""),"-")</f>
        <v>-</v>
      </c>
      <c r="AI159" s="55" t="str">
        <f ca="1">IFERROR(__xludf.DUMMYFUNCTION("""COMPUTED_VALUE"""),"MORGANA ISADORA GOMES ABREU")</f>
        <v>MORGANA ISADORA GOMES ABREU</v>
      </c>
      <c r="AJ159" s="55" t="str">
        <f ca="1">IFERROR(__xludf.DUMMYFUNCTION("""COMPUTED_VALUE"""),"-")</f>
        <v>-</v>
      </c>
      <c r="AK159" s="55" t="str">
        <f ca="1">IFERROR(__xludf.DUMMYFUNCTION("""COMPUTED_VALUE"""),"-")</f>
        <v>-</v>
      </c>
      <c r="AL159" s="55" t="str">
        <f ca="1">IFERROR(__xludf.DUMMYFUNCTION("""COMPUTED_VALUE"""),"JEFFERSON FERREIRA DE FREITAS FEITOSA")</f>
        <v>JEFFERSON FERREIRA DE FREITAS FEITOSA</v>
      </c>
      <c r="AM159" s="55">
        <f ca="1">IFERROR(__xludf.DUMMYFUNCTION("""COMPUTED_VALUE"""),2025)</f>
        <v>2025</v>
      </c>
      <c r="AN159" s="55"/>
    </row>
    <row r="160" spans="1:40" ht="14" x14ac:dyDescent="0.35">
      <c r="A160" s="55" t="str">
        <f t="shared" ca="1" si="0"/>
        <v xml:space="preserve"> AROEIRAS/EMEF JARDIRENE OLIVEIRA DE SOUZA/AUXILIAR PEDAGOGICO/NOITE</v>
      </c>
      <c r="B160" s="55" t="str">
        <f ca="1">IFERROR(__xludf.DUMMYFUNCTION("""COMPUTED_VALUE"""),"00000001523")</f>
        <v>00000001523</v>
      </c>
      <c r="C160" s="55" t="str">
        <f ca="1">IFERROR(__xludf.DUMMYFUNCTION("""COMPUTED_VALUE"""),"T-AUXILIAR PEDAGOGICO/00000001523")</f>
        <v>T-AUXILIAR PEDAGOGICO/00000001523</v>
      </c>
      <c r="D160" s="56" t="str">
        <f ca="1">IFERROR(__xludf.DUMMYFUNCTION("""COMPUTED_VALUE"""),"https://docs.google.com/spreadsheets/d/1x6AyfJ2VQpQMmbtf-dEmZG8z2cOWLMKxKpN6YnVpKVU")</f>
        <v>https://docs.google.com/spreadsheets/d/1x6AyfJ2VQpQMmbtf-dEmZG8z2cOWLMKxKpN6YnVpKVU</v>
      </c>
      <c r="E160" s="55" t="str">
        <f ca="1">IFERROR(__xludf.DUMMYFUNCTION("""COMPUTED_VALUE"""),"17 - PARAIBATEC FIC")</f>
        <v>17 - PARAIBATEC FIC</v>
      </c>
      <c r="F160" s="55" t="str">
        <f ca="1">IFERROR(__xludf.DUMMYFUNCTION("""COMPUTED_VALUE"""),"PARAIBATEC FIC")</f>
        <v>PARAIBATEC FIC</v>
      </c>
      <c r="G160" s="55" t="str">
        <f ca="1">IFERROR(__xludf.DUMMYFUNCTION("""COMPUTED_VALUE"""),"01 - PARAIBATEC")</f>
        <v>01 - PARAIBATEC</v>
      </c>
      <c r="H160" s="55" t="str">
        <f ca="1">IFERROR(__xludf.DUMMYFUNCTION("""COMPUTED_VALUE"""),"PARAIBATEC")</f>
        <v>PARAIBATEC</v>
      </c>
      <c r="I160" s="55" t="str">
        <f ca="1">IFERROR(__xludf.DUMMYFUNCTION("""COMPUTED_VALUE"""),"445 - EMEF JARDIRENE OLIVEIRA DE SOUZA")</f>
        <v>445 - EMEF JARDIRENE OLIVEIRA DE SOUZA</v>
      </c>
      <c r="J160" s="55" t="str">
        <f ca="1">IFERROR(__xludf.DUMMYFUNCTION("""COMPUTED_VALUE""")," AROEIRAS")</f>
        <v xml:space="preserve"> AROEIRAS</v>
      </c>
      <c r="K160" s="55"/>
      <c r="L160" s="55"/>
      <c r="M160" s="55" t="str">
        <f ca="1">IFERROR(__xludf.DUMMYFUNCTION("""COMPUTED_VALUE"""),"EMEF JARDIRENE OLIVEIRA DE SOUZA")</f>
        <v>EMEF JARDIRENE OLIVEIRA DE SOUZA</v>
      </c>
      <c r="N160" s="55">
        <f ca="1">IFERROR(__xludf.DUMMYFUNCTION("""COMPUTED_VALUE"""),273098)</f>
        <v>273098</v>
      </c>
      <c r="O160" s="55" t="str">
        <f ca="1">IFERROR(__xludf.DUMMYFUNCTION("""COMPUTED_VALUE"""),"DESENVOLVIMENTO EDUCACIONAL E SOCIAL")</f>
        <v>DESENVOLVIMENTO EDUCACIONAL E SOCIAL</v>
      </c>
      <c r="P160" s="55" t="str">
        <f ca="1">IFERROR(__xludf.DUMMYFUNCTION("""COMPUTED_VALUE"""),"AUXILIAR PEDAGOGICO")</f>
        <v>AUXILIAR PEDAGOGICO</v>
      </c>
      <c r="Q160" s="55" t="str">
        <f ca="1">IFERROR(__xludf.DUMMYFUNCTION("""COMPUTED_VALUE"""),"FIC")</f>
        <v>FIC</v>
      </c>
      <c r="R160" s="55">
        <f ca="1">IFERROR(__xludf.DUMMYFUNCTION("""COMPUTED_VALUE"""),200)</f>
        <v>200</v>
      </c>
      <c r="S160" s="55" t="str">
        <f ca="1">IFERROR(__xludf.DUMMYFUNCTION("""COMPUTED_VALUE"""),"NOITE")</f>
        <v>NOITE</v>
      </c>
      <c r="T160" s="57">
        <f ca="1">IFERROR(__xludf.DUMMYFUNCTION("""COMPUTED_VALUE"""),45726)</f>
        <v>45726</v>
      </c>
      <c r="U160" s="57">
        <f ca="1">IFERROR(__xludf.DUMMYFUNCTION("""COMPUTED_VALUE"""),45882)</f>
        <v>45882</v>
      </c>
      <c r="V160" s="55"/>
      <c r="W160" s="55"/>
      <c r="X160" s="55"/>
      <c r="Y160" s="55"/>
      <c r="Z160" s="55"/>
      <c r="AA160" s="55"/>
      <c r="AB160" s="55"/>
      <c r="AC160" s="55"/>
      <c r="AD160" s="55"/>
      <c r="AE160" s="55"/>
      <c r="AF160" s="55"/>
      <c r="AG160" s="55"/>
      <c r="AH160" s="55" t="str">
        <f ca="1">IFERROR(__xludf.DUMMYFUNCTION("""COMPUTED_VALUE"""),"-")</f>
        <v>-</v>
      </c>
      <c r="AI160" s="55" t="str">
        <f ca="1">IFERROR(__xludf.DUMMYFUNCTION("""COMPUTED_VALUE"""),"ISAAC JOSE DA SILVA")</f>
        <v>ISAAC JOSE DA SILVA</v>
      </c>
      <c r="AJ160" s="55" t="str">
        <f ca="1">IFERROR(__xludf.DUMMYFUNCTION("""COMPUTED_VALUE"""),"-")</f>
        <v>-</v>
      </c>
      <c r="AK160" s="55" t="str">
        <f ca="1">IFERROR(__xludf.DUMMYFUNCTION("""COMPUTED_VALUE"""),"-")</f>
        <v>-</v>
      </c>
      <c r="AL160" s="55" t="str">
        <f ca="1">IFERROR(__xludf.DUMMYFUNCTION("""COMPUTED_VALUE"""),"MARIA SOLANGE DE FIGUEIREDO")</f>
        <v>MARIA SOLANGE DE FIGUEIREDO</v>
      </c>
      <c r="AM160" s="55">
        <f ca="1">IFERROR(__xludf.DUMMYFUNCTION("""COMPUTED_VALUE"""),2025)</f>
        <v>2025</v>
      </c>
      <c r="AN160" s="55"/>
    </row>
    <row r="161" spans="1:40" ht="14" x14ac:dyDescent="0.35">
      <c r="A161" s="55" t="str">
        <f t="shared" ca="1" si="0"/>
        <v xml:space="preserve"> CUITÉ/EMEF. ELCA CARVALHO DA FONSECA/AGENTE DE PROTEÇAO SOCIAL BASICA/NOITE</v>
      </c>
      <c r="B161" s="55" t="str">
        <f ca="1">IFERROR(__xludf.DUMMYFUNCTION("""COMPUTED_VALUE"""),"00000001524")</f>
        <v>00000001524</v>
      </c>
      <c r="C161" s="55" t="str">
        <f ca="1">IFERROR(__xludf.DUMMYFUNCTION("""COMPUTED_VALUE"""),"T-AGENTE DE PROTEÇAO SOCIAL BASICA/00000001524")</f>
        <v>T-AGENTE DE PROTEÇAO SOCIAL BASICA/00000001524</v>
      </c>
      <c r="D161" s="56" t="str">
        <f ca="1">IFERROR(__xludf.DUMMYFUNCTION("""COMPUTED_VALUE"""),"https://docs.google.com/spreadsheets/d/1yu-BwNFJ0QdU330_JEpVup-U4BjIJ0A1bYMHLufuNcg")</f>
        <v>https://docs.google.com/spreadsheets/d/1yu-BwNFJ0QdU330_JEpVup-U4BjIJ0A1bYMHLufuNcg</v>
      </c>
      <c r="E161" s="55" t="str">
        <f ca="1">IFERROR(__xludf.DUMMYFUNCTION("""COMPUTED_VALUE"""),"17 - PARAIBATEC FIC")</f>
        <v>17 - PARAIBATEC FIC</v>
      </c>
      <c r="F161" s="55" t="str">
        <f ca="1">IFERROR(__xludf.DUMMYFUNCTION("""COMPUTED_VALUE"""),"PARAIBATEC FIC")</f>
        <v>PARAIBATEC FIC</v>
      </c>
      <c r="G161" s="55" t="str">
        <f ca="1">IFERROR(__xludf.DUMMYFUNCTION("""COMPUTED_VALUE"""),"01 - PARAIBATEC")</f>
        <v>01 - PARAIBATEC</v>
      </c>
      <c r="H161" s="55" t="str">
        <f ca="1">IFERROR(__xludf.DUMMYFUNCTION("""COMPUTED_VALUE"""),"PARAIBATEC")</f>
        <v>PARAIBATEC</v>
      </c>
      <c r="I161" s="55" t="str">
        <f ca="1">IFERROR(__xludf.DUMMYFUNCTION("""COMPUTED_VALUE"""),"508 - EMEF. ELCA CARVALHO DA FONSECA")</f>
        <v>508 - EMEF. ELCA CARVALHO DA FONSECA</v>
      </c>
      <c r="J161" s="55" t="str">
        <f ca="1">IFERROR(__xludf.DUMMYFUNCTION("""COMPUTED_VALUE""")," CUITÉ")</f>
        <v xml:space="preserve"> CUITÉ</v>
      </c>
      <c r="K161" s="55"/>
      <c r="L161" s="55"/>
      <c r="M161" s="55" t="str">
        <f ca="1">IFERROR(__xludf.DUMMYFUNCTION("""COMPUTED_VALUE"""),"EMEF. ELCA CARVALHO DA FONSECA")</f>
        <v>EMEF. ELCA CARVALHO DA FONSECA</v>
      </c>
      <c r="N161" s="55">
        <f ca="1">IFERROR(__xludf.DUMMYFUNCTION("""COMPUTED_VALUE"""),221191)</f>
        <v>221191</v>
      </c>
      <c r="O161" s="55" t="str">
        <f ca="1">IFERROR(__xludf.DUMMYFUNCTION("""COMPUTED_VALUE"""),"DESENVOLVIMENTO EDUCACIONAL E SOCIAL")</f>
        <v>DESENVOLVIMENTO EDUCACIONAL E SOCIAL</v>
      </c>
      <c r="P161" s="55" t="str">
        <f ca="1">IFERROR(__xludf.DUMMYFUNCTION("""COMPUTED_VALUE"""),"AGENTE DE PROTEÇAO SOCIAL BASICA")</f>
        <v>AGENTE DE PROTEÇAO SOCIAL BASICA</v>
      </c>
      <c r="Q161" s="55" t="str">
        <f ca="1">IFERROR(__xludf.DUMMYFUNCTION("""COMPUTED_VALUE"""),"FIC")</f>
        <v>FIC</v>
      </c>
      <c r="R161" s="55">
        <f ca="1">IFERROR(__xludf.DUMMYFUNCTION("""COMPUTED_VALUE"""),240)</f>
        <v>240</v>
      </c>
      <c r="S161" s="55" t="str">
        <f ca="1">IFERROR(__xludf.DUMMYFUNCTION("""COMPUTED_VALUE"""),"NOITE")</f>
        <v>NOITE</v>
      </c>
      <c r="T161" s="57">
        <f ca="1">IFERROR(__xludf.DUMMYFUNCTION("""COMPUTED_VALUE"""),45726)</f>
        <v>45726</v>
      </c>
      <c r="U161" s="57">
        <f ca="1">IFERROR(__xludf.DUMMYFUNCTION("""COMPUTED_VALUE"""),45915)</f>
        <v>45915</v>
      </c>
      <c r="V161" s="55"/>
      <c r="W161" s="55"/>
      <c r="X161" s="55"/>
      <c r="Y161" s="55"/>
      <c r="Z161" s="55"/>
      <c r="AA161" s="55"/>
      <c r="AB161" s="55"/>
      <c r="AC161" s="55"/>
      <c r="AD161" s="55"/>
      <c r="AE161" s="55"/>
      <c r="AF161" s="55"/>
      <c r="AG161" s="55"/>
      <c r="AH161" s="55" t="str">
        <f ca="1">IFERROR(__xludf.DUMMYFUNCTION("""COMPUTED_VALUE"""),"-")</f>
        <v>-</v>
      </c>
      <c r="AI161" s="55" t="str">
        <f ca="1">IFERROR(__xludf.DUMMYFUNCTION("""COMPUTED_VALUE"""),"JOSE RAFAEL DA SILVA DANTAS")</f>
        <v>JOSE RAFAEL DA SILVA DANTAS</v>
      </c>
      <c r="AJ161" s="55" t="str">
        <f ca="1">IFERROR(__xludf.DUMMYFUNCTION("""COMPUTED_VALUE"""),"-")</f>
        <v>-</v>
      </c>
      <c r="AK161" s="55" t="str">
        <f ca="1">IFERROR(__xludf.DUMMYFUNCTION("""COMPUTED_VALUE"""),"-")</f>
        <v>-</v>
      </c>
      <c r="AL161" s="55" t="str">
        <f ca="1">IFERROR(__xludf.DUMMYFUNCTION("""COMPUTED_VALUE"""),"MARIANA RENALI RIBEIRO SILVA")</f>
        <v>MARIANA RENALI RIBEIRO SILVA</v>
      </c>
      <c r="AM161" s="55">
        <f ca="1">IFERROR(__xludf.DUMMYFUNCTION("""COMPUTED_VALUE"""),2025)</f>
        <v>2025</v>
      </c>
      <c r="AN161" s="55"/>
    </row>
    <row r="162" spans="1:40" ht="14" x14ac:dyDescent="0.35">
      <c r="A162" s="55" t="str">
        <f t="shared" ca="1" si="0"/>
        <v xml:space="preserve"> SOUSA/EMEIF CICERO INACIO DE OLIVEIRA/RECEPCIONISTA EM SERVICOS DE SAUDE/NOITE</v>
      </c>
      <c r="B162" s="55" t="str">
        <f ca="1">IFERROR(__xludf.DUMMYFUNCTION("""COMPUTED_VALUE"""),"00000001525")</f>
        <v>00000001525</v>
      </c>
      <c r="C162" s="55" t="str">
        <f ca="1">IFERROR(__xludf.DUMMYFUNCTION("""COMPUTED_VALUE"""),"T-RECEPCIONISTA EM SERVICOS DE SAUDE/00000001525")</f>
        <v>T-RECEPCIONISTA EM SERVICOS DE SAUDE/00000001525</v>
      </c>
      <c r="D162" s="56" t="str">
        <f ca="1">IFERROR(__xludf.DUMMYFUNCTION("""COMPUTED_VALUE"""),"https://docs.google.com/spreadsheets/d/1LCbNJPn_tBuaiSAbG-NDTHX43XZ6J1OhSroDpCjbF2A")</f>
        <v>https://docs.google.com/spreadsheets/d/1LCbNJPn_tBuaiSAbG-NDTHX43XZ6J1OhSroDpCjbF2A</v>
      </c>
      <c r="E162" s="55" t="str">
        <f ca="1">IFERROR(__xludf.DUMMYFUNCTION("""COMPUTED_VALUE"""),"17 - PARAIBATEC FIC")</f>
        <v>17 - PARAIBATEC FIC</v>
      </c>
      <c r="F162" s="55" t="str">
        <f ca="1">IFERROR(__xludf.DUMMYFUNCTION("""COMPUTED_VALUE"""),"PARAIBATEC FIC")</f>
        <v>PARAIBATEC FIC</v>
      </c>
      <c r="G162" s="55" t="str">
        <f ca="1">IFERROR(__xludf.DUMMYFUNCTION("""COMPUTED_VALUE"""),"01 - PARAIBATEC")</f>
        <v>01 - PARAIBATEC</v>
      </c>
      <c r="H162" s="55" t="str">
        <f ca="1">IFERROR(__xludf.DUMMYFUNCTION("""COMPUTED_VALUE"""),"PARAIBATEC")</f>
        <v>PARAIBATEC</v>
      </c>
      <c r="I162" s="55" t="str">
        <f ca="1">IFERROR(__xludf.DUMMYFUNCTION("""COMPUTED_VALUE"""),"582 - EMEIF CICERO INACIO DE OLIVEIRA")</f>
        <v>582 - EMEIF CICERO INACIO DE OLIVEIRA</v>
      </c>
      <c r="J162" s="55" t="str">
        <f ca="1">IFERROR(__xludf.DUMMYFUNCTION("""COMPUTED_VALUE""")," SOUSA")</f>
        <v xml:space="preserve"> SOUSA</v>
      </c>
      <c r="K162" s="55"/>
      <c r="L162" s="55"/>
      <c r="M162" s="55" t="str">
        <f ca="1">IFERROR(__xludf.DUMMYFUNCTION("""COMPUTED_VALUE"""),"EMEIF CICERO INACIO DE OLIVEIRA")</f>
        <v>EMEIF CICERO INACIO DE OLIVEIRA</v>
      </c>
      <c r="N162" s="55">
        <f ca="1">IFERROR(__xludf.DUMMYFUNCTION("""COMPUTED_VALUE"""),221536)</f>
        <v>221536</v>
      </c>
      <c r="O162" s="55" t="str">
        <f ca="1">IFERROR(__xludf.DUMMYFUNCTION("""COMPUTED_VALUE"""),"AMBIENTE E SAUDE")</f>
        <v>AMBIENTE E SAUDE</v>
      </c>
      <c r="P162" s="55" t="str">
        <f ca="1">IFERROR(__xludf.DUMMYFUNCTION("""COMPUTED_VALUE"""),"RECEPCIONISTA EM SERVICOS DE SAUDE")</f>
        <v>RECEPCIONISTA EM SERVICOS DE SAUDE</v>
      </c>
      <c r="Q162" s="55" t="str">
        <f ca="1">IFERROR(__xludf.DUMMYFUNCTION("""COMPUTED_VALUE"""),"FIC")</f>
        <v>FIC</v>
      </c>
      <c r="R162" s="55">
        <f ca="1">IFERROR(__xludf.DUMMYFUNCTION("""COMPUTED_VALUE"""),240)</f>
        <v>240</v>
      </c>
      <c r="S162" s="55" t="str">
        <f ca="1">IFERROR(__xludf.DUMMYFUNCTION("""COMPUTED_VALUE"""),"NOITE")</f>
        <v>NOITE</v>
      </c>
      <c r="T162" s="57">
        <f ca="1">IFERROR(__xludf.DUMMYFUNCTION("""COMPUTED_VALUE"""),45726)</f>
        <v>45726</v>
      </c>
      <c r="U162" s="57">
        <f ca="1">IFERROR(__xludf.DUMMYFUNCTION("""COMPUTED_VALUE"""),45915)</f>
        <v>45915</v>
      </c>
      <c r="V162" s="55"/>
      <c r="W162" s="55"/>
      <c r="X162" s="55"/>
      <c r="Y162" s="55"/>
      <c r="Z162" s="55"/>
      <c r="AA162" s="55"/>
      <c r="AB162" s="55"/>
      <c r="AC162" s="55"/>
      <c r="AD162" s="55"/>
      <c r="AE162" s="55"/>
      <c r="AF162" s="55"/>
      <c r="AG162" s="55"/>
      <c r="AH162" s="55" t="str">
        <f ca="1">IFERROR(__xludf.DUMMYFUNCTION("""COMPUTED_VALUE"""),"-")</f>
        <v>-</v>
      </c>
      <c r="AI162" s="55" t="str">
        <f ca="1">IFERROR(__xludf.DUMMYFUNCTION("""COMPUTED_VALUE"""),"FRANCISCO DE ASSIS PEREIRA DO NASCIMENTO")</f>
        <v>FRANCISCO DE ASSIS PEREIRA DO NASCIMENTO</v>
      </c>
      <c r="AJ162" s="55" t="str">
        <f ca="1">IFERROR(__xludf.DUMMYFUNCTION("""COMPUTED_VALUE"""),"-")</f>
        <v>-</v>
      </c>
      <c r="AK162" s="55" t="str">
        <f ca="1">IFERROR(__xludf.DUMMYFUNCTION("""COMPUTED_VALUE"""),"-")</f>
        <v>-</v>
      </c>
      <c r="AL162" s="55" t="str">
        <f ca="1">IFERROR(__xludf.DUMMYFUNCTION("""COMPUTED_VALUE"""),"TAYNAR INGRID DE ALMEIDA ABRANTES")</f>
        <v>TAYNAR INGRID DE ALMEIDA ABRANTES</v>
      </c>
      <c r="AM162" s="55">
        <f ca="1">IFERROR(__xludf.DUMMYFUNCTION("""COMPUTED_VALUE"""),2025)</f>
        <v>2025</v>
      </c>
      <c r="AN162" s="55"/>
    </row>
    <row r="163" spans="1:40" ht="14" x14ac:dyDescent="0.35">
      <c r="A163" s="55" t="str">
        <f t="shared" ca="1" si="0"/>
        <v xml:space="preserve"> TAPEROÁ/UNIVERSIDADE LEIGA DO TRABALHO/ASSISTENTE ADMINISTRATIVO/NOITE</v>
      </c>
      <c r="B163" s="55" t="str">
        <f ca="1">IFERROR(__xludf.DUMMYFUNCTION("""COMPUTED_VALUE"""),"00000001526")</f>
        <v>00000001526</v>
      </c>
      <c r="C163" s="55" t="str">
        <f ca="1">IFERROR(__xludf.DUMMYFUNCTION("""COMPUTED_VALUE"""),"T-ASSISTENTE ADMINISTRATIVO/00000001526")</f>
        <v>T-ASSISTENTE ADMINISTRATIVO/00000001526</v>
      </c>
      <c r="D163" s="56" t="str">
        <f ca="1">IFERROR(__xludf.DUMMYFUNCTION("""COMPUTED_VALUE"""),"https://docs.google.com/spreadsheets/d/1dVqui44elhM1OxLUxRA9zI92bUH26KmnyLqGvfRdeSs")</f>
        <v>https://docs.google.com/spreadsheets/d/1dVqui44elhM1OxLUxRA9zI92bUH26KmnyLqGvfRdeSs</v>
      </c>
      <c r="E163" s="55" t="str">
        <f ca="1">IFERROR(__xludf.DUMMYFUNCTION("""COMPUTED_VALUE"""),"17 - PARAIBATEC FIC")</f>
        <v>17 - PARAIBATEC FIC</v>
      </c>
      <c r="F163" s="55" t="str">
        <f ca="1">IFERROR(__xludf.DUMMYFUNCTION("""COMPUTED_VALUE"""),"PARAIBATEC FIC")</f>
        <v>PARAIBATEC FIC</v>
      </c>
      <c r="G163" s="55" t="str">
        <f ca="1">IFERROR(__xludf.DUMMYFUNCTION("""COMPUTED_VALUE"""),"01 - PARAIBATEC")</f>
        <v>01 - PARAIBATEC</v>
      </c>
      <c r="H163" s="55" t="str">
        <f ca="1">IFERROR(__xludf.DUMMYFUNCTION("""COMPUTED_VALUE"""),"PARAIBATEC")</f>
        <v>PARAIBATEC</v>
      </c>
      <c r="I163" s="55" t="str">
        <f ca="1">IFERROR(__xludf.DUMMYFUNCTION("""COMPUTED_VALUE"""),"583 - UNIVERSIDADE LEIGA DO TRABALHO")</f>
        <v>583 - UNIVERSIDADE LEIGA DO TRABALHO</v>
      </c>
      <c r="J163" s="55" t="str">
        <f ca="1">IFERROR(__xludf.DUMMYFUNCTION("""COMPUTED_VALUE""")," TAPEROÁ")</f>
        <v xml:space="preserve"> TAPEROÁ</v>
      </c>
      <c r="K163" s="55"/>
      <c r="L163" s="55"/>
      <c r="M163" s="55" t="str">
        <f ca="1">IFERROR(__xludf.DUMMYFUNCTION("""COMPUTED_VALUE"""),"UNIVERSIDADE LEIGA DO TRABALHO")</f>
        <v>UNIVERSIDADE LEIGA DO TRABALHO</v>
      </c>
      <c r="N163" s="55">
        <f ca="1">IFERROR(__xludf.DUMMYFUNCTION("""COMPUTED_VALUE"""),221012)</f>
        <v>221012</v>
      </c>
      <c r="O163" s="55" t="str">
        <f ca="1">IFERROR(__xludf.DUMMYFUNCTION("""COMPUTED_VALUE"""),"GESTAO E NEGOCIOS")</f>
        <v>GESTAO E NEGOCIOS</v>
      </c>
      <c r="P163" s="55" t="str">
        <f ca="1">IFERROR(__xludf.DUMMYFUNCTION("""COMPUTED_VALUE"""),"ASSISTENTE ADMINISTRATIVO")</f>
        <v>ASSISTENTE ADMINISTRATIVO</v>
      </c>
      <c r="Q163" s="55" t="str">
        <f ca="1">IFERROR(__xludf.DUMMYFUNCTION("""COMPUTED_VALUE"""),"FIC")</f>
        <v>FIC</v>
      </c>
      <c r="R163" s="55">
        <f ca="1">IFERROR(__xludf.DUMMYFUNCTION("""COMPUTED_VALUE"""),160)</f>
        <v>160</v>
      </c>
      <c r="S163" s="55" t="str">
        <f ca="1">IFERROR(__xludf.DUMMYFUNCTION("""COMPUTED_VALUE"""),"NOITE")</f>
        <v>NOITE</v>
      </c>
      <c r="T163" s="57">
        <f ca="1">IFERROR(__xludf.DUMMYFUNCTION("""COMPUTED_VALUE"""),45727)</f>
        <v>45727</v>
      </c>
      <c r="U163" s="57">
        <f ca="1">IFERROR(__xludf.DUMMYFUNCTION("""COMPUTED_VALUE"""),45854)</f>
        <v>45854</v>
      </c>
      <c r="V163" s="55"/>
      <c r="W163" s="55"/>
      <c r="X163" s="55"/>
      <c r="Y163" s="55"/>
      <c r="Z163" s="55"/>
      <c r="AA163" s="55"/>
      <c r="AB163" s="55"/>
      <c r="AC163" s="55"/>
      <c r="AD163" s="55"/>
      <c r="AE163" s="55"/>
      <c r="AF163" s="55"/>
      <c r="AG163" s="55"/>
      <c r="AH163" s="55" t="str">
        <f ca="1">IFERROR(__xludf.DUMMYFUNCTION("""COMPUTED_VALUE"""),"-")</f>
        <v>-</v>
      </c>
      <c r="AI163" s="55" t="str">
        <f ca="1">IFERROR(__xludf.DUMMYFUNCTION("""COMPUTED_VALUE"""),"FRANCISCA DE CASSIA PEREIRA SOUSA")</f>
        <v>FRANCISCA DE CASSIA PEREIRA SOUSA</v>
      </c>
      <c r="AJ163" s="55" t="str">
        <f ca="1">IFERROR(__xludf.DUMMYFUNCTION("""COMPUTED_VALUE"""),"-")</f>
        <v>-</v>
      </c>
      <c r="AK163" s="55" t="str">
        <f ca="1">IFERROR(__xludf.DUMMYFUNCTION("""COMPUTED_VALUE"""),"-")</f>
        <v>-</v>
      </c>
      <c r="AL163" s="55" t="str">
        <f ca="1">IFERROR(__xludf.DUMMYFUNCTION("""COMPUTED_VALUE"""),"JOSE ALBERTO ARAUJO DE QUEIROZ")</f>
        <v>JOSE ALBERTO ARAUJO DE QUEIROZ</v>
      </c>
      <c r="AM163" s="55">
        <f ca="1">IFERROR(__xludf.DUMMYFUNCTION("""COMPUTED_VALUE"""),2025)</f>
        <v>2025</v>
      </c>
      <c r="AN163" s="55"/>
    </row>
    <row r="164" spans="1:40" ht="14" x14ac:dyDescent="0.35">
      <c r="A164" s="55" t="str">
        <f t="shared" ca="1" si="0"/>
        <v xml:space="preserve"> SOUSA/EMEIF CICERO INACIO DE OLIVEIRA/ASSISTENTE ADMINISTRATIVO/NOITE</v>
      </c>
      <c r="B164" s="55" t="str">
        <f ca="1">IFERROR(__xludf.DUMMYFUNCTION("""COMPUTED_VALUE"""),"00000001527")</f>
        <v>00000001527</v>
      </c>
      <c r="C164" s="55" t="str">
        <f ca="1">IFERROR(__xludf.DUMMYFUNCTION("""COMPUTED_VALUE"""),"T-ASSISTENTE ADMINISTRATIVO/00000001527")</f>
        <v>T-ASSISTENTE ADMINISTRATIVO/00000001527</v>
      </c>
      <c r="D164" s="56" t="str">
        <f ca="1">IFERROR(__xludf.DUMMYFUNCTION("""COMPUTED_VALUE"""),"https://docs.google.com/spreadsheets/d/1c7Sby1TtafhA7zF2wgljVCA1yBBNIuqvDPpzAAKvECY")</f>
        <v>https://docs.google.com/spreadsheets/d/1c7Sby1TtafhA7zF2wgljVCA1yBBNIuqvDPpzAAKvECY</v>
      </c>
      <c r="E164" s="55" t="str">
        <f ca="1">IFERROR(__xludf.DUMMYFUNCTION("""COMPUTED_VALUE"""),"17 - PARAIBATEC FIC")</f>
        <v>17 - PARAIBATEC FIC</v>
      </c>
      <c r="F164" s="55" t="str">
        <f ca="1">IFERROR(__xludf.DUMMYFUNCTION("""COMPUTED_VALUE"""),"PARAIBATEC FIC")</f>
        <v>PARAIBATEC FIC</v>
      </c>
      <c r="G164" s="55" t="str">
        <f ca="1">IFERROR(__xludf.DUMMYFUNCTION("""COMPUTED_VALUE"""),"01 - PARAIBATEC")</f>
        <v>01 - PARAIBATEC</v>
      </c>
      <c r="H164" s="55" t="str">
        <f ca="1">IFERROR(__xludf.DUMMYFUNCTION("""COMPUTED_VALUE"""),"PARAIBATEC")</f>
        <v>PARAIBATEC</v>
      </c>
      <c r="I164" s="55" t="str">
        <f ca="1">IFERROR(__xludf.DUMMYFUNCTION("""COMPUTED_VALUE"""),"582 - EMEIF CICERO INACIO DE OLIVEIRA")</f>
        <v>582 - EMEIF CICERO INACIO DE OLIVEIRA</v>
      </c>
      <c r="J164" s="55" t="str">
        <f ca="1">IFERROR(__xludf.DUMMYFUNCTION("""COMPUTED_VALUE""")," SOUSA")</f>
        <v xml:space="preserve"> SOUSA</v>
      </c>
      <c r="K164" s="55"/>
      <c r="L164" s="55"/>
      <c r="M164" s="55" t="str">
        <f ca="1">IFERROR(__xludf.DUMMYFUNCTION("""COMPUTED_VALUE"""),"EMEIF CICERO INACIO DE OLIVEIRA")</f>
        <v>EMEIF CICERO INACIO DE OLIVEIRA</v>
      </c>
      <c r="N164" s="55">
        <f ca="1">IFERROR(__xludf.DUMMYFUNCTION("""COMPUTED_VALUE"""),221012)</f>
        <v>221012</v>
      </c>
      <c r="O164" s="55" t="str">
        <f ca="1">IFERROR(__xludf.DUMMYFUNCTION("""COMPUTED_VALUE"""),"GESTAO E NEGOCIOS")</f>
        <v>GESTAO E NEGOCIOS</v>
      </c>
      <c r="P164" s="55" t="str">
        <f ca="1">IFERROR(__xludf.DUMMYFUNCTION("""COMPUTED_VALUE"""),"ASSISTENTE ADMINISTRATIVO")</f>
        <v>ASSISTENTE ADMINISTRATIVO</v>
      </c>
      <c r="Q164" s="55" t="str">
        <f ca="1">IFERROR(__xludf.DUMMYFUNCTION("""COMPUTED_VALUE"""),"FIC")</f>
        <v>FIC</v>
      </c>
      <c r="R164" s="55">
        <f ca="1">IFERROR(__xludf.DUMMYFUNCTION("""COMPUTED_VALUE"""),160)</f>
        <v>160</v>
      </c>
      <c r="S164" s="55" t="str">
        <f ca="1">IFERROR(__xludf.DUMMYFUNCTION("""COMPUTED_VALUE"""),"NOITE")</f>
        <v>NOITE</v>
      </c>
      <c r="T164" s="57">
        <f ca="1">IFERROR(__xludf.DUMMYFUNCTION("""COMPUTED_VALUE"""),45729)</f>
        <v>45729</v>
      </c>
      <c r="U164" s="57">
        <f ca="1">IFERROR(__xludf.DUMMYFUNCTION("""COMPUTED_VALUE"""),45855)</f>
        <v>45855</v>
      </c>
      <c r="V164" s="55"/>
      <c r="W164" s="55"/>
      <c r="X164" s="55"/>
      <c r="Y164" s="55"/>
      <c r="Z164" s="55"/>
      <c r="AA164" s="55"/>
      <c r="AB164" s="55"/>
      <c r="AC164" s="55"/>
      <c r="AD164" s="55"/>
      <c r="AE164" s="55"/>
      <c r="AF164" s="55"/>
      <c r="AG164" s="55"/>
      <c r="AH164" s="55" t="str">
        <f ca="1">IFERROR(__xludf.DUMMYFUNCTION("""COMPUTED_VALUE"""),"-")</f>
        <v>-</v>
      </c>
      <c r="AI164" s="55" t="str">
        <f ca="1">IFERROR(__xludf.DUMMYFUNCTION("""COMPUTED_VALUE"""),"FRANCISCO DE ASSIS PEREIRA DO NASCIMENTO")</f>
        <v>FRANCISCO DE ASSIS PEREIRA DO NASCIMENTO</v>
      </c>
      <c r="AJ164" s="55" t="str">
        <f ca="1">IFERROR(__xludf.DUMMYFUNCTION("""COMPUTED_VALUE"""),"-")</f>
        <v>-</v>
      </c>
      <c r="AK164" s="55" t="str">
        <f ca="1">IFERROR(__xludf.DUMMYFUNCTION("""COMPUTED_VALUE"""),"-")</f>
        <v>-</v>
      </c>
      <c r="AL164" s="55" t="str">
        <f ca="1">IFERROR(__xludf.DUMMYFUNCTION("""COMPUTED_VALUE"""),"GIORDANO DE OLIVEIRA LEITE")</f>
        <v>GIORDANO DE OLIVEIRA LEITE</v>
      </c>
      <c r="AM164" s="55">
        <f ca="1">IFERROR(__xludf.DUMMYFUNCTION("""COMPUTED_VALUE"""),2025)</f>
        <v>2025</v>
      </c>
      <c r="AN164" s="55"/>
    </row>
    <row r="165" spans="1:40" ht="14" x14ac:dyDescent="0.35">
      <c r="A165" s="55" t="str">
        <f t="shared" ca="1" si="0"/>
        <v xml:space="preserve"> CABEDELO/PORTO CIDADE/ASSISTENTE DE CONTABILIDADE/TARDE</v>
      </c>
      <c r="B165" s="55" t="str">
        <f ca="1">IFERROR(__xludf.DUMMYFUNCTION("""COMPUTED_VALUE"""),"00000001528")</f>
        <v>00000001528</v>
      </c>
      <c r="C165" s="55" t="str">
        <f ca="1">IFERROR(__xludf.DUMMYFUNCTION("""COMPUTED_VALUE"""),"T-ASSISTENTE DE CONTABILIDADE/00000001528")</f>
        <v>T-ASSISTENTE DE CONTABILIDADE/00000001528</v>
      </c>
      <c r="D165" s="56" t="str">
        <f ca="1">IFERROR(__xludf.DUMMYFUNCTION("""COMPUTED_VALUE"""),"https://docs.google.com/spreadsheets/d/1pPEJ48zeagAhnJIH0xXnppj8d-OK0mNVpvT6l8ubzvI")</f>
        <v>https://docs.google.com/spreadsheets/d/1pPEJ48zeagAhnJIH0xXnppj8d-OK0mNVpvT6l8ubzvI</v>
      </c>
      <c r="E165" s="55" t="str">
        <f ca="1">IFERROR(__xludf.DUMMYFUNCTION("""COMPUTED_VALUE"""),"17 - PARAIBATEC FIC")</f>
        <v>17 - PARAIBATEC FIC</v>
      </c>
      <c r="F165" s="55" t="str">
        <f ca="1">IFERROR(__xludf.DUMMYFUNCTION("""COMPUTED_VALUE"""),"PARAIBATEC FIC")</f>
        <v>PARAIBATEC FIC</v>
      </c>
      <c r="G165" s="55" t="str">
        <f ca="1">IFERROR(__xludf.DUMMYFUNCTION("""COMPUTED_VALUE"""),"01 - PARAIBATEC")</f>
        <v>01 - PARAIBATEC</v>
      </c>
      <c r="H165" s="55" t="str">
        <f ca="1">IFERROR(__xludf.DUMMYFUNCTION("""COMPUTED_VALUE"""),"PARAIBATEC")</f>
        <v>PARAIBATEC</v>
      </c>
      <c r="I165" s="55" t="str">
        <f ca="1">IFERROR(__xludf.DUMMYFUNCTION("""COMPUTED_VALUE"""),"494 - PORTO CIDADE")</f>
        <v>494 - PORTO CIDADE</v>
      </c>
      <c r="J165" s="55" t="str">
        <f ca="1">IFERROR(__xludf.DUMMYFUNCTION("""COMPUTED_VALUE""")," CABEDELO")</f>
        <v xml:space="preserve"> CABEDELO</v>
      </c>
      <c r="K165" s="55"/>
      <c r="L165" s="55"/>
      <c r="M165" s="55" t="str">
        <f ca="1">IFERROR(__xludf.DUMMYFUNCTION("""COMPUTED_VALUE"""),"PORTO CIDADE")</f>
        <v>PORTO CIDADE</v>
      </c>
      <c r="N165" s="55">
        <f ca="1">IFERROR(__xludf.DUMMYFUNCTION("""COMPUTED_VALUE"""),413110)</f>
        <v>413110</v>
      </c>
      <c r="O165" s="55" t="str">
        <f ca="1">IFERROR(__xludf.DUMMYFUNCTION("""COMPUTED_VALUE"""),"GESTAO E NEGOCIOS")</f>
        <v>GESTAO E NEGOCIOS</v>
      </c>
      <c r="P165" s="55" t="str">
        <f ca="1">IFERROR(__xludf.DUMMYFUNCTION("""COMPUTED_VALUE"""),"ASSISTENTE DE CONTABILIDADE")</f>
        <v>ASSISTENTE DE CONTABILIDADE</v>
      </c>
      <c r="Q165" s="55" t="str">
        <f ca="1">IFERROR(__xludf.DUMMYFUNCTION("""COMPUTED_VALUE"""),"FIC")</f>
        <v>FIC</v>
      </c>
      <c r="R165" s="55">
        <f ca="1">IFERROR(__xludf.DUMMYFUNCTION("""COMPUTED_VALUE"""),160)</f>
        <v>160</v>
      </c>
      <c r="S165" s="55" t="str">
        <f ca="1">IFERROR(__xludf.DUMMYFUNCTION("""COMPUTED_VALUE"""),"TARDE")</f>
        <v>TARDE</v>
      </c>
      <c r="T165" s="57">
        <f ca="1">IFERROR(__xludf.DUMMYFUNCTION("""COMPUTED_VALUE"""),45733)</f>
        <v>45733</v>
      </c>
      <c r="U165" s="57">
        <f ca="1">IFERROR(__xludf.DUMMYFUNCTION("""COMPUTED_VALUE"""),45811)</f>
        <v>45811</v>
      </c>
      <c r="V165" s="55"/>
      <c r="W165" s="55"/>
      <c r="X165" s="55"/>
      <c r="Y165" s="55"/>
      <c r="Z165" s="55"/>
      <c r="AA165" s="55"/>
      <c r="AB165" s="55"/>
      <c r="AC165" s="55"/>
      <c r="AD165" s="55"/>
      <c r="AE165" s="55"/>
      <c r="AF165" s="55"/>
      <c r="AG165" s="55"/>
      <c r="AH165" s="55" t="str">
        <f ca="1">IFERROR(__xludf.DUMMYFUNCTION("""COMPUTED_VALUE"""),"-")</f>
        <v>-</v>
      </c>
      <c r="AI165" s="55" t="str">
        <f ca="1">IFERROR(__xludf.DUMMYFUNCTION("""COMPUTED_VALUE"""),"EDSON VELOSO PERES")</f>
        <v>EDSON VELOSO PERES</v>
      </c>
      <c r="AJ165" s="55" t="str">
        <f ca="1">IFERROR(__xludf.DUMMYFUNCTION("""COMPUTED_VALUE"""),"-")</f>
        <v>-</v>
      </c>
      <c r="AK165" s="55" t="str">
        <f ca="1">IFERROR(__xludf.DUMMYFUNCTION("""COMPUTED_VALUE"""),"-")</f>
        <v>-</v>
      </c>
      <c r="AL165" s="55" t="str">
        <f ca="1">IFERROR(__xludf.DUMMYFUNCTION("""COMPUTED_VALUE"""),"ELIDA LIMA DOS SANTOS")</f>
        <v>ELIDA LIMA DOS SANTOS</v>
      </c>
      <c r="AM165" s="55">
        <f ca="1">IFERROR(__xludf.DUMMYFUNCTION("""COMPUTED_VALUE"""),2025)</f>
        <v>2025</v>
      </c>
      <c r="AN165" s="55"/>
    </row>
    <row r="166" spans="1:40" ht="14" x14ac:dyDescent="0.35">
      <c r="A166" s="55" t="str">
        <f t="shared" ca="1" si="0"/>
        <v xml:space="preserve"> CABEDELO/PORTO CIDADE/ESPANHOL BASICO/TARDE</v>
      </c>
      <c r="B166" s="55" t="str">
        <f ca="1">IFERROR(__xludf.DUMMYFUNCTION("""COMPUTED_VALUE"""),"00000001529")</f>
        <v>00000001529</v>
      </c>
      <c r="C166" s="55" t="str">
        <f ca="1">IFERROR(__xludf.DUMMYFUNCTION("""COMPUTED_VALUE"""),"T-ESPANHOL BASICO/00000001529")</f>
        <v>T-ESPANHOL BASICO/00000001529</v>
      </c>
      <c r="D166" s="56" t="str">
        <f ca="1">IFERROR(__xludf.DUMMYFUNCTION("""COMPUTED_VALUE"""),"https://docs.google.com/spreadsheets/d/1wZ4wCoqndn_oe5F3gE6V1D0Loc3l9XHWwvhF-5S6-Yw")</f>
        <v>https://docs.google.com/spreadsheets/d/1wZ4wCoqndn_oe5F3gE6V1D0Loc3l9XHWwvhF-5S6-Yw</v>
      </c>
      <c r="E166" s="55" t="str">
        <f ca="1">IFERROR(__xludf.DUMMYFUNCTION("""COMPUTED_VALUE"""),"17 - PARAIBATEC FIC")</f>
        <v>17 - PARAIBATEC FIC</v>
      </c>
      <c r="F166" s="55" t="str">
        <f ca="1">IFERROR(__xludf.DUMMYFUNCTION("""COMPUTED_VALUE"""),"PARAIBATEC FIC")</f>
        <v>PARAIBATEC FIC</v>
      </c>
      <c r="G166" s="55" t="str">
        <f ca="1">IFERROR(__xludf.DUMMYFUNCTION("""COMPUTED_VALUE"""),"01 - PARAIBATEC")</f>
        <v>01 - PARAIBATEC</v>
      </c>
      <c r="H166" s="55" t="str">
        <f ca="1">IFERROR(__xludf.DUMMYFUNCTION("""COMPUTED_VALUE"""),"PARAIBATEC")</f>
        <v>PARAIBATEC</v>
      </c>
      <c r="I166" s="55" t="str">
        <f ca="1">IFERROR(__xludf.DUMMYFUNCTION("""COMPUTED_VALUE"""),"494 - PORTO CIDADE")</f>
        <v>494 - PORTO CIDADE</v>
      </c>
      <c r="J166" s="55" t="str">
        <f ca="1">IFERROR(__xludf.DUMMYFUNCTION("""COMPUTED_VALUE""")," CABEDELO")</f>
        <v xml:space="preserve"> CABEDELO</v>
      </c>
      <c r="K166" s="55"/>
      <c r="L166" s="55"/>
      <c r="M166" s="55" t="str">
        <f ca="1">IFERROR(__xludf.DUMMYFUNCTION("""COMPUTED_VALUE"""),"PORTO CIDADE")</f>
        <v>PORTO CIDADE</v>
      </c>
      <c r="N166" s="55">
        <f ca="1">IFERROR(__xludf.DUMMYFUNCTION("""COMPUTED_VALUE"""),221398)</f>
        <v>221398</v>
      </c>
      <c r="O166" s="55" t="str">
        <f ca="1">IFERROR(__xludf.DUMMYFUNCTION("""COMPUTED_VALUE"""),"DESENVOLVIMENTO EDUCACIONAL E SOCIAL")</f>
        <v>DESENVOLVIMENTO EDUCACIONAL E SOCIAL</v>
      </c>
      <c r="P166" s="55" t="str">
        <f ca="1">IFERROR(__xludf.DUMMYFUNCTION("""COMPUTED_VALUE"""),"ESPANHOL BASICO")</f>
        <v>ESPANHOL BASICO</v>
      </c>
      <c r="Q166" s="55" t="str">
        <f ca="1">IFERROR(__xludf.DUMMYFUNCTION("""COMPUTED_VALUE"""),"FIC")</f>
        <v>FIC</v>
      </c>
      <c r="R166" s="55">
        <f ca="1">IFERROR(__xludf.DUMMYFUNCTION("""COMPUTED_VALUE"""),160)</f>
        <v>160</v>
      </c>
      <c r="S166" s="55" t="str">
        <f ca="1">IFERROR(__xludf.DUMMYFUNCTION("""COMPUTED_VALUE"""),"TARDE")</f>
        <v>TARDE</v>
      </c>
      <c r="T166" s="57">
        <f ca="1">IFERROR(__xludf.DUMMYFUNCTION("""COMPUTED_VALUE"""),45733)</f>
        <v>45733</v>
      </c>
      <c r="U166" s="57">
        <f ca="1">IFERROR(__xludf.DUMMYFUNCTION("""COMPUTED_VALUE"""),45811)</f>
        <v>45811</v>
      </c>
      <c r="V166" s="55"/>
      <c r="W166" s="55"/>
      <c r="X166" s="55"/>
      <c r="Y166" s="55"/>
      <c r="Z166" s="55"/>
      <c r="AA166" s="55"/>
      <c r="AB166" s="55"/>
      <c r="AC166" s="55"/>
      <c r="AD166" s="55"/>
      <c r="AE166" s="55"/>
      <c r="AF166" s="55"/>
      <c r="AG166" s="55"/>
      <c r="AH166" s="55" t="str">
        <f ca="1">IFERROR(__xludf.DUMMYFUNCTION("""COMPUTED_VALUE"""),"-")</f>
        <v>-</v>
      </c>
      <c r="AI166" s="55" t="str">
        <f ca="1">IFERROR(__xludf.DUMMYFUNCTION("""COMPUTED_VALUE"""),"EDSON VELOSO PERES")</f>
        <v>EDSON VELOSO PERES</v>
      </c>
      <c r="AJ166" s="55" t="str">
        <f ca="1">IFERROR(__xludf.DUMMYFUNCTION("""COMPUTED_VALUE"""),"-")</f>
        <v>-</v>
      </c>
      <c r="AK166" s="55" t="str">
        <f ca="1">IFERROR(__xludf.DUMMYFUNCTION("""COMPUTED_VALUE"""),"-")</f>
        <v>-</v>
      </c>
      <c r="AL166" s="55" t="str">
        <f ca="1">IFERROR(__xludf.DUMMYFUNCTION("""COMPUTED_VALUE"""),"ROMARIO SOARES DOS SANTOS")</f>
        <v>ROMARIO SOARES DOS SANTOS</v>
      </c>
      <c r="AM166" s="55">
        <f ca="1">IFERROR(__xludf.DUMMYFUNCTION("""COMPUTED_VALUE"""),2025)</f>
        <v>2025</v>
      </c>
      <c r="AN166" s="55"/>
    </row>
    <row r="167" spans="1:40" ht="14" x14ac:dyDescent="0.35">
      <c r="A167" s="55" t="str">
        <f t="shared" ca="1" si="0"/>
        <v xml:space="preserve"> CABEDELO/PORTO CIDADE/INGLES BASICO/TARDE</v>
      </c>
      <c r="B167" s="55" t="str">
        <f ca="1">IFERROR(__xludf.DUMMYFUNCTION("""COMPUTED_VALUE"""),"00000001530")</f>
        <v>00000001530</v>
      </c>
      <c r="C167" s="55" t="str">
        <f ca="1">IFERROR(__xludf.DUMMYFUNCTION("""COMPUTED_VALUE"""),"T-INGLES BASICO/00000001530")</f>
        <v>T-INGLES BASICO/00000001530</v>
      </c>
      <c r="D167" s="56" t="str">
        <f ca="1">IFERROR(__xludf.DUMMYFUNCTION("""COMPUTED_VALUE"""),"https://docs.google.com/spreadsheets/d/1e3a2REUQdsBNWZCS7wy_VGxmJ29yuzY3yV-OoUK-hZo")</f>
        <v>https://docs.google.com/spreadsheets/d/1e3a2REUQdsBNWZCS7wy_VGxmJ29yuzY3yV-OoUK-hZo</v>
      </c>
      <c r="E167" s="55" t="str">
        <f ca="1">IFERROR(__xludf.DUMMYFUNCTION("""COMPUTED_VALUE"""),"17 - PARAIBATEC FIC")</f>
        <v>17 - PARAIBATEC FIC</v>
      </c>
      <c r="F167" s="55" t="str">
        <f ca="1">IFERROR(__xludf.DUMMYFUNCTION("""COMPUTED_VALUE"""),"PARAIBATEC FIC")</f>
        <v>PARAIBATEC FIC</v>
      </c>
      <c r="G167" s="55" t="str">
        <f ca="1">IFERROR(__xludf.DUMMYFUNCTION("""COMPUTED_VALUE"""),"01 - PARAIBATEC")</f>
        <v>01 - PARAIBATEC</v>
      </c>
      <c r="H167" s="55" t="str">
        <f ca="1">IFERROR(__xludf.DUMMYFUNCTION("""COMPUTED_VALUE"""),"PARAIBATEC")</f>
        <v>PARAIBATEC</v>
      </c>
      <c r="I167" s="55" t="str">
        <f ca="1">IFERROR(__xludf.DUMMYFUNCTION("""COMPUTED_VALUE"""),"494 - PORTO CIDADE")</f>
        <v>494 - PORTO CIDADE</v>
      </c>
      <c r="J167" s="55" t="str">
        <f ca="1">IFERROR(__xludf.DUMMYFUNCTION("""COMPUTED_VALUE""")," CABEDELO")</f>
        <v xml:space="preserve"> CABEDELO</v>
      </c>
      <c r="K167" s="55"/>
      <c r="L167" s="55"/>
      <c r="M167" s="55" t="str">
        <f ca="1">IFERROR(__xludf.DUMMYFUNCTION("""COMPUTED_VALUE"""),"PORTO CIDADE")</f>
        <v>PORTO CIDADE</v>
      </c>
      <c r="N167" s="55">
        <f ca="1">IFERROR(__xludf.DUMMYFUNCTION("""COMPUTED_VALUE"""),221453)</f>
        <v>221453</v>
      </c>
      <c r="O167" s="55" t="str">
        <f ca="1">IFERROR(__xludf.DUMMYFUNCTION("""COMPUTED_VALUE"""),"DESENVOLVIMENTO EDUCACIONAL E SOCIAL")</f>
        <v>DESENVOLVIMENTO EDUCACIONAL E SOCIAL</v>
      </c>
      <c r="P167" s="55" t="str">
        <f ca="1">IFERROR(__xludf.DUMMYFUNCTION("""COMPUTED_VALUE"""),"INGLES BASICO")</f>
        <v>INGLES BASICO</v>
      </c>
      <c r="Q167" s="55" t="str">
        <f ca="1">IFERROR(__xludf.DUMMYFUNCTION("""COMPUTED_VALUE"""),"FIC")</f>
        <v>FIC</v>
      </c>
      <c r="R167" s="55">
        <f ca="1">IFERROR(__xludf.DUMMYFUNCTION("""COMPUTED_VALUE"""),160)</f>
        <v>160</v>
      </c>
      <c r="S167" s="55" t="str">
        <f ca="1">IFERROR(__xludf.DUMMYFUNCTION("""COMPUTED_VALUE"""),"TARDE")</f>
        <v>TARDE</v>
      </c>
      <c r="T167" s="57">
        <f ca="1">IFERROR(__xludf.DUMMYFUNCTION("""COMPUTED_VALUE"""),45733)</f>
        <v>45733</v>
      </c>
      <c r="U167" s="57">
        <f ca="1">IFERROR(__xludf.DUMMYFUNCTION("""COMPUTED_VALUE"""),45811)</f>
        <v>45811</v>
      </c>
      <c r="V167" s="55"/>
      <c r="W167" s="55"/>
      <c r="X167" s="55"/>
      <c r="Y167" s="55"/>
      <c r="Z167" s="55"/>
      <c r="AA167" s="55"/>
      <c r="AB167" s="55"/>
      <c r="AC167" s="55"/>
      <c r="AD167" s="55"/>
      <c r="AE167" s="55"/>
      <c r="AF167" s="55"/>
      <c r="AG167" s="55"/>
      <c r="AH167" s="55" t="str">
        <f ca="1">IFERROR(__xludf.DUMMYFUNCTION("""COMPUTED_VALUE"""),"-")</f>
        <v>-</v>
      </c>
      <c r="AI167" s="55" t="str">
        <f ca="1">IFERROR(__xludf.DUMMYFUNCTION("""COMPUTED_VALUE"""),"EDSON VELOSO PERES")</f>
        <v>EDSON VELOSO PERES</v>
      </c>
      <c r="AJ167" s="55" t="str">
        <f ca="1">IFERROR(__xludf.DUMMYFUNCTION("""COMPUTED_VALUE"""),"-")</f>
        <v>-</v>
      </c>
      <c r="AK167" s="55" t="str">
        <f ca="1">IFERROR(__xludf.DUMMYFUNCTION("""COMPUTED_VALUE"""),"-")</f>
        <v>-</v>
      </c>
      <c r="AL167" s="55" t="str">
        <f ca="1">IFERROR(__xludf.DUMMYFUNCTION("""COMPUTED_VALUE"""),"MILTON EMILIO LIRA SANTOS")</f>
        <v>MILTON EMILIO LIRA SANTOS</v>
      </c>
      <c r="AM167" s="55">
        <f ca="1">IFERROR(__xludf.DUMMYFUNCTION("""COMPUTED_VALUE"""),2025)</f>
        <v>2025</v>
      </c>
      <c r="AN167" s="55"/>
    </row>
    <row r="168" spans="1:40" ht="14" x14ac:dyDescent="0.35">
      <c r="A168" s="55" t="str">
        <f t="shared" ca="1" si="0"/>
        <v xml:space="preserve"> SANTANA DOS GARROTES/SECRETARIA MUNICIPAL DE ASSISTENCIA SOCIAL/MANICURE E PEDICURE/TARDE</v>
      </c>
      <c r="B168" s="55" t="str">
        <f ca="1">IFERROR(__xludf.DUMMYFUNCTION("""COMPUTED_VALUE"""),"00000001531")</f>
        <v>00000001531</v>
      </c>
      <c r="C168" s="55" t="str">
        <f ca="1">IFERROR(__xludf.DUMMYFUNCTION("""COMPUTED_VALUE"""),"T-MANICURE E PEDICURE/00000001531")</f>
        <v>T-MANICURE E PEDICURE/00000001531</v>
      </c>
      <c r="D168" s="56" t="str">
        <f ca="1">IFERROR(__xludf.DUMMYFUNCTION("""COMPUTED_VALUE"""),"https://docs.google.com/spreadsheets/d/1LaGU-tPvGV1TolcGxH2WlnVkqMH8AER2Q2nQ3c3fGtY")</f>
        <v>https://docs.google.com/spreadsheets/d/1LaGU-tPvGV1TolcGxH2WlnVkqMH8AER2Q2nQ3c3fGtY</v>
      </c>
      <c r="E168" s="55" t="str">
        <f ca="1">IFERROR(__xludf.DUMMYFUNCTION("""COMPUTED_VALUE"""),"17 - PARAIBATEC FIC")</f>
        <v>17 - PARAIBATEC FIC</v>
      </c>
      <c r="F168" s="55" t="str">
        <f ca="1">IFERROR(__xludf.DUMMYFUNCTION("""COMPUTED_VALUE"""),"PARAIBATEC FIC")</f>
        <v>PARAIBATEC FIC</v>
      </c>
      <c r="G168" s="55" t="str">
        <f ca="1">IFERROR(__xludf.DUMMYFUNCTION("""COMPUTED_VALUE"""),"01 - PARAIBATEC")</f>
        <v>01 - PARAIBATEC</v>
      </c>
      <c r="H168" s="55" t="str">
        <f ca="1">IFERROR(__xludf.DUMMYFUNCTION("""COMPUTED_VALUE"""),"PARAIBATEC")</f>
        <v>PARAIBATEC</v>
      </c>
      <c r="I168" s="55" t="str">
        <f ca="1">IFERROR(__xludf.DUMMYFUNCTION("""COMPUTED_VALUE"""),"572 - SECRETARIA MUNICIPAL DE ASSISTENCIA SOCIAL")</f>
        <v>572 - SECRETARIA MUNICIPAL DE ASSISTENCIA SOCIAL</v>
      </c>
      <c r="J168" s="55" t="str">
        <f ca="1">IFERROR(__xludf.DUMMYFUNCTION("""COMPUTED_VALUE""")," SANTANA DOS GARROTES")</f>
        <v xml:space="preserve"> SANTANA DOS GARROTES</v>
      </c>
      <c r="K168" s="55"/>
      <c r="L168" s="55"/>
      <c r="M168" s="55" t="str">
        <f ca="1">IFERROR(__xludf.DUMMYFUNCTION("""COMPUTED_VALUE"""),"SECRETARIA MUNICIPAL DE ASSISTENCIA SOCIAL")</f>
        <v>SECRETARIA MUNICIPAL DE ASSISTENCIA SOCIAL</v>
      </c>
      <c r="N168" s="55">
        <f ca="1">IFERROR(__xludf.DUMMYFUNCTION("""COMPUTED_VALUE"""),221475)</f>
        <v>221475</v>
      </c>
      <c r="O168" s="55" t="str">
        <f ca="1">IFERROR(__xludf.DUMMYFUNCTION("""COMPUTED_VALUE"""),"AMBIENTE E SAUDE")</f>
        <v>AMBIENTE E SAUDE</v>
      </c>
      <c r="P168" s="55" t="str">
        <f ca="1">IFERROR(__xludf.DUMMYFUNCTION("""COMPUTED_VALUE"""),"MANICURE E PEDICURE")</f>
        <v>MANICURE E PEDICURE</v>
      </c>
      <c r="Q168" s="55" t="str">
        <f ca="1">IFERROR(__xludf.DUMMYFUNCTION("""COMPUTED_VALUE"""),"FIC")</f>
        <v>FIC</v>
      </c>
      <c r="R168" s="55">
        <f ca="1">IFERROR(__xludf.DUMMYFUNCTION("""COMPUTED_VALUE"""),160)</f>
        <v>160</v>
      </c>
      <c r="S168" s="55" t="str">
        <f ca="1">IFERROR(__xludf.DUMMYFUNCTION("""COMPUTED_VALUE"""),"TARDE")</f>
        <v>TARDE</v>
      </c>
      <c r="T168" s="57">
        <f ca="1">IFERROR(__xludf.DUMMYFUNCTION("""COMPUTED_VALUE"""),45735)</f>
        <v>45735</v>
      </c>
      <c r="U168" s="57">
        <f ca="1">IFERROR(__xludf.DUMMYFUNCTION("""COMPUTED_VALUE"""),45866)</f>
        <v>45866</v>
      </c>
      <c r="V168" s="55"/>
      <c r="W168" s="55"/>
      <c r="X168" s="55"/>
      <c r="Y168" s="55"/>
      <c r="Z168" s="55"/>
      <c r="AA168" s="55"/>
      <c r="AB168" s="55"/>
      <c r="AC168" s="55"/>
      <c r="AD168" s="55"/>
      <c r="AE168" s="55"/>
      <c r="AF168" s="55"/>
      <c r="AG168" s="55"/>
      <c r="AH168" s="55" t="str">
        <f ca="1">IFERROR(__xludf.DUMMYFUNCTION("""COMPUTED_VALUE"""),"-")</f>
        <v>-</v>
      </c>
      <c r="AI168" s="55" t="str">
        <f ca="1">IFERROR(__xludf.DUMMYFUNCTION("""COMPUTED_VALUE"""),"JOAO PAULO BARBOZA DE SOUZA")</f>
        <v>JOAO PAULO BARBOZA DE SOUZA</v>
      </c>
      <c r="AJ168" s="55" t="str">
        <f ca="1">IFERROR(__xludf.DUMMYFUNCTION("""COMPUTED_VALUE"""),"-")</f>
        <v>-</v>
      </c>
      <c r="AK168" s="55" t="str">
        <f ca="1">IFERROR(__xludf.DUMMYFUNCTION("""COMPUTED_VALUE"""),"-")</f>
        <v>-</v>
      </c>
      <c r="AL168" s="55" t="str">
        <f ca="1">IFERROR(__xludf.DUMMYFUNCTION("""COMPUTED_VALUE"""),"FERDICIANA KARCIA FRANCELINO DE SOUZA OLIVEIRA")</f>
        <v>FERDICIANA KARCIA FRANCELINO DE SOUZA OLIVEIRA</v>
      </c>
      <c r="AM168" s="55">
        <f ca="1">IFERROR(__xludf.DUMMYFUNCTION("""COMPUTED_VALUE"""),2025)</f>
        <v>2025</v>
      </c>
      <c r="AN168" s="55"/>
    </row>
    <row r="169" spans="1:40" ht="14" x14ac:dyDescent="0.35">
      <c r="A169" s="55" t="str">
        <f t="shared" ca="1" si="0"/>
        <v xml:space="preserve"> QUEIMADAS/ECIT FRANCISCO ERNESTO DO REGO/CUIDADOR INFANTIL/TARDE</v>
      </c>
      <c r="B169" s="55" t="str">
        <f ca="1">IFERROR(__xludf.DUMMYFUNCTION("""COMPUTED_VALUE"""),"00000001532")</f>
        <v>00000001532</v>
      </c>
      <c r="C169" s="55" t="str">
        <f ca="1">IFERROR(__xludf.DUMMYFUNCTION("""COMPUTED_VALUE"""),"T-CUIDADOR INFANTIL/00000001532")</f>
        <v>T-CUIDADOR INFANTIL/00000001532</v>
      </c>
      <c r="D169" s="56" t="str">
        <f ca="1">IFERROR(__xludf.DUMMYFUNCTION("""COMPUTED_VALUE"""),"https://docs.google.com/spreadsheets/d/1uD9LPRGAyEqViSLZcoZb66MiywCfumFtcoOjIn9A5ns")</f>
        <v>https://docs.google.com/spreadsheets/d/1uD9LPRGAyEqViSLZcoZb66MiywCfumFtcoOjIn9A5ns</v>
      </c>
      <c r="E169" s="55" t="str">
        <f ca="1">IFERROR(__xludf.DUMMYFUNCTION("""COMPUTED_VALUE"""),"17 - PARAIBATEC FIC")</f>
        <v>17 - PARAIBATEC FIC</v>
      </c>
      <c r="F169" s="55" t="str">
        <f ca="1">IFERROR(__xludf.DUMMYFUNCTION("""COMPUTED_VALUE"""),"PARAIBATEC FIC")</f>
        <v>PARAIBATEC FIC</v>
      </c>
      <c r="G169" s="55" t="str">
        <f ca="1">IFERROR(__xludf.DUMMYFUNCTION("""COMPUTED_VALUE"""),"01 - PARAIBATEC")</f>
        <v>01 - PARAIBATEC</v>
      </c>
      <c r="H169" s="55" t="str">
        <f ca="1">IFERROR(__xludf.DUMMYFUNCTION("""COMPUTED_VALUE"""),"PARAIBATEC")</f>
        <v>PARAIBATEC</v>
      </c>
      <c r="I169" s="55" t="str">
        <f ca="1">IFERROR(__xludf.DUMMYFUNCTION("""COMPUTED_VALUE"""),"313 - ECIT FRANCISCO ERNESTO DO REGO")</f>
        <v>313 - ECIT FRANCISCO ERNESTO DO REGO</v>
      </c>
      <c r="J169" s="55" t="str">
        <f ca="1">IFERROR(__xludf.DUMMYFUNCTION("""COMPUTED_VALUE""")," QUEIMADAS")</f>
        <v xml:space="preserve"> QUEIMADAS</v>
      </c>
      <c r="K169" s="55"/>
      <c r="L169" s="55"/>
      <c r="M169" s="55" t="str">
        <f ca="1">IFERROR(__xludf.DUMMYFUNCTION("""COMPUTED_VALUE"""),"ECIT FRANCISCO ERNESTO DO REGO")</f>
        <v>ECIT FRANCISCO ERNESTO DO REGO</v>
      </c>
      <c r="N169" s="55">
        <f ca="1">IFERROR(__xludf.DUMMYFUNCTION("""COMPUTED_VALUE"""),221538)</f>
        <v>221538</v>
      </c>
      <c r="O169" s="55" t="str">
        <f ca="1">IFERROR(__xludf.DUMMYFUNCTION("""COMPUTED_VALUE"""),"AMBIENTE E SAUDE")</f>
        <v>AMBIENTE E SAUDE</v>
      </c>
      <c r="P169" s="55" t="str">
        <f ca="1">IFERROR(__xludf.DUMMYFUNCTION("""COMPUTED_VALUE"""),"CUIDADOR INFANTIL")</f>
        <v>CUIDADOR INFANTIL</v>
      </c>
      <c r="Q169" s="55" t="str">
        <f ca="1">IFERROR(__xludf.DUMMYFUNCTION("""COMPUTED_VALUE"""),"FIC")</f>
        <v>FIC</v>
      </c>
      <c r="R169" s="55">
        <f ca="1">IFERROR(__xludf.DUMMYFUNCTION("""COMPUTED_VALUE"""),160)</f>
        <v>160</v>
      </c>
      <c r="S169" s="55" t="str">
        <f ca="1">IFERROR(__xludf.DUMMYFUNCTION("""COMPUTED_VALUE"""),"TARDE")</f>
        <v>TARDE</v>
      </c>
      <c r="T169" s="57">
        <f ca="1">IFERROR(__xludf.DUMMYFUNCTION("""COMPUTED_VALUE"""),45728)</f>
        <v>45728</v>
      </c>
      <c r="U169" s="57">
        <f ca="1">IFERROR(__xludf.DUMMYFUNCTION("""COMPUTED_VALUE"""),45859)</f>
        <v>45859</v>
      </c>
      <c r="V169" s="55"/>
      <c r="W169" s="55"/>
      <c r="X169" s="55"/>
      <c r="Y169" s="55"/>
      <c r="Z169" s="55"/>
      <c r="AA169" s="55"/>
      <c r="AB169" s="55"/>
      <c r="AC169" s="55"/>
      <c r="AD169" s="55"/>
      <c r="AE169" s="55"/>
      <c r="AF169" s="55"/>
      <c r="AG169" s="55"/>
      <c r="AH169" s="55" t="str">
        <f ca="1">IFERROR(__xludf.DUMMYFUNCTION("""COMPUTED_VALUE"""),"-")</f>
        <v>-</v>
      </c>
      <c r="AI169" s="55" t="str">
        <f ca="1">IFERROR(__xludf.DUMMYFUNCTION("""COMPUTED_VALUE"""),"LIMONIA EVARISTO GUEDES ALBUQUERQUE")</f>
        <v>LIMONIA EVARISTO GUEDES ALBUQUERQUE</v>
      </c>
      <c r="AJ169" s="55" t="str">
        <f ca="1">IFERROR(__xludf.DUMMYFUNCTION("""COMPUTED_VALUE"""),"-")</f>
        <v>-</v>
      </c>
      <c r="AK169" s="55" t="str">
        <f ca="1">IFERROR(__xludf.DUMMYFUNCTION("""COMPUTED_VALUE"""),"-")</f>
        <v>-</v>
      </c>
      <c r="AL169" s="55" t="str">
        <f ca="1">IFERROR(__xludf.DUMMYFUNCTION("""COMPUTED_VALUE"""),"LAINE VILARIM TENORIO")</f>
        <v>LAINE VILARIM TENORIO</v>
      </c>
      <c r="AM169" s="55">
        <f ca="1">IFERROR(__xludf.DUMMYFUNCTION("""COMPUTED_VALUE"""),2025)</f>
        <v>2025</v>
      </c>
      <c r="AN169" s="55"/>
    </row>
    <row r="170" spans="1:40" ht="14" x14ac:dyDescent="0.35">
      <c r="A170" s="55" t="str">
        <f t="shared" ca="1" si="0"/>
        <v xml:space="preserve"> SÃO MIGUEL DE TAIPU/CIEM HENRIQUE VIEIRA DE MELO/AGRICULTOR ORGÂNICO/NOITE</v>
      </c>
      <c r="B170" s="55" t="str">
        <f ca="1">IFERROR(__xludf.DUMMYFUNCTION("""COMPUTED_VALUE"""),"00000001533")</f>
        <v>00000001533</v>
      </c>
      <c r="C170" s="55" t="str">
        <f ca="1">IFERROR(__xludf.DUMMYFUNCTION("""COMPUTED_VALUE"""),"T-AGRICULTOR ORGÂNICO/00000001533")</f>
        <v>T-AGRICULTOR ORGÂNICO/00000001533</v>
      </c>
      <c r="D170" s="56" t="str">
        <f ca="1">IFERROR(__xludf.DUMMYFUNCTION("""COMPUTED_VALUE"""),"https://docs.google.com/spreadsheets/d/1-jnjFsYhaZ7ge_AAfSRqTrVWpUGJ_EY6pY1CzYGzo9o")</f>
        <v>https://docs.google.com/spreadsheets/d/1-jnjFsYhaZ7ge_AAfSRqTrVWpUGJ_EY6pY1CzYGzo9o</v>
      </c>
      <c r="E170" s="55" t="str">
        <f ca="1">IFERROR(__xludf.DUMMYFUNCTION("""COMPUTED_VALUE"""),"17 - PARAIBATEC FIC")</f>
        <v>17 - PARAIBATEC FIC</v>
      </c>
      <c r="F170" s="55" t="str">
        <f ca="1">IFERROR(__xludf.DUMMYFUNCTION("""COMPUTED_VALUE"""),"PARAIBATEC FIC")</f>
        <v>PARAIBATEC FIC</v>
      </c>
      <c r="G170" s="55" t="str">
        <f ca="1">IFERROR(__xludf.DUMMYFUNCTION("""COMPUTED_VALUE"""),"01 - PARAIBATEC")</f>
        <v>01 - PARAIBATEC</v>
      </c>
      <c r="H170" s="55" t="str">
        <f ca="1">IFERROR(__xludf.DUMMYFUNCTION("""COMPUTED_VALUE"""),"PARAIBATEC")</f>
        <v>PARAIBATEC</v>
      </c>
      <c r="I170" s="55" t="str">
        <f ca="1">IFERROR(__xludf.DUMMYFUNCTION("""COMPUTED_VALUE"""),"584 - CIEM HENRIQUE VIEIRA DE MELO")</f>
        <v>584 - CIEM HENRIQUE VIEIRA DE MELO</v>
      </c>
      <c r="J170" s="55" t="str">
        <f ca="1">IFERROR(__xludf.DUMMYFUNCTION("""COMPUTED_VALUE""")," SÃO MIGUEL DE TAIPU")</f>
        <v xml:space="preserve"> SÃO MIGUEL DE TAIPU</v>
      </c>
      <c r="K170" s="55"/>
      <c r="L170" s="55"/>
      <c r="M170" s="55" t="str">
        <f ca="1">IFERROR(__xludf.DUMMYFUNCTION("""COMPUTED_VALUE"""),"CIEM HENRIQUE VIEIRA DE MELO")</f>
        <v>CIEM HENRIQUE VIEIRA DE MELO</v>
      </c>
      <c r="N170" s="55">
        <f ca="1">IFERROR(__xludf.DUMMYFUNCTION("""COMPUTED_VALUE"""),221106)</f>
        <v>221106</v>
      </c>
      <c r="O170" s="55" t="str">
        <f ca="1">IFERROR(__xludf.DUMMYFUNCTION("""COMPUTED_VALUE"""),"RECURSOS NATURAIS")</f>
        <v>RECURSOS NATURAIS</v>
      </c>
      <c r="P170" s="55" t="str">
        <f ca="1">IFERROR(__xludf.DUMMYFUNCTION("""COMPUTED_VALUE"""),"AGRICULTOR ORGÂNICO")</f>
        <v>AGRICULTOR ORGÂNICO</v>
      </c>
      <c r="Q170" s="55" t="str">
        <f ca="1">IFERROR(__xludf.DUMMYFUNCTION("""COMPUTED_VALUE"""),"FIC")</f>
        <v>FIC</v>
      </c>
      <c r="R170" s="55">
        <f ca="1">IFERROR(__xludf.DUMMYFUNCTION("""COMPUTED_VALUE"""),160)</f>
        <v>160</v>
      </c>
      <c r="S170" s="55" t="str">
        <f ca="1">IFERROR(__xludf.DUMMYFUNCTION("""COMPUTED_VALUE"""),"NOITE")</f>
        <v>NOITE</v>
      </c>
      <c r="T170" s="57">
        <f ca="1">IFERROR(__xludf.DUMMYFUNCTION("""COMPUTED_VALUE"""),45733)</f>
        <v>45733</v>
      </c>
      <c r="U170" s="57">
        <f ca="1">IFERROR(__xludf.DUMMYFUNCTION("""COMPUTED_VALUE"""),45860)</f>
        <v>45860</v>
      </c>
      <c r="V170" s="55"/>
      <c r="W170" s="55"/>
      <c r="X170" s="55"/>
      <c r="Y170" s="55"/>
      <c r="Z170" s="55"/>
      <c r="AA170" s="55"/>
      <c r="AB170" s="55"/>
      <c r="AC170" s="55"/>
      <c r="AD170" s="55"/>
      <c r="AE170" s="55"/>
      <c r="AF170" s="55"/>
      <c r="AG170" s="55"/>
      <c r="AH170" s="55" t="str">
        <f ca="1">IFERROR(__xludf.DUMMYFUNCTION("""COMPUTED_VALUE"""),"-")</f>
        <v>-</v>
      </c>
      <c r="AI170" s="55" t="str">
        <f ca="1">IFERROR(__xludf.DUMMYFUNCTION("""COMPUTED_VALUE"""),"MARTA VIRGINIA DE MENDONCA GOMES")</f>
        <v>MARTA VIRGINIA DE MENDONCA GOMES</v>
      </c>
      <c r="AJ170" s="55" t="str">
        <f ca="1">IFERROR(__xludf.DUMMYFUNCTION("""COMPUTED_VALUE"""),"-")</f>
        <v>-</v>
      </c>
      <c r="AK170" s="55" t="str">
        <f ca="1">IFERROR(__xludf.DUMMYFUNCTION("""COMPUTED_VALUE"""),"-")</f>
        <v>-</v>
      </c>
      <c r="AL170" s="55" t="str">
        <f ca="1">IFERROR(__xludf.DUMMYFUNCTION("""COMPUTED_VALUE"""),"ROBERTO THIAGO VIEIRA DA SILVA")</f>
        <v>ROBERTO THIAGO VIEIRA DA SILVA</v>
      </c>
      <c r="AM170" s="55">
        <f ca="1">IFERROR(__xludf.DUMMYFUNCTION("""COMPUTED_VALUE"""),2025)</f>
        <v>2025</v>
      </c>
      <c r="AN170" s="55"/>
    </row>
    <row r="171" spans="1:40" ht="14" x14ac:dyDescent="0.35">
      <c r="A171" s="55" t="str">
        <f t="shared" ca="1" si="0"/>
        <v xml:space="preserve"> SÃO MIGUEL DE TAIPU/CIEM HENRIQUE VIEIRA DE MELO/ARTESAO DE PINTURA EM TECIDO/NOITE</v>
      </c>
      <c r="B171" s="55" t="str">
        <f ca="1">IFERROR(__xludf.DUMMYFUNCTION("""COMPUTED_VALUE"""),"00000001534")</f>
        <v>00000001534</v>
      </c>
      <c r="C171" s="55" t="str">
        <f ca="1">IFERROR(__xludf.DUMMYFUNCTION("""COMPUTED_VALUE"""),"T-ARTESAO DE PINTURA EM TECIDO/00000001534")</f>
        <v>T-ARTESAO DE PINTURA EM TECIDO/00000001534</v>
      </c>
      <c r="D171" s="56" t="str">
        <f ca="1">IFERROR(__xludf.DUMMYFUNCTION("""COMPUTED_VALUE"""),"https://docs.google.com/spreadsheets/d/1cYq3s-wxnuX4V09Pflx7Ans4fIDwEFn2Do11m5qYIz0")</f>
        <v>https://docs.google.com/spreadsheets/d/1cYq3s-wxnuX4V09Pflx7Ans4fIDwEFn2Do11m5qYIz0</v>
      </c>
      <c r="E171" s="55" t="str">
        <f ca="1">IFERROR(__xludf.DUMMYFUNCTION("""COMPUTED_VALUE"""),"17 - PARAIBATEC FIC")</f>
        <v>17 - PARAIBATEC FIC</v>
      </c>
      <c r="F171" s="55" t="str">
        <f ca="1">IFERROR(__xludf.DUMMYFUNCTION("""COMPUTED_VALUE"""),"PARAIBATEC FIC")</f>
        <v>PARAIBATEC FIC</v>
      </c>
      <c r="G171" s="55" t="str">
        <f ca="1">IFERROR(__xludf.DUMMYFUNCTION("""COMPUTED_VALUE"""),"01 - PARAIBATEC")</f>
        <v>01 - PARAIBATEC</v>
      </c>
      <c r="H171" s="55" t="str">
        <f ca="1">IFERROR(__xludf.DUMMYFUNCTION("""COMPUTED_VALUE"""),"PARAIBATEC")</f>
        <v>PARAIBATEC</v>
      </c>
      <c r="I171" s="55" t="str">
        <f ca="1">IFERROR(__xludf.DUMMYFUNCTION("""COMPUTED_VALUE"""),"584 - CIEM HENRIQUE VIEIRA DE MELO")</f>
        <v>584 - CIEM HENRIQUE VIEIRA DE MELO</v>
      </c>
      <c r="J171" s="55" t="str">
        <f ca="1">IFERROR(__xludf.DUMMYFUNCTION("""COMPUTED_VALUE""")," SÃO MIGUEL DE TAIPU")</f>
        <v xml:space="preserve"> SÃO MIGUEL DE TAIPU</v>
      </c>
      <c r="K171" s="55"/>
      <c r="L171" s="55"/>
      <c r="M171" s="55" t="str">
        <f ca="1">IFERROR(__xludf.DUMMYFUNCTION("""COMPUTED_VALUE"""),"CIEM HENRIQUE VIEIRA DE MELO")</f>
        <v>CIEM HENRIQUE VIEIRA DE MELO</v>
      </c>
      <c r="N171" s="55">
        <f ca="1">IFERROR(__xludf.DUMMYFUNCTION("""COMPUTED_VALUE"""),221163)</f>
        <v>221163</v>
      </c>
      <c r="O171" s="55" t="str">
        <f ca="1">IFERROR(__xludf.DUMMYFUNCTION("""COMPUTED_VALUE"""),"PRODUÇAO CULTURAL E DESIGN")</f>
        <v>PRODUÇAO CULTURAL E DESIGN</v>
      </c>
      <c r="P171" s="55" t="str">
        <f ca="1">IFERROR(__xludf.DUMMYFUNCTION("""COMPUTED_VALUE"""),"ARTESAO DE PINTURA EM TECIDO")</f>
        <v>ARTESAO DE PINTURA EM TECIDO</v>
      </c>
      <c r="Q171" s="55" t="str">
        <f ca="1">IFERROR(__xludf.DUMMYFUNCTION("""COMPUTED_VALUE"""),"FIC")</f>
        <v>FIC</v>
      </c>
      <c r="R171" s="55">
        <f ca="1">IFERROR(__xludf.DUMMYFUNCTION("""COMPUTED_VALUE"""),160)</f>
        <v>160</v>
      </c>
      <c r="S171" s="55" t="str">
        <f ca="1">IFERROR(__xludf.DUMMYFUNCTION("""COMPUTED_VALUE"""),"NOITE")</f>
        <v>NOITE</v>
      </c>
      <c r="T171" s="57">
        <f ca="1">IFERROR(__xludf.DUMMYFUNCTION("""COMPUTED_VALUE"""),45733)</f>
        <v>45733</v>
      </c>
      <c r="U171" s="57">
        <f ca="1">IFERROR(__xludf.DUMMYFUNCTION("""COMPUTED_VALUE"""),45860)</f>
        <v>45860</v>
      </c>
      <c r="V171" s="55"/>
      <c r="W171" s="55"/>
      <c r="X171" s="55"/>
      <c r="Y171" s="55"/>
      <c r="Z171" s="55"/>
      <c r="AA171" s="55"/>
      <c r="AB171" s="55"/>
      <c r="AC171" s="55"/>
      <c r="AD171" s="55"/>
      <c r="AE171" s="55"/>
      <c r="AF171" s="55"/>
      <c r="AG171" s="55"/>
      <c r="AH171" s="55" t="str">
        <f ca="1">IFERROR(__xludf.DUMMYFUNCTION("""COMPUTED_VALUE"""),"-")</f>
        <v>-</v>
      </c>
      <c r="AI171" s="55" t="str">
        <f ca="1">IFERROR(__xludf.DUMMYFUNCTION("""COMPUTED_VALUE"""),"MARTA VIRGINIA DE MENDONCA GOMES")</f>
        <v>MARTA VIRGINIA DE MENDONCA GOMES</v>
      </c>
      <c r="AJ171" s="55" t="str">
        <f ca="1">IFERROR(__xludf.DUMMYFUNCTION("""COMPUTED_VALUE"""),"-")</f>
        <v>-</v>
      </c>
      <c r="AK171" s="55" t="str">
        <f ca="1">IFERROR(__xludf.DUMMYFUNCTION("""COMPUTED_VALUE"""),"-")</f>
        <v>-</v>
      </c>
      <c r="AL171" s="55" t="str">
        <f ca="1">IFERROR(__xludf.DUMMYFUNCTION("""COMPUTED_VALUE"""),"JANAINA PAULINO CARREIRA CALAZANS")</f>
        <v>JANAINA PAULINO CARREIRA CALAZANS</v>
      </c>
      <c r="AM171" s="55">
        <f ca="1">IFERROR(__xludf.DUMMYFUNCTION("""COMPUTED_VALUE"""),2025)</f>
        <v>2025</v>
      </c>
      <c r="AN171" s="55"/>
    </row>
    <row r="172" spans="1:40" ht="14" x14ac:dyDescent="0.35">
      <c r="A172" s="55" t="str">
        <f t="shared" ca="1" si="0"/>
        <v xml:space="preserve"> PRINCESA ISABEL/ESCOLA MUNICIPAL DE ENSINO FUNDAMENTAL CARLOS ALBERTO MEDEIROS DUARTE SOBREIRA/VENDEDOR/NOITE</v>
      </c>
      <c r="B172" s="55" t="str">
        <f ca="1">IFERROR(__xludf.DUMMYFUNCTION("""COMPUTED_VALUE"""),"00000001535")</f>
        <v>00000001535</v>
      </c>
      <c r="C172" s="55" t="str">
        <f ca="1">IFERROR(__xludf.DUMMYFUNCTION("""COMPUTED_VALUE"""),"T-VENDEDOR/00000001535")</f>
        <v>T-VENDEDOR/00000001535</v>
      </c>
      <c r="D172" s="56" t="str">
        <f ca="1">IFERROR(__xludf.DUMMYFUNCTION("""COMPUTED_VALUE"""),"https://docs.google.com/spreadsheets/d/1xWXjRcIyYt_FWH5Vfvdr0xPk_vNVRjp7DGKjI6wysnQ")</f>
        <v>https://docs.google.com/spreadsheets/d/1xWXjRcIyYt_FWH5Vfvdr0xPk_vNVRjp7DGKjI6wysnQ</v>
      </c>
      <c r="E172" s="55" t="str">
        <f ca="1">IFERROR(__xludf.DUMMYFUNCTION("""COMPUTED_VALUE"""),"17 - PARAIBATEC FIC")</f>
        <v>17 - PARAIBATEC FIC</v>
      </c>
      <c r="F172" s="55" t="str">
        <f ca="1">IFERROR(__xludf.DUMMYFUNCTION("""COMPUTED_VALUE"""),"PARAIBATEC FIC")</f>
        <v>PARAIBATEC FIC</v>
      </c>
      <c r="G172" s="55" t="str">
        <f ca="1">IFERROR(__xludf.DUMMYFUNCTION("""COMPUTED_VALUE"""),"01 - PARAIBATEC")</f>
        <v>01 - PARAIBATEC</v>
      </c>
      <c r="H172" s="55" t="str">
        <f ca="1">IFERROR(__xludf.DUMMYFUNCTION("""COMPUTED_VALUE"""),"PARAIBATEC")</f>
        <v>PARAIBATEC</v>
      </c>
      <c r="I172" s="55" t="str">
        <f ca="1">IFERROR(__xludf.DUMMYFUNCTION("""COMPUTED_VALUE"""),"585 - ESCOLA MUNICIPAL DE ENSINO FUNDAMENTAL CARLOS ALBERTO MEDEIROS DUARTE SOBREIRA")</f>
        <v>585 - ESCOLA MUNICIPAL DE ENSINO FUNDAMENTAL CARLOS ALBERTO MEDEIROS DUARTE SOBREIRA</v>
      </c>
      <c r="J172" s="55" t="str">
        <f ca="1">IFERROR(__xludf.DUMMYFUNCTION("""COMPUTED_VALUE""")," PRINCESA ISABEL")</f>
        <v xml:space="preserve"> PRINCESA ISABEL</v>
      </c>
      <c r="K172" s="55"/>
      <c r="L172" s="55"/>
      <c r="M172" s="55" t="str">
        <f ca="1">IFERROR(__xludf.DUMMYFUNCTION("""COMPUTED_VALUE"""),"ESCOLA MUNICIPAL DE ENSINO FUNDAMENTAL CARLOS ALBERTO MEDEIROS DUARTE SOBREIRA")</f>
        <v>ESCOLA MUNICIPAL DE ENSINO FUNDAMENTAL CARLOS ALBERTO MEDEIROS DUARTE SOBREIRA</v>
      </c>
      <c r="N172" s="55">
        <f ca="1">IFERROR(__xludf.DUMMYFUNCTION("""COMPUTED_VALUE"""),221051)</f>
        <v>221051</v>
      </c>
      <c r="O172" s="55" t="str">
        <f ca="1">IFERROR(__xludf.DUMMYFUNCTION("""COMPUTED_VALUE"""),"GESTAO E NEGOCIOS")</f>
        <v>GESTAO E NEGOCIOS</v>
      </c>
      <c r="P172" s="55" t="str">
        <f ca="1">IFERROR(__xludf.DUMMYFUNCTION("""COMPUTED_VALUE"""),"VENDEDOR")</f>
        <v>VENDEDOR</v>
      </c>
      <c r="Q172" s="55" t="str">
        <f ca="1">IFERROR(__xludf.DUMMYFUNCTION("""COMPUTED_VALUE"""),"FIC")</f>
        <v>FIC</v>
      </c>
      <c r="R172" s="55">
        <f ca="1">IFERROR(__xludf.DUMMYFUNCTION("""COMPUTED_VALUE"""),160)</f>
        <v>160</v>
      </c>
      <c r="S172" s="55" t="str">
        <f ca="1">IFERROR(__xludf.DUMMYFUNCTION("""COMPUTED_VALUE"""),"NOITE")</f>
        <v>NOITE</v>
      </c>
      <c r="T172" s="57">
        <f ca="1">IFERROR(__xludf.DUMMYFUNCTION("""COMPUTED_VALUE"""),45761)</f>
        <v>45761</v>
      </c>
      <c r="U172" s="57">
        <f ca="1">IFERROR(__xludf.DUMMYFUNCTION("""COMPUTED_VALUE"""),45858)</f>
        <v>45858</v>
      </c>
      <c r="V172" s="55"/>
      <c r="W172" s="55"/>
      <c r="X172" s="55"/>
      <c r="Y172" s="55"/>
      <c r="Z172" s="55"/>
      <c r="AA172" s="55"/>
      <c r="AB172" s="55"/>
      <c r="AC172" s="55"/>
      <c r="AD172" s="55"/>
      <c r="AE172" s="55"/>
      <c r="AF172" s="55"/>
      <c r="AG172" s="55"/>
      <c r="AH172" s="55" t="str">
        <f ca="1">IFERROR(__xludf.DUMMYFUNCTION("""COMPUTED_VALUE"""),"-")</f>
        <v>-</v>
      </c>
      <c r="AI172" s="55" t="str">
        <f ca="1">IFERROR(__xludf.DUMMYFUNCTION("""COMPUTED_VALUE"""),"MARIA MARTA FERREIRA ANDRADE")</f>
        <v>MARIA MARTA FERREIRA ANDRADE</v>
      </c>
      <c r="AJ172" s="55" t="str">
        <f ca="1">IFERROR(__xludf.DUMMYFUNCTION("""COMPUTED_VALUE"""),"-")</f>
        <v>-</v>
      </c>
      <c r="AK172" s="55" t="str">
        <f ca="1">IFERROR(__xludf.DUMMYFUNCTION("""COMPUTED_VALUE"""),"-")</f>
        <v>-</v>
      </c>
      <c r="AL172" s="55" t="str">
        <f ca="1">IFERROR(__xludf.DUMMYFUNCTION("""COMPUTED_VALUE"""),"ROBSON ANTONIO MIRANDA DE LIMA")</f>
        <v>ROBSON ANTONIO MIRANDA DE LIMA</v>
      </c>
      <c r="AM172" s="55">
        <f ca="1">IFERROR(__xludf.DUMMYFUNCTION("""COMPUTED_VALUE"""),2025)</f>
        <v>2025</v>
      </c>
      <c r="AN172" s="55"/>
    </row>
    <row r="173" spans="1:40" ht="14" x14ac:dyDescent="0.35">
      <c r="A173" s="55" t="str">
        <f t="shared" ca="1" si="0"/>
        <v xml:space="preserve"> CABEDELO/PORTO CIDADE/ASSISTENTE ADMINISTRATIVO/TARDE</v>
      </c>
      <c r="B173" s="55" t="str">
        <f ca="1">IFERROR(__xludf.DUMMYFUNCTION("""COMPUTED_VALUE"""),"00000001536")</f>
        <v>00000001536</v>
      </c>
      <c r="C173" s="55" t="str">
        <f ca="1">IFERROR(__xludf.DUMMYFUNCTION("""COMPUTED_VALUE"""),"T-ASSISTENTE ADMINISTRATIVO/00000001536")</f>
        <v>T-ASSISTENTE ADMINISTRATIVO/00000001536</v>
      </c>
      <c r="D173" s="56" t="str">
        <f ca="1">IFERROR(__xludf.DUMMYFUNCTION("""COMPUTED_VALUE"""),"https://docs.google.com/spreadsheets/d/1QlIuW_gTyAZEax8SZL1Xur2ga-6I5Zb1M0xXqwe_X4o")</f>
        <v>https://docs.google.com/spreadsheets/d/1QlIuW_gTyAZEax8SZL1Xur2ga-6I5Zb1M0xXqwe_X4o</v>
      </c>
      <c r="E173" s="55" t="str">
        <f ca="1">IFERROR(__xludf.DUMMYFUNCTION("""COMPUTED_VALUE"""),"17 - PARAIBATEC FIC")</f>
        <v>17 - PARAIBATEC FIC</v>
      </c>
      <c r="F173" s="55" t="str">
        <f ca="1">IFERROR(__xludf.DUMMYFUNCTION("""COMPUTED_VALUE"""),"PARAIBATEC FIC")</f>
        <v>PARAIBATEC FIC</v>
      </c>
      <c r="G173" s="55" t="str">
        <f ca="1">IFERROR(__xludf.DUMMYFUNCTION("""COMPUTED_VALUE"""),"01 - PARAIBATEC")</f>
        <v>01 - PARAIBATEC</v>
      </c>
      <c r="H173" s="55" t="str">
        <f ca="1">IFERROR(__xludf.DUMMYFUNCTION("""COMPUTED_VALUE"""),"PARAIBATEC")</f>
        <v>PARAIBATEC</v>
      </c>
      <c r="I173" s="55" t="str">
        <f ca="1">IFERROR(__xludf.DUMMYFUNCTION("""COMPUTED_VALUE"""),"494 - PORTO CIDADE")</f>
        <v>494 - PORTO CIDADE</v>
      </c>
      <c r="J173" s="55" t="str">
        <f ca="1">IFERROR(__xludf.DUMMYFUNCTION("""COMPUTED_VALUE""")," CABEDELO")</f>
        <v xml:space="preserve"> CABEDELO</v>
      </c>
      <c r="K173" s="55"/>
      <c r="L173" s="55"/>
      <c r="M173" s="55" t="str">
        <f ca="1">IFERROR(__xludf.DUMMYFUNCTION("""COMPUTED_VALUE"""),"PORTO CIDADE")</f>
        <v>PORTO CIDADE</v>
      </c>
      <c r="N173" s="55">
        <f ca="1">IFERROR(__xludf.DUMMYFUNCTION("""COMPUTED_VALUE"""),221012)</f>
        <v>221012</v>
      </c>
      <c r="O173" s="55" t="str">
        <f ca="1">IFERROR(__xludf.DUMMYFUNCTION("""COMPUTED_VALUE"""),"GESTAO E NEGOCIOS")</f>
        <v>GESTAO E NEGOCIOS</v>
      </c>
      <c r="P173" s="55" t="str">
        <f ca="1">IFERROR(__xludf.DUMMYFUNCTION("""COMPUTED_VALUE"""),"ASSISTENTE ADMINISTRATIVO")</f>
        <v>ASSISTENTE ADMINISTRATIVO</v>
      </c>
      <c r="Q173" s="55" t="str">
        <f ca="1">IFERROR(__xludf.DUMMYFUNCTION("""COMPUTED_VALUE"""),"FIC")</f>
        <v>FIC</v>
      </c>
      <c r="R173" s="55">
        <f ca="1">IFERROR(__xludf.DUMMYFUNCTION("""COMPUTED_VALUE"""),160)</f>
        <v>160</v>
      </c>
      <c r="S173" s="55" t="str">
        <f ca="1">IFERROR(__xludf.DUMMYFUNCTION("""COMPUTED_VALUE"""),"TARDE")</f>
        <v>TARDE</v>
      </c>
      <c r="T173" s="57">
        <f ca="1">IFERROR(__xludf.DUMMYFUNCTION("""COMPUTED_VALUE"""),45754)</f>
        <v>45754</v>
      </c>
      <c r="U173" s="57">
        <f ca="1">IFERROR(__xludf.DUMMYFUNCTION("""COMPUTED_VALUE"""),45833)</f>
        <v>45833</v>
      </c>
      <c r="V173" s="55"/>
      <c r="W173" s="55"/>
      <c r="X173" s="55"/>
      <c r="Y173" s="55"/>
      <c r="Z173" s="55"/>
      <c r="AA173" s="55"/>
      <c r="AB173" s="55"/>
      <c r="AC173" s="55"/>
      <c r="AD173" s="55"/>
      <c r="AE173" s="55"/>
      <c r="AF173" s="55"/>
      <c r="AG173" s="55"/>
      <c r="AH173" s="55" t="str">
        <f ca="1">IFERROR(__xludf.DUMMYFUNCTION("""COMPUTED_VALUE"""),"-")</f>
        <v>-</v>
      </c>
      <c r="AI173" s="55" t="str">
        <f ca="1">IFERROR(__xludf.DUMMYFUNCTION("""COMPUTED_VALUE"""),"EDSON VELOSO PERES")</f>
        <v>EDSON VELOSO PERES</v>
      </c>
      <c r="AJ173" s="55" t="str">
        <f ca="1">IFERROR(__xludf.DUMMYFUNCTION("""COMPUTED_VALUE"""),"-")</f>
        <v>-</v>
      </c>
      <c r="AK173" s="55" t="str">
        <f ca="1">IFERROR(__xludf.DUMMYFUNCTION("""COMPUTED_VALUE"""),"-")</f>
        <v>-</v>
      </c>
      <c r="AL173" s="55" t="str">
        <f ca="1">IFERROR(__xludf.DUMMYFUNCTION("""COMPUTED_VALUE"""),"JACQUELINE RIBEIRO FERREIRA DE SOUSA")</f>
        <v>JACQUELINE RIBEIRO FERREIRA DE SOUSA</v>
      </c>
      <c r="AM173" s="55">
        <f ca="1">IFERROR(__xludf.DUMMYFUNCTION("""COMPUTED_VALUE"""),2025)</f>
        <v>2025</v>
      </c>
      <c r="AN173" s="55"/>
    </row>
    <row r="174" spans="1:40" ht="14" x14ac:dyDescent="0.35">
      <c r="A174" s="55" t="str">
        <f t="shared" ca="1" si="0"/>
        <v xml:space="preserve"> BARRA DE SANTA ROSA/ESCOLA CIDADA INTEGRAL TECNICA- ECIT JOSE LUIS NETO/RECEPCIONISTA EM SERVICOS DE SAUDE/NOITE</v>
      </c>
      <c r="B174" s="55" t="str">
        <f ca="1">IFERROR(__xludf.DUMMYFUNCTION("""COMPUTED_VALUE"""),"00000001537")</f>
        <v>00000001537</v>
      </c>
      <c r="C174" s="55" t="str">
        <f ca="1">IFERROR(__xludf.DUMMYFUNCTION("""COMPUTED_VALUE"""),"T-RECEPCIONISTA EM SERVICOS DE SAUDE/00000001537")</f>
        <v>T-RECEPCIONISTA EM SERVICOS DE SAUDE/00000001537</v>
      </c>
      <c r="D174" s="56" t="str">
        <f ca="1">IFERROR(__xludf.DUMMYFUNCTION("""COMPUTED_VALUE"""),"https://docs.google.com/spreadsheets/d/1G5iXmYy9W0nqM_ieDLrpttzm2vvfsoGNZCZM3wNl8Po")</f>
        <v>https://docs.google.com/spreadsheets/d/1G5iXmYy9W0nqM_ieDLrpttzm2vvfsoGNZCZM3wNl8Po</v>
      </c>
      <c r="E174" s="55" t="str">
        <f ca="1">IFERROR(__xludf.DUMMYFUNCTION("""COMPUTED_VALUE"""),"15 - PRONATEC FIC")</f>
        <v>15 - PRONATEC FIC</v>
      </c>
      <c r="F174" s="55" t="str">
        <f ca="1">IFERROR(__xludf.DUMMYFUNCTION("""COMPUTED_VALUE"""),"PRONATEC FIC")</f>
        <v>PRONATEC FIC</v>
      </c>
      <c r="G174" s="55" t="str">
        <f ca="1">IFERROR(__xludf.DUMMYFUNCTION("""COMPUTED_VALUE"""),"02 - PRONATEC")</f>
        <v>02 - PRONATEC</v>
      </c>
      <c r="H174" s="55" t="str">
        <f ca="1">IFERROR(__xludf.DUMMYFUNCTION("""COMPUTED_VALUE"""),"PRONATEC")</f>
        <v>PRONATEC</v>
      </c>
      <c r="I174" s="55" t="str">
        <f ca="1">IFERROR(__xludf.DUMMYFUNCTION("""COMPUTED_VALUE"""),"586 - ESCOLA CIDADA INTEGRAL TECNICA- ECIT JOSE LUIS NETO")</f>
        <v>586 - ESCOLA CIDADA INTEGRAL TECNICA- ECIT JOSE LUIS NETO</v>
      </c>
      <c r="J174" s="55" t="str">
        <f ca="1">IFERROR(__xludf.DUMMYFUNCTION("""COMPUTED_VALUE""")," BARRA DE SANTA ROSA")</f>
        <v xml:space="preserve"> BARRA DE SANTA ROSA</v>
      </c>
      <c r="K174" s="55"/>
      <c r="L174" s="55"/>
      <c r="M174" s="55" t="str">
        <f ca="1">IFERROR(__xludf.DUMMYFUNCTION("""COMPUTED_VALUE"""),"ESCOLA CIDADA INTEGRAL TECNICA- ECIT JOSE LUIS NETO")</f>
        <v>ESCOLA CIDADA INTEGRAL TECNICA- ECIT JOSE LUIS NETO</v>
      </c>
      <c r="N174" s="55">
        <f ca="1">IFERROR(__xludf.DUMMYFUNCTION("""COMPUTED_VALUE"""),221536)</f>
        <v>221536</v>
      </c>
      <c r="O174" s="55" t="str">
        <f ca="1">IFERROR(__xludf.DUMMYFUNCTION("""COMPUTED_VALUE"""),"AMBIENTE E SAUDE")</f>
        <v>AMBIENTE E SAUDE</v>
      </c>
      <c r="P174" s="55" t="str">
        <f ca="1">IFERROR(__xludf.DUMMYFUNCTION("""COMPUTED_VALUE"""),"RECEPCIONISTA EM SERVICOS DE SAUDE")</f>
        <v>RECEPCIONISTA EM SERVICOS DE SAUDE</v>
      </c>
      <c r="Q174" s="55" t="str">
        <f ca="1">IFERROR(__xludf.DUMMYFUNCTION("""COMPUTED_VALUE"""),"FIC")</f>
        <v>FIC</v>
      </c>
      <c r="R174" s="55">
        <f ca="1">IFERROR(__xludf.DUMMYFUNCTION("""COMPUTED_VALUE"""),240)</f>
        <v>240</v>
      </c>
      <c r="S174" s="55" t="str">
        <f ca="1">IFERROR(__xludf.DUMMYFUNCTION("""COMPUTED_VALUE"""),"NOITE")</f>
        <v>NOITE</v>
      </c>
      <c r="T174" s="57">
        <f ca="1">IFERROR(__xludf.DUMMYFUNCTION("""COMPUTED_VALUE"""),45782)</f>
        <v>45782</v>
      </c>
      <c r="U174" s="57">
        <f ca="1">IFERROR(__xludf.DUMMYFUNCTION("""COMPUTED_VALUE"""),45895)</f>
        <v>45895</v>
      </c>
      <c r="V174" s="55"/>
      <c r="W174" s="55"/>
      <c r="X174" s="55"/>
      <c r="Y174" s="55"/>
      <c r="Z174" s="55"/>
      <c r="AA174" s="55"/>
      <c r="AB174" s="55"/>
      <c r="AC174" s="55"/>
      <c r="AD174" s="55"/>
      <c r="AE174" s="55"/>
      <c r="AF174" s="55"/>
      <c r="AG174" s="55"/>
      <c r="AH174" s="55" t="str">
        <f ca="1">IFERROR(__xludf.DUMMYFUNCTION("""COMPUTED_VALUE"""),"-")</f>
        <v>-</v>
      </c>
      <c r="AI174" s="55" t="str">
        <f ca="1">IFERROR(__xludf.DUMMYFUNCTION("""COMPUTED_VALUE"""),"EDJANEIDE SILVA FREITAS")</f>
        <v>EDJANEIDE SILVA FREITAS</v>
      </c>
      <c r="AJ174" s="55" t="str">
        <f ca="1">IFERROR(__xludf.DUMMYFUNCTION("""COMPUTED_VALUE"""),"-")</f>
        <v>-</v>
      </c>
      <c r="AK174" s="55" t="str">
        <f ca="1">IFERROR(__xludf.DUMMYFUNCTION("""COMPUTED_VALUE"""),"-")</f>
        <v>-</v>
      </c>
      <c r="AL174" s="55" t="str">
        <f ca="1">IFERROR(__xludf.DUMMYFUNCTION("""COMPUTED_VALUE"""),"EDILZA SILVA MARTINS")</f>
        <v>EDILZA SILVA MARTINS</v>
      </c>
      <c r="AM174" s="55">
        <f ca="1">IFERROR(__xludf.DUMMYFUNCTION("""COMPUTED_VALUE"""),2025)</f>
        <v>2025</v>
      </c>
      <c r="AN174" s="55"/>
    </row>
    <row r="175" spans="1:40" ht="14" x14ac:dyDescent="0.35">
      <c r="A175" s="55" t="str">
        <f t="shared" ca="1" si="0"/>
        <v xml:space="preserve"> CABEDELO/PORTO QUE EDUCA/ESPANHOL INTERMEDIARIO/NOITE</v>
      </c>
      <c r="B175" s="55" t="str">
        <f ca="1">IFERROR(__xludf.DUMMYFUNCTION("""COMPUTED_VALUE"""),"00000001538")</f>
        <v>00000001538</v>
      </c>
      <c r="C175" s="55" t="str">
        <f ca="1">IFERROR(__xludf.DUMMYFUNCTION("""COMPUTED_VALUE"""),"T-ESPANHOL INTERMEDIARIO/00000001538")</f>
        <v>T-ESPANHOL INTERMEDIARIO/00000001538</v>
      </c>
      <c r="D175" s="56" t="str">
        <f ca="1">IFERROR(__xludf.DUMMYFUNCTION("""COMPUTED_VALUE"""),"https://docs.google.com/spreadsheets/d/18QG7yAUANvgNIgCMwNTp7OFpHoVCISIZSWPzKV6GkJs")</f>
        <v>https://docs.google.com/spreadsheets/d/18QG7yAUANvgNIgCMwNTp7OFpHoVCISIZSWPzKV6GkJs</v>
      </c>
      <c r="E175" s="55" t="str">
        <f ca="1">IFERROR(__xludf.DUMMYFUNCTION("""COMPUTED_VALUE"""),"15 - PRONATEC FIC")</f>
        <v>15 - PRONATEC FIC</v>
      </c>
      <c r="F175" s="55" t="str">
        <f ca="1">IFERROR(__xludf.DUMMYFUNCTION("""COMPUTED_VALUE"""),"PRONATEC FIC")</f>
        <v>PRONATEC FIC</v>
      </c>
      <c r="G175" s="55" t="str">
        <f ca="1">IFERROR(__xludf.DUMMYFUNCTION("""COMPUTED_VALUE"""),"02 - PRONATEC")</f>
        <v>02 - PRONATEC</v>
      </c>
      <c r="H175" s="55" t="str">
        <f ca="1">IFERROR(__xludf.DUMMYFUNCTION("""COMPUTED_VALUE"""),"PRONATEC")</f>
        <v>PRONATEC</v>
      </c>
      <c r="I175" s="55" t="str">
        <f ca="1">IFERROR(__xludf.DUMMYFUNCTION("""COMPUTED_VALUE"""),"403 - PORTO QUE EDUCA")</f>
        <v>403 - PORTO QUE EDUCA</v>
      </c>
      <c r="J175" s="55" t="str">
        <f ca="1">IFERROR(__xludf.DUMMYFUNCTION("""COMPUTED_VALUE""")," CABEDELO")</f>
        <v xml:space="preserve"> CABEDELO</v>
      </c>
      <c r="K175" s="55"/>
      <c r="L175" s="55"/>
      <c r="M175" s="55" t="str">
        <f ca="1">IFERROR(__xludf.DUMMYFUNCTION("""COMPUTED_VALUE"""),"PORTO QUE EDUCA")</f>
        <v>PORTO QUE EDUCA</v>
      </c>
      <c r="N175" s="55">
        <f ca="1">IFERROR(__xludf.DUMMYFUNCTION("""COMPUTED_VALUE"""),221394)</f>
        <v>221394</v>
      </c>
      <c r="O175" s="55" t="str">
        <f ca="1">IFERROR(__xludf.DUMMYFUNCTION("""COMPUTED_VALUE"""),"DESENVOLVIMENTO EDUCACIONAL E SOCIAL")</f>
        <v>DESENVOLVIMENTO EDUCACIONAL E SOCIAL</v>
      </c>
      <c r="P175" s="55" t="str">
        <f ca="1">IFERROR(__xludf.DUMMYFUNCTION("""COMPUTED_VALUE"""),"ESPANHOL INTERMEDIARIO")</f>
        <v>ESPANHOL INTERMEDIARIO</v>
      </c>
      <c r="Q175" s="55" t="str">
        <f ca="1">IFERROR(__xludf.DUMMYFUNCTION("""COMPUTED_VALUE"""),"FIC")</f>
        <v>FIC</v>
      </c>
      <c r="R175" s="55">
        <f ca="1">IFERROR(__xludf.DUMMYFUNCTION("""COMPUTED_VALUE"""),160)</f>
        <v>160</v>
      </c>
      <c r="S175" s="55" t="str">
        <f ca="1">IFERROR(__xludf.DUMMYFUNCTION("""COMPUTED_VALUE"""),"NOITE")</f>
        <v>NOITE</v>
      </c>
      <c r="T175" s="57">
        <f ca="1">IFERROR(__xludf.DUMMYFUNCTION("""COMPUTED_VALUE"""),45782)</f>
        <v>45782</v>
      </c>
      <c r="U175" s="57">
        <f ca="1">IFERROR(__xludf.DUMMYFUNCTION("""COMPUTED_VALUE"""),45859)</f>
        <v>45859</v>
      </c>
      <c r="V175" s="55"/>
      <c r="W175" s="55"/>
      <c r="X175" s="55"/>
      <c r="Y175" s="55"/>
      <c r="Z175" s="55"/>
      <c r="AA175" s="55"/>
      <c r="AB175" s="55"/>
      <c r="AC175" s="55"/>
      <c r="AD175" s="55"/>
      <c r="AE175" s="55"/>
      <c r="AF175" s="55"/>
      <c r="AG175" s="55"/>
      <c r="AH175" s="55" t="str">
        <f ca="1">IFERROR(__xludf.DUMMYFUNCTION("""COMPUTED_VALUE"""),"-")</f>
        <v>-</v>
      </c>
      <c r="AI175" s="55" t="str">
        <f ca="1">IFERROR(__xludf.DUMMYFUNCTION("""COMPUTED_VALUE"""),"ALTEMIR TOMAZ DE CARVALHO GARCIA")</f>
        <v>ALTEMIR TOMAZ DE CARVALHO GARCIA</v>
      </c>
      <c r="AJ175" s="55" t="str">
        <f ca="1">IFERROR(__xludf.DUMMYFUNCTION("""COMPUTED_VALUE"""),"-")</f>
        <v>-</v>
      </c>
      <c r="AK175" s="55" t="str">
        <f ca="1">IFERROR(__xludf.DUMMYFUNCTION("""COMPUTED_VALUE"""),"-")</f>
        <v>-</v>
      </c>
      <c r="AL175" s="55" t="str">
        <f ca="1">IFERROR(__xludf.DUMMYFUNCTION("""COMPUTED_VALUE"""),"THAISA RAFAELA COSTA DOS SANTOS")</f>
        <v>THAISA RAFAELA COSTA DOS SANTOS</v>
      </c>
      <c r="AM175" s="55">
        <f ca="1">IFERROR(__xludf.DUMMYFUNCTION("""COMPUTED_VALUE"""),2025)</f>
        <v>2025</v>
      </c>
      <c r="AN175" s="55"/>
    </row>
    <row r="176" spans="1:40" ht="14" x14ac:dyDescent="0.35">
      <c r="A176" s="55" t="str">
        <f t="shared" ca="1" si="0"/>
        <v xml:space="preserve"> CABEDELO/PORTO QUE EDUCA/ASSISTENTE DE OPERACAO DE LOGISTICA PORTUARIA/NOITE</v>
      </c>
      <c r="B176" s="55" t="str">
        <f ca="1">IFERROR(__xludf.DUMMYFUNCTION("""COMPUTED_VALUE"""),"00000001539")</f>
        <v>00000001539</v>
      </c>
      <c r="C176" s="55" t="str">
        <f ca="1">IFERROR(__xludf.DUMMYFUNCTION("""COMPUTED_VALUE"""),"T-ASSISTENTE DE OPERACAO DE LOGISTICA PORTUARIA/00000001539")</f>
        <v>T-ASSISTENTE DE OPERACAO DE LOGISTICA PORTUARIA/00000001539</v>
      </c>
      <c r="D176" s="56" t="str">
        <f ca="1">IFERROR(__xludf.DUMMYFUNCTION("""COMPUTED_VALUE"""),"https://docs.google.com/spreadsheets/d/1LZ7BqYauTSgF83Sp5jQ3QfyAiJfTiopagMk5B6v40jY")</f>
        <v>https://docs.google.com/spreadsheets/d/1LZ7BqYauTSgF83Sp5jQ3QfyAiJfTiopagMk5B6v40jY</v>
      </c>
      <c r="E176" s="55" t="str">
        <f ca="1">IFERROR(__xludf.DUMMYFUNCTION("""COMPUTED_VALUE"""),"15 - PRONATEC FIC")</f>
        <v>15 - PRONATEC FIC</v>
      </c>
      <c r="F176" s="55" t="str">
        <f ca="1">IFERROR(__xludf.DUMMYFUNCTION("""COMPUTED_VALUE"""),"PRONATEC FIC")</f>
        <v>PRONATEC FIC</v>
      </c>
      <c r="G176" s="55" t="str">
        <f ca="1">IFERROR(__xludf.DUMMYFUNCTION("""COMPUTED_VALUE"""),"02 - PRONATEC")</f>
        <v>02 - PRONATEC</v>
      </c>
      <c r="H176" s="55" t="str">
        <f ca="1">IFERROR(__xludf.DUMMYFUNCTION("""COMPUTED_VALUE"""),"PRONATEC")</f>
        <v>PRONATEC</v>
      </c>
      <c r="I176" s="55" t="str">
        <f ca="1">IFERROR(__xludf.DUMMYFUNCTION("""COMPUTED_VALUE"""),"403 - PORTO QUE EDUCA")</f>
        <v>403 - PORTO QUE EDUCA</v>
      </c>
      <c r="J176" s="55" t="str">
        <f ca="1">IFERROR(__xludf.DUMMYFUNCTION("""COMPUTED_VALUE""")," CABEDELO")</f>
        <v xml:space="preserve"> CABEDELO</v>
      </c>
      <c r="K176" s="55"/>
      <c r="L176" s="55"/>
      <c r="M176" s="55" t="str">
        <f ca="1">IFERROR(__xludf.DUMMYFUNCTION("""COMPUTED_VALUE"""),"PORTO QUE EDUCA")</f>
        <v>PORTO QUE EDUCA</v>
      </c>
      <c r="N176" s="55">
        <f ca="1">IFERROR(__xludf.DUMMYFUNCTION("""COMPUTED_VALUE"""),221473)</f>
        <v>221473</v>
      </c>
      <c r="O176" s="55" t="str">
        <f ca="1">IFERROR(__xludf.DUMMYFUNCTION("""COMPUTED_VALUE"""),"INFRAESTRUTURA")</f>
        <v>INFRAESTRUTURA</v>
      </c>
      <c r="P176" s="55" t="str">
        <f ca="1">IFERROR(__xludf.DUMMYFUNCTION("""COMPUTED_VALUE"""),"ASSISTENTE DE OPERACAO DE LOGISTICA PORTUARIA")</f>
        <v>ASSISTENTE DE OPERACAO DE LOGISTICA PORTUARIA</v>
      </c>
      <c r="Q176" s="55" t="str">
        <f ca="1">IFERROR(__xludf.DUMMYFUNCTION("""COMPUTED_VALUE"""),"FIC")</f>
        <v>FIC</v>
      </c>
      <c r="R176" s="55">
        <f ca="1">IFERROR(__xludf.DUMMYFUNCTION("""COMPUTED_VALUE"""),160)</f>
        <v>160</v>
      </c>
      <c r="S176" s="55" t="str">
        <f ca="1">IFERROR(__xludf.DUMMYFUNCTION("""COMPUTED_VALUE"""),"NOITE")</f>
        <v>NOITE</v>
      </c>
      <c r="T176" s="57">
        <f ca="1">IFERROR(__xludf.DUMMYFUNCTION("""COMPUTED_VALUE"""),45782)</f>
        <v>45782</v>
      </c>
      <c r="U176" s="57">
        <f ca="1">IFERROR(__xludf.DUMMYFUNCTION("""COMPUTED_VALUE"""),45859)</f>
        <v>45859</v>
      </c>
      <c r="V176" s="55"/>
      <c r="W176" s="55"/>
      <c r="X176" s="55"/>
      <c r="Y176" s="55"/>
      <c r="Z176" s="55"/>
      <c r="AA176" s="55"/>
      <c r="AB176" s="55"/>
      <c r="AC176" s="55"/>
      <c r="AD176" s="55"/>
      <c r="AE176" s="55"/>
      <c r="AF176" s="55"/>
      <c r="AG176" s="55"/>
      <c r="AH176" s="55" t="str">
        <f ca="1">IFERROR(__xludf.DUMMYFUNCTION("""COMPUTED_VALUE"""),"-")</f>
        <v>-</v>
      </c>
      <c r="AI176" s="55" t="str">
        <f ca="1">IFERROR(__xludf.DUMMYFUNCTION("""COMPUTED_VALUE"""),"ALTEMIR TOMAZ DE CARVALHO GARCIA")</f>
        <v>ALTEMIR TOMAZ DE CARVALHO GARCIA</v>
      </c>
      <c r="AJ176" s="55" t="str">
        <f ca="1">IFERROR(__xludf.DUMMYFUNCTION("""COMPUTED_VALUE"""),"-")</f>
        <v>-</v>
      </c>
      <c r="AK176" s="55" t="str">
        <f ca="1">IFERROR(__xludf.DUMMYFUNCTION("""COMPUTED_VALUE"""),"-")</f>
        <v>-</v>
      </c>
      <c r="AL176" s="55" t="str">
        <f ca="1">IFERROR(__xludf.DUMMYFUNCTION("""COMPUTED_VALUE"""),"OSMAR PEREIRA DA SILVA")</f>
        <v>OSMAR PEREIRA DA SILVA</v>
      </c>
      <c r="AM176" s="55">
        <f ca="1">IFERROR(__xludf.DUMMYFUNCTION("""COMPUTED_VALUE"""),2025)</f>
        <v>2025</v>
      </c>
      <c r="AN176" s="55"/>
    </row>
    <row r="177" spans="1:40" ht="14" x14ac:dyDescent="0.35">
      <c r="A177" s="55" t="str">
        <f t="shared" ca="1" si="0"/>
        <v xml:space="preserve"> CONCEICAO/ESCOLA ESTADUAL DE ENSINO FUNDAMENTAL JOSE LEITE/ASSISTENTE ADMINISTRATIVO/NOITE</v>
      </c>
      <c r="B177" s="55" t="str">
        <f ca="1">IFERROR(__xludf.DUMMYFUNCTION("""COMPUTED_VALUE"""),"00000001540")</f>
        <v>00000001540</v>
      </c>
      <c r="C177" s="55" t="str">
        <f ca="1">IFERROR(__xludf.DUMMYFUNCTION("""COMPUTED_VALUE"""),"T-ASSISTENTE ADMINISTRATIVO/00000001540")</f>
        <v>T-ASSISTENTE ADMINISTRATIVO/00000001540</v>
      </c>
      <c r="D177" s="56" t="str">
        <f ca="1">IFERROR(__xludf.DUMMYFUNCTION("""COMPUTED_VALUE"""),"https://docs.google.com/spreadsheets/d/1_073m75DS73-a_fQkCLTA7taeh3wRXhYg5XK1MWKY5U")</f>
        <v>https://docs.google.com/spreadsheets/d/1_073m75DS73-a_fQkCLTA7taeh3wRXhYg5XK1MWKY5U</v>
      </c>
      <c r="E177" s="55" t="str">
        <f ca="1">IFERROR(__xludf.DUMMYFUNCTION("""COMPUTED_VALUE"""),"15 - PRONATEC FIC")</f>
        <v>15 - PRONATEC FIC</v>
      </c>
      <c r="F177" s="55" t="str">
        <f ca="1">IFERROR(__xludf.DUMMYFUNCTION("""COMPUTED_VALUE"""),"PRONATEC FIC")</f>
        <v>PRONATEC FIC</v>
      </c>
      <c r="G177" s="55" t="str">
        <f ca="1">IFERROR(__xludf.DUMMYFUNCTION("""COMPUTED_VALUE"""),"02 - PRONATEC")</f>
        <v>02 - PRONATEC</v>
      </c>
      <c r="H177" s="55" t="str">
        <f ca="1">IFERROR(__xludf.DUMMYFUNCTION("""COMPUTED_VALUE"""),"PRONATEC")</f>
        <v>PRONATEC</v>
      </c>
      <c r="I177" s="55" t="str">
        <f ca="1">IFERROR(__xludf.DUMMYFUNCTION("""COMPUTED_VALUE"""),"467 - ESCOLA ESTADUAL DE ENSINO FUNDAMENTAL JOSE LEITE")</f>
        <v>467 - ESCOLA ESTADUAL DE ENSINO FUNDAMENTAL JOSE LEITE</v>
      </c>
      <c r="J177" s="55" t="str">
        <f ca="1">IFERROR(__xludf.DUMMYFUNCTION("""COMPUTED_VALUE""")," CONCEICAO")</f>
        <v xml:space="preserve"> CONCEICAO</v>
      </c>
      <c r="K177" s="55"/>
      <c r="L177" s="55"/>
      <c r="M177" s="55" t="str">
        <f ca="1">IFERROR(__xludf.DUMMYFUNCTION("""COMPUTED_VALUE"""),"ESCOLA ESTADUAL DE ENSINO FUNDAMENTAL JOSE LEITE")</f>
        <v>ESCOLA ESTADUAL DE ENSINO FUNDAMENTAL JOSE LEITE</v>
      </c>
      <c r="N177" s="55">
        <f ca="1">IFERROR(__xludf.DUMMYFUNCTION("""COMPUTED_VALUE"""),221012)</f>
        <v>221012</v>
      </c>
      <c r="O177" s="55" t="str">
        <f ca="1">IFERROR(__xludf.DUMMYFUNCTION("""COMPUTED_VALUE"""),"GESTAO E NEGOCIOS")</f>
        <v>GESTAO E NEGOCIOS</v>
      </c>
      <c r="P177" s="55" t="str">
        <f ca="1">IFERROR(__xludf.DUMMYFUNCTION("""COMPUTED_VALUE"""),"ASSISTENTE ADMINISTRATIVO")</f>
        <v>ASSISTENTE ADMINISTRATIVO</v>
      </c>
      <c r="Q177" s="55" t="str">
        <f ca="1">IFERROR(__xludf.DUMMYFUNCTION("""COMPUTED_VALUE"""),"FIC")</f>
        <v>FIC</v>
      </c>
      <c r="R177" s="55">
        <f ca="1">IFERROR(__xludf.DUMMYFUNCTION("""COMPUTED_VALUE"""),160)</f>
        <v>160</v>
      </c>
      <c r="S177" s="55" t="str">
        <f ca="1">IFERROR(__xludf.DUMMYFUNCTION("""COMPUTED_VALUE"""),"NOITE")</f>
        <v>NOITE</v>
      </c>
      <c r="T177" s="57">
        <f ca="1">IFERROR(__xludf.DUMMYFUNCTION("""COMPUTED_VALUE"""),45782)</f>
        <v>45782</v>
      </c>
      <c r="U177" s="57">
        <f ca="1">IFERROR(__xludf.DUMMYFUNCTION("""COMPUTED_VALUE"""),45859)</f>
        <v>45859</v>
      </c>
      <c r="V177" s="55"/>
      <c r="W177" s="55"/>
      <c r="X177" s="55"/>
      <c r="Y177" s="55"/>
      <c r="Z177" s="55"/>
      <c r="AA177" s="55"/>
      <c r="AB177" s="55"/>
      <c r="AC177" s="55"/>
      <c r="AD177" s="55"/>
      <c r="AE177" s="55"/>
      <c r="AF177" s="55"/>
      <c r="AG177" s="55"/>
      <c r="AH177" s="55" t="str">
        <f ca="1">IFERROR(__xludf.DUMMYFUNCTION("""COMPUTED_VALUE"""),"-")</f>
        <v>-</v>
      </c>
      <c r="AI177" s="55" t="str">
        <f ca="1">IFERROR(__xludf.DUMMYFUNCTION("""COMPUTED_VALUE"""),"KAYO DA SILVA JACOBINO")</f>
        <v>KAYO DA SILVA JACOBINO</v>
      </c>
      <c r="AJ177" s="55" t="str">
        <f ca="1">IFERROR(__xludf.DUMMYFUNCTION("""COMPUTED_VALUE"""),"-")</f>
        <v>-</v>
      </c>
      <c r="AK177" s="55" t="str">
        <f ca="1">IFERROR(__xludf.DUMMYFUNCTION("""COMPUTED_VALUE"""),"-")</f>
        <v>-</v>
      </c>
      <c r="AL177" s="55" t="str">
        <f ca="1">IFERROR(__xludf.DUMMYFUNCTION("""COMPUTED_VALUE"""),"ALBEMARIA LECIA ALVES LEITE")</f>
        <v>ALBEMARIA LECIA ALVES LEITE</v>
      </c>
      <c r="AM177" s="55">
        <f ca="1">IFERROR(__xludf.DUMMYFUNCTION("""COMPUTED_VALUE"""),2025)</f>
        <v>2025</v>
      </c>
      <c r="AN177" s="55"/>
    </row>
    <row r="178" spans="1:40" ht="14" x14ac:dyDescent="0.35">
      <c r="A178" s="55" t="str">
        <f t="shared" ca="1" si="0"/>
        <v xml:space="preserve"> CONDADO/ECIT DR. TRAJANO PIRES DA NOBREGA/MICROEMPREENDEDOR INDIVIDUAL (MEI)/MANHA</v>
      </c>
      <c r="B178" s="55" t="str">
        <f ca="1">IFERROR(__xludf.DUMMYFUNCTION("""COMPUTED_VALUE"""),"00000001541")</f>
        <v>00000001541</v>
      </c>
      <c r="C178" s="55" t="str">
        <f ca="1">IFERROR(__xludf.DUMMYFUNCTION("""COMPUTED_VALUE"""),"T-MICROEMPREENDEDOR INDIVIDUAL (MEI)/00000001541")</f>
        <v>T-MICROEMPREENDEDOR INDIVIDUAL (MEI)/00000001541</v>
      </c>
      <c r="D178" s="56" t="str">
        <f ca="1">IFERROR(__xludf.DUMMYFUNCTION("""COMPUTED_VALUE"""),"https://docs.google.com/spreadsheets/d/1EorS1t_tA44KmK-G_W_yrF-ccH_hDAtibkNeBSgcbhc")</f>
        <v>https://docs.google.com/spreadsheets/d/1EorS1t_tA44KmK-G_W_yrF-ccH_hDAtibkNeBSgcbhc</v>
      </c>
      <c r="E178" s="55" t="str">
        <f ca="1">IFERROR(__xludf.DUMMYFUNCTION("""COMPUTED_VALUE"""),"15 - PRONATEC FIC")</f>
        <v>15 - PRONATEC FIC</v>
      </c>
      <c r="F178" s="55" t="str">
        <f ca="1">IFERROR(__xludf.DUMMYFUNCTION("""COMPUTED_VALUE"""),"PRONATEC FIC")</f>
        <v>PRONATEC FIC</v>
      </c>
      <c r="G178" s="55" t="str">
        <f ca="1">IFERROR(__xludf.DUMMYFUNCTION("""COMPUTED_VALUE"""),"02 - PRONATEC")</f>
        <v>02 - PRONATEC</v>
      </c>
      <c r="H178" s="55" t="str">
        <f ca="1">IFERROR(__xludf.DUMMYFUNCTION("""COMPUTED_VALUE"""),"PRONATEC")</f>
        <v>PRONATEC</v>
      </c>
      <c r="I178" s="55" t="str">
        <f ca="1">IFERROR(__xludf.DUMMYFUNCTION("""COMPUTED_VALUE"""),"503 - ECIT DR. TRAJANO PIRES DA NOBREGA")</f>
        <v>503 - ECIT DR. TRAJANO PIRES DA NOBREGA</v>
      </c>
      <c r="J178" s="55" t="str">
        <f ca="1">IFERROR(__xludf.DUMMYFUNCTION("""COMPUTED_VALUE""")," CONDADO")</f>
        <v xml:space="preserve"> CONDADO</v>
      </c>
      <c r="K178" s="55"/>
      <c r="L178" s="55"/>
      <c r="M178" s="55" t="str">
        <f ca="1">IFERROR(__xludf.DUMMYFUNCTION("""COMPUTED_VALUE"""),"ECIT DR. TRAJANO PIRES DA NOBREGA")</f>
        <v>ECIT DR. TRAJANO PIRES DA NOBREGA</v>
      </c>
      <c r="N178" s="55">
        <f ca="1">IFERROR(__xludf.DUMMYFUNCTION("""COMPUTED_VALUE"""),278099)</f>
        <v>278099</v>
      </c>
      <c r="O178" s="55" t="str">
        <f ca="1">IFERROR(__xludf.DUMMYFUNCTION("""COMPUTED_VALUE"""),"GESTAO E NEGOCIOS")</f>
        <v>GESTAO E NEGOCIOS</v>
      </c>
      <c r="P178" s="55" t="str">
        <f ca="1">IFERROR(__xludf.DUMMYFUNCTION("""COMPUTED_VALUE"""),"MICROEMPREENDEDOR INDIVIDUAL (MEI)")</f>
        <v>MICROEMPREENDEDOR INDIVIDUAL (MEI)</v>
      </c>
      <c r="Q178" s="55" t="str">
        <f ca="1">IFERROR(__xludf.DUMMYFUNCTION("""COMPUTED_VALUE"""),"FIC")</f>
        <v>FIC</v>
      </c>
      <c r="R178" s="55">
        <f ca="1">IFERROR(__xludf.DUMMYFUNCTION("""COMPUTED_VALUE"""),160)</f>
        <v>160</v>
      </c>
      <c r="S178" s="55" t="str">
        <f ca="1">IFERROR(__xludf.DUMMYFUNCTION("""COMPUTED_VALUE"""),"MANHA")</f>
        <v>MANHA</v>
      </c>
      <c r="T178" s="57">
        <f ca="1">IFERROR(__xludf.DUMMYFUNCTION("""COMPUTED_VALUE"""),45782)</f>
        <v>45782</v>
      </c>
      <c r="U178" s="57">
        <f ca="1">IFERROR(__xludf.DUMMYFUNCTION("""COMPUTED_VALUE"""),45859)</f>
        <v>45859</v>
      </c>
      <c r="V178" s="55"/>
      <c r="W178" s="55"/>
      <c r="X178" s="55"/>
      <c r="Y178" s="55"/>
      <c r="Z178" s="55"/>
      <c r="AA178" s="55"/>
      <c r="AB178" s="55"/>
      <c r="AC178" s="55"/>
      <c r="AD178" s="55"/>
      <c r="AE178" s="55"/>
      <c r="AF178" s="55"/>
      <c r="AG178" s="55"/>
      <c r="AH178" s="55" t="str">
        <f ca="1">IFERROR(__xludf.DUMMYFUNCTION("""COMPUTED_VALUE"""),"-")</f>
        <v>-</v>
      </c>
      <c r="AI178" s="55" t="str">
        <f ca="1">IFERROR(__xludf.DUMMYFUNCTION("""COMPUTED_VALUE"""),"FRANCISCO JEFFERSON RODRIGUES ROLIM")</f>
        <v>FRANCISCO JEFFERSON RODRIGUES ROLIM</v>
      </c>
      <c r="AJ178" s="55" t="str">
        <f ca="1">IFERROR(__xludf.DUMMYFUNCTION("""COMPUTED_VALUE"""),"-")</f>
        <v>-</v>
      </c>
      <c r="AK178" s="55" t="str">
        <f ca="1">IFERROR(__xludf.DUMMYFUNCTION("""COMPUTED_VALUE"""),"-")</f>
        <v>-</v>
      </c>
      <c r="AL178" s="55" t="str">
        <f ca="1">IFERROR(__xludf.DUMMYFUNCTION("""COMPUTED_VALUE"""),"JANIELLY LUSTOSA DA SILVA")</f>
        <v>JANIELLY LUSTOSA DA SILVA</v>
      </c>
      <c r="AM178" s="55">
        <f ca="1">IFERROR(__xludf.DUMMYFUNCTION("""COMPUTED_VALUE"""),2025)</f>
        <v>2025</v>
      </c>
      <c r="AN178" s="55"/>
    </row>
    <row r="179" spans="1:40" ht="14" x14ac:dyDescent="0.35">
      <c r="A179" s="55" t="str">
        <f t="shared" ca="1" si="0"/>
        <v xml:space="preserve"> CONDE/CONDE - HOTEL ESCOLA/GARCOM/NOITE</v>
      </c>
      <c r="B179" s="55" t="str">
        <f ca="1">IFERROR(__xludf.DUMMYFUNCTION("""COMPUTED_VALUE"""),"00000001542")</f>
        <v>00000001542</v>
      </c>
      <c r="C179" s="55" t="str">
        <f ca="1">IFERROR(__xludf.DUMMYFUNCTION("""COMPUTED_VALUE"""),"T-GARCOM/00000001542")</f>
        <v>T-GARCOM/00000001542</v>
      </c>
      <c r="D179" s="56" t="str">
        <f ca="1">IFERROR(__xludf.DUMMYFUNCTION("""COMPUTED_VALUE"""),"https://docs.google.com/spreadsheets/d/1I_Skyz-knDvVWFViALX5CvGUew0MAOue2lN1U-A8zV4")</f>
        <v>https://docs.google.com/spreadsheets/d/1I_Skyz-knDvVWFViALX5CvGUew0MAOue2lN1U-A8zV4</v>
      </c>
      <c r="E179" s="55" t="str">
        <f ca="1">IFERROR(__xludf.DUMMYFUNCTION("""COMPUTED_VALUE"""),"15 - PRONATEC FIC")</f>
        <v>15 - PRONATEC FIC</v>
      </c>
      <c r="F179" s="55" t="str">
        <f ca="1">IFERROR(__xludf.DUMMYFUNCTION("""COMPUTED_VALUE"""),"PRONATEC FIC")</f>
        <v>PRONATEC FIC</v>
      </c>
      <c r="G179" s="55" t="str">
        <f ca="1">IFERROR(__xludf.DUMMYFUNCTION("""COMPUTED_VALUE"""),"02 - PRONATEC")</f>
        <v>02 - PRONATEC</v>
      </c>
      <c r="H179" s="55" t="str">
        <f ca="1">IFERROR(__xludf.DUMMYFUNCTION("""COMPUTED_VALUE"""),"PRONATEC")</f>
        <v>PRONATEC</v>
      </c>
      <c r="I179" s="55" t="str">
        <f ca="1">IFERROR(__xludf.DUMMYFUNCTION("""COMPUTED_VALUE"""),"451 - CONDE - HOTEL ESCOLA")</f>
        <v>451 - CONDE - HOTEL ESCOLA</v>
      </c>
      <c r="J179" s="55" t="str">
        <f ca="1">IFERROR(__xludf.DUMMYFUNCTION("""COMPUTED_VALUE""")," CONDE")</f>
        <v xml:space="preserve"> CONDE</v>
      </c>
      <c r="K179" s="55"/>
      <c r="L179" s="55"/>
      <c r="M179" s="55" t="str">
        <f ca="1">IFERROR(__xludf.DUMMYFUNCTION("""COMPUTED_VALUE"""),"CONDE - HOTEL ESCOLA")</f>
        <v>CONDE - HOTEL ESCOLA</v>
      </c>
      <c r="N179" s="55">
        <f ca="1">IFERROR(__xludf.DUMMYFUNCTION("""COMPUTED_VALUE"""),221530)</f>
        <v>221530</v>
      </c>
      <c r="O179" s="55" t="str">
        <f ca="1">IFERROR(__xludf.DUMMYFUNCTION("""COMPUTED_VALUE"""),"TURISMO, HOSPITALIDADE E LAZER")</f>
        <v>TURISMO, HOSPITALIDADE E LAZER</v>
      </c>
      <c r="P179" s="55" t="str">
        <f ca="1">IFERROR(__xludf.DUMMYFUNCTION("""COMPUTED_VALUE"""),"GARCOM")</f>
        <v>GARCOM</v>
      </c>
      <c r="Q179" s="55" t="str">
        <f ca="1">IFERROR(__xludf.DUMMYFUNCTION("""COMPUTED_VALUE"""),"FIC")</f>
        <v>FIC</v>
      </c>
      <c r="R179" s="55">
        <f ca="1">IFERROR(__xludf.DUMMYFUNCTION("""COMPUTED_VALUE"""),200)</f>
        <v>200</v>
      </c>
      <c r="S179" s="55" t="str">
        <f ca="1">IFERROR(__xludf.DUMMYFUNCTION("""COMPUTED_VALUE"""),"NOITE")</f>
        <v>NOITE</v>
      </c>
      <c r="T179" s="57">
        <f ca="1">IFERROR(__xludf.DUMMYFUNCTION("""COMPUTED_VALUE"""),45782)</f>
        <v>45782</v>
      </c>
      <c r="U179" s="57">
        <f ca="1">IFERROR(__xludf.DUMMYFUNCTION("""COMPUTED_VALUE"""),45876)</f>
        <v>45876</v>
      </c>
      <c r="V179" s="55"/>
      <c r="W179" s="55"/>
      <c r="X179" s="55"/>
      <c r="Y179" s="55"/>
      <c r="Z179" s="55"/>
      <c r="AA179" s="55"/>
      <c r="AB179" s="55"/>
      <c r="AC179" s="55"/>
      <c r="AD179" s="55"/>
      <c r="AE179" s="55"/>
      <c r="AF179" s="55"/>
      <c r="AG179" s="55"/>
      <c r="AH179" s="55" t="str">
        <f ca="1">IFERROR(__xludf.DUMMYFUNCTION("""COMPUTED_VALUE"""),"-")</f>
        <v>-</v>
      </c>
      <c r="AI179" s="55" t="str">
        <f ca="1">IFERROR(__xludf.DUMMYFUNCTION("""COMPUTED_VALUE"""),"ALDIS FERREIRA DE PAIVA JUNIOR")</f>
        <v>ALDIS FERREIRA DE PAIVA JUNIOR</v>
      </c>
      <c r="AJ179" s="55" t="str">
        <f ca="1">IFERROR(__xludf.DUMMYFUNCTION("""COMPUTED_VALUE"""),"-")</f>
        <v>-</v>
      </c>
      <c r="AK179" s="55" t="str">
        <f ca="1">IFERROR(__xludf.DUMMYFUNCTION("""COMPUTED_VALUE"""),"-")</f>
        <v>-</v>
      </c>
      <c r="AL179" s="55" t="str">
        <f ca="1">IFERROR(__xludf.DUMMYFUNCTION("""COMPUTED_VALUE"""),"DANYLO RAPHAEL CAVALCANTI")</f>
        <v>DANYLO RAPHAEL CAVALCANTI</v>
      </c>
      <c r="AM179" s="55">
        <f ca="1">IFERROR(__xludf.DUMMYFUNCTION("""COMPUTED_VALUE"""),2025)</f>
        <v>2025</v>
      </c>
      <c r="AN179" s="55"/>
    </row>
    <row r="180" spans="1:40" ht="14" x14ac:dyDescent="0.35">
      <c r="A180" s="55" t="str">
        <f t="shared" ca="1" si="0"/>
        <v xml:space="preserve"> CUITE/ECI ORLANDO VENANCIO DOS SANTOS/ESPANHOL BASICO/NOITE</v>
      </c>
      <c r="B180" s="55" t="str">
        <f ca="1">IFERROR(__xludf.DUMMYFUNCTION("""COMPUTED_VALUE"""),"00000001543")</f>
        <v>00000001543</v>
      </c>
      <c r="C180" s="55" t="str">
        <f ca="1">IFERROR(__xludf.DUMMYFUNCTION("""COMPUTED_VALUE"""),"T-ESPANHOL BASICO/00000001543")</f>
        <v>T-ESPANHOL BASICO/00000001543</v>
      </c>
      <c r="D180" s="56" t="str">
        <f ca="1">IFERROR(__xludf.DUMMYFUNCTION("""COMPUTED_VALUE"""),"https://docs.google.com/spreadsheets/d/1hpSYiErB9lMycIAXfL1VE0aAeFADfFrQ6I3mz0KHD9g")</f>
        <v>https://docs.google.com/spreadsheets/d/1hpSYiErB9lMycIAXfL1VE0aAeFADfFrQ6I3mz0KHD9g</v>
      </c>
      <c r="E180" s="55" t="str">
        <f ca="1">IFERROR(__xludf.DUMMYFUNCTION("""COMPUTED_VALUE"""),"15 - PRONATEC FIC")</f>
        <v>15 - PRONATEC FIC</v>
      </c>
      <c r="F180" s="55" t="str">
        <f ca="1">IFERROR(__xludf.DUMMYFUNCTION("""COMPUTED_VALUE"""),"PRONATEC FIC")</f>
        <v>PRONATEC FIC</v>
      </c>
      <c r="G180" s="55" t="str">
        <f ca="1">IFERROR(__xludf.DUMMYFUNCTION("""COMPUTED_VALUE"""),"02 - PRONATEC")</f>
        <v>02 - PRONATEC</v>
      </c>
      <c r="H180" s="55" t="str">
        <f ca="1">IFERROR(__xludf.DUMMYFUNCTION("""COMPUTED_VALUE"""),"PRONATEC")</f>
        <v>PRONATEC</v>
      </c>
      <c r="I180" s="55" t="str">
        <f ca="1">IFERROR(__xludf.DUMMYFUNCTION("""COMPUTED_VALUE"""),"587 - ECI ORLANDO VENANCIO DOS SANTOS")</f>
        <v>587 - ECI ORLANDO VENANCIO DOS SANTOS</v>
      </c>
      <c r="J180" s="55" t="str">
        <f ca="1">IFERROR(__xludf.DUMMYFUNCTION("""COMPUTED_VALUE""")," CUITE")</f>
        <v xml:space="preserve"> CUITE</v>
      </c>
      <c r="K180" s="55"/>
      <c r="L180" s="55"/>
      <c r="M180" s="55" t="str">
        <f ca="1">IFERROR(__xludf.DUMMYFUNCTION("""COMPUTED_VALUE"""),"ECI ORLANDO VENANCIO DOS SANTOS")</f>
        <v>ECI ORLANDO VENANCIO DOS SANTOS</v>
      </c>
      <c r="N180" s="55">
        <f ca="1">IFERROR(__xludf.DUMMYFUNCTION("""COMPUTED_VALUE"""),221398)</f>
        <v>221398</v>
      </c>
      <c r="O180" s="55" t="str">
        <f ca="1">IFERROR(__xludf.DUMMYFUNCTION("""COMPUTED_VALUE"""),"DESENVOLVIMENTO EDUCACIONAL E SOCIAL")</f>
        <v>DESENVOLVIMENTO EDUCACIONAL E SOCIAL</v>
      </c>
      <c r="P180" s="55" t="str">
        <f ca="1">IFERROR(__xludf.DUMMYFUNCTION("""COMPUTED_VALUE"""),"ESPANHOL BASICO")</f>
        <v>ESPANHOL BASICO</v>
      </c>
      <c r="Q180" s="55" t="str">
        <f ca="1">IFERROR(__xludf.DUMMYFUNCTION("""COMPUTED_VALUE"""),"FIC")</f>
        <v>FIC</v>
      </c>
      <c r="R180" s="55">
        <f ca="1">IFERROR(__xludf.DUMMYFUNCTION("""COMPUTED_VALUE"""),160)</f>
        <v>160</v>
      </c>
      <c r="S180" s="55" t="str">
        <f ca="1">IFERROR(__xludf.DUMMYFUNCTION("""COMPUTED_VALUE"""),"NOITE")</f>
        <v>NOITE</v>
      </c>
      <c r="T180" s="57">
        <f ca="1">IFERROR(__xludf.DUMMYFUNCTION("""COMPUTED_VALUE"""),45782)</f>
        <v>45782</v>
      </c>
      <c r="U180" s="57">
        <f ca="1">IFERROR(__xludf.DUMMYFUNCTION("""COMPUTED_VALUE"""),45859)</f>
        <v>45859</v>
      </c>
      <c r="V180" s="55"/>
      <c r="W180" s="55"/>
      <c r="X180" s="55"/>
      <c r="Y180" s="55"/>
      <c r="Z180" s="55"/>
      <c r="AA180" s="55"/>
      <c r="AB180" s="55"/>
      <c r="AC180" s="55"/>
      <c r="AD180" s="55"/>
      <c r="AE180" s="55"/>
      <c r="AF180" s="55"/>
      <c r="AG180" s="55"/>
      <c r="AH180" s="55" t="str">
        <f ca="1">IFERROR(__xludf.DUMMYFUNCTION("""COMPUTED_VALUE"""),"-")</f>
        <v>-</v>
      </c>
      <c r="AI180" s="55" t="str">
        <f ca="1">IFERROR(__xludf.DUMMYFUNCTION("""COMPUTED_VALUE"""),"JOSEANE DOS SANTOS COSTA")</f>
        <v>JOSEANE DOS SANTOS COSTA</v>
      </c>
      <c r="AJ180" s="55" t="str">
        <f ca="1">IFERROR(__xludf.DUMMYFUNCTION("""COMPUTED_VALUE"""),"-")</f>
        <v>-</v>
      </c>
      <c r="AK180" s="55" t="str">
        <f ca="1">IFERROR(__xludf.DUMMYFUNCTION("""COMPUTED_VALUE"""),"-")</f>
        <v>-</v>
      </c>
      <c r="AL180" s="55" t="str">
        <f ca="1">IFERROR(__xludf.DUMMYFUNCTION("""COMPUTED_VALUE"""),"HELDER LUCAS AQUINO PALMEIRA")</f>
        <v>HELDER LUCAS AQUINO PALMEIRA</v>
      </c>
      <c r="AM180" s="55">
        <f ca="1">IFERROR(__xludf.DUMMYFUNCTION("""COMPUTED_VALUE"""),2025)</f>
        <v>2025</v>
      </c>
      <c r="AN180" s="55"/>
    </row>
    <row r="181" spans="1:40" ht="14" x14ac:dyDescent="0.35">
      <c r="A181" s="55" t="str">
        <f t="shared" ca="1" si="0"/>
        <v xml:space="preserve"> GUARABIRA/EEEF ANTENOR NAVARRO/PROMOTOR DE VENDAS/TARDE</v>
      </c>
      <c r="B181" s="55" t="str">
        <f ca="1">IFERROR(__xludf.DUMMYFUNCTION("""COMPUTED_VALUE"""),"00000001544")</f>
        <v>00000001544</v>
      </c>
      <c r="C181" s="55" t="str">
        <f ca="1">IFERROR(__xludf.DUMMYFUNCTION("""COMPUTED_VALUE"""),"T-PROMOTOR DE VENDAS/00000001544")</f>
        <v>T-PROMOTOR DE VENDAS/00000001544</v>
      </c>
      <c r="D181" s="56" t="str">
        <f ca="1">IFERROR(__xludf.DUMMYFUNCTION("""COMPUTED_VALUE"""),"https://docs.google.com/spreadsheets/d/1vZt60Htm5H4AzoieZqyyQJpQhc_aQrnHP1YCKYfLlo0")</f>
        <v>https://docs.google.com/spreadsheets/d/1vZt60Htm5H4AzoieZqyyQJpQhc_aQrnHP1YCKYfLlo0</v>
      </c>
      <c r="E181" s="55" t="str">
        <f ca="1">IFERROR(__xludf.DUMMYFUNCTION("""COMPUTED_VALUE"""),"15 - PRONATEC FIC")</f>
        <v>15 - PRONATEC FIC</v>
      </c>
      <c r="F181" s="55" t="str">
        <f ca="1">IFERROR(__xludf.DUMMYFUNCTION("""COMPUTED_VALUE"""),"PRONATEC FIC")</f>
        <v>PRONATEC FIC</v>
      </c>
      <c r="G181" s="55" t="str">
        <f ca="1">IFERROR(__xludf.DUMMYFUNCTION("""COMPUTED_VALUE"""),"02 - PRONATEC")</f>
        <v>02 - PRONATEC</v>
      </c>
      <c r="H181" s="55" t="str">
        <f ca="1">IFERROR(__xludf.DUMMYFUNCTION("""COMPUTED_VALUE"""),"PRONATEC")</f>
        <v>PRONATEC</v>
      </c>
      <c r="I181" s="55" t="str">
        <f ca="1">IFERROR(__xludf.DUMMYFUNCTION("""COMPUTED_VALUE"""),"588 - EEEF ANTENOR NAVARRO")</f>
        <v>588 - EEEF ANTENOR NAVARRO</v>
      </c>
      <c r="J181" s="55" t="str">
        <f ca="1">IFERROR(__xludf.DUMMYFUNCTION("""COMPUTED_VALUE""")," GUARABIRA")</f>
        <v xml:space="preserve"> GUARABIRA</v>
      </c>
      <c r="K181" s="55"/>
      <c r="L181" s="55"/>
      <c r="M181" s="55" t="str">
        <f ca="1">IFERROR(__xludf.DUMMYFUNCTION("""COMPUTED_VALUE"""),"EEEF ANTENOR NAVARRO")</f>
        <v>EEEF ANTENOR NAVARRO</v>
      </c>
      <c r="N181" s="55">
        <f ca="1">IFERROR(__xludf.DUMMYFUNCTION("""COMPUTED_VALUE"""),221170)</f>
        <v>221170</v>
      </c>
      <c r="O181" s="55" t="str">
        <f ca="1">IFERROR(__xludf.DUMMYFUNCTION("""COMPUTED_VALUE"""),"GESTAO E NEGOCIOS")</f>
        <v>GESTAO E NEGOCIOS</v>
      </c>
      <c r="P181" s="55" t="str">
        <f ca="1">IFERROR(__xludf.DUMMYFUNCTION("""COMPUTED_VALUE"""),"PROMOTOR DE VENDAS")</f>
        <v>PROMOTOR DE VENDAS</v>
      </c>
      <c r="Q181" s="55" t="str">
        <f ca="1">IFERROR(__xludf.DUMMYFUNCTION("""COMPUTED_VALUE"""),"FIC")</f>
        <v>FIC</v>
      </c>
      <c r="R181" s="55">
        <f ca="1">IFERROR(__xludf.DUMMYFUNCTION("""COMPUTED_VALUE"""),160)</f>
        <v>160</v>
      </c>
      <c r="S181" s="55" t="str">
        <f ca="1">IFERROR(__xludf.DUMMYFUNCTION("""COMPUTED_VALUE"""),"TARDE")</f>
        <v>TARDE</v>
      </c>
      <c r="T181" s="57">
        <f ca="1">IFERROR(__xludf.DUMMYFUNCTION("""COMPUTED_VALUE"""),45782)</f>
        <v>45782</v>
      </c>
      <c r="U181" s="57">
        <f ca="1">IFERROR(__xludf.DUMMYFUNCTION("""COMPUTED_VALUE"""),45859)</f>
        <v>45859</v>
      </c>
      <c r="V181" s="55"/>
      <c r="W181" s="55"/>
      <c r="X181" s="55"/>
      <c r="Y181" s="55"/>
      <c r="Z181" s="55"/>
      <c r="AA181" s="55"/>
      <c r="AB181" s="55"/>
      <c r="AC181" s="55"/>
      <c r="AD181" s="55"/>
      <c r="AE181" s="55"/>
      <c r="AF181" s="55"/>
      <c r="AG181" s="55"/>
      <c r="AH181" s="55" t="str">
        <f ca="1">IFERROR(__xludf.DUMMYFUNCTION("""COMPUTED_VALUE"""),"-")</f>
        <v>-</v>
      </c>
      <c r="AI181" s="55" t="str">
        <f ca="1">IFERROR(__xludf.DUMMYFUNCTION("""COMPUTED_VALUE"""),"RUCELIO GOMES SARMENTO")</f>
        <v>RUCELIO GOMES SARMENTO</v>
      </c>
      <c r="AJ181" s="55" t="str">
        <f ca="1">IFERROR(__xludf.DUMMYFUNCTION("""COMPUTED_VALUE"""),"-")</f>
        <v>-</v>
      </c>
      <c r="AK181" s="55" t="str">
        <f ca="1">IFERROR(__xludf.DUMMYFUNCTION("""COMPUTED_VALUE"""),"-")</f>
        <v>-</v>
      </c>
      <c r="AL181" s="55" t="str">
        <f ca="1">IFERROR(__xludf.DUMMYFUNCTION("""COMPUTED_VALUE"""),"ANIELLY SOUSA ARAUJO")</f>
        <v>ANIELLY SOUSA ARAUJO</v>
      </c>
      <c r="AM181" s="55">
        <f ca="1">IFERROR(__xludf.DUMMYFUNCTION("""COMPUTED_VALUE"""),2025)</f>
        <v>2025</v>
      </c>
      <c r="AN181" s="55"/>
    </row>
    <row r="182" spans="1:40" ht="14" x14ac:dyDescent="0.35">
      <c r="A182" s="55" t="str">
        <f t="shared" ca="1" si="0"/>
        <v xml:space="preserve"> GURJAO/ESCOLA MUNICIPAL DO ENSINO FUNDAMENTAL AUREA CORREIA DE QUEIROZ/PREPARADOR DE DOCES E CONSERVAS/NOITE</v>
      </c>
      <c r="B182" s="55" t="str">
        <f ca="1">IFERROR(__xludf.DUMMYFUNCTION("""COMPUTED_VALUE"""),"00000001545")</f>
        <v>00000001545</v>
      </c>
      <c r="C182" s="55" t="str">
        <f ca="1">IFERROR(__xludf.DUMMYFUNCTION("""COMPUTED_VALUE"""),"T-PREPARADOR DE DOCES E CONSERVAS/00000001545")</f>
        <v>T-PREPARADOR DE DOCES E CONSERVAS/00000001545</v>
      </c>
      <c r="D182" s="56" t="str">
        <f ca="1">IFERROR(__xludf.DUMMYFUNCTION("""COMPUTED_VALUE"""),"https://docs.google.com/spreadsheets/d/19ykqeN7ctCCAuPG6_qrY0feiRt3cO5HTqM7s1856f4E")</f>
        <v>https://docs.google.com/spreadsheets/d/19ykqeN7ctCCAuPG6_qrY0feiRt3cO5HTqM7s1856f4E</v>
      </c>
      <c r="E182" s="55" t="str">
        <f ca="1">IFERROR(__xludf.DUMMYFUNCTION("""COMPUTED_VALUE"""),"15 - PRONATEC FIC")</f>
        <v>15 - PRONATEC FIC</v>
      </c>
      <c r="F182" s="55" t="str">
        <f ca="1">IFERROR(__xludf.DUMMYFUNCTION("""COMPUTED_VALUE"""),"PRONATEC FIC")</f>
        <v>PRONATEC FIC</v>
      </c>
      <c r="G182" s="55" t="str">
        <f ca="1">IFERROR(__xludf.DUMMYFUNCTION("""COMPUTED_VALUE"""),"02 - PRONATEC")</f>
        <v>02 - PRONATEC</v>
      </c>
      <c r="H182" s="55" t="str">
        <f ca="1">IFERROR(__xludf.DUMMYFUNCTION("""COMPUTED_VALUE"""),"PRONATEC")</f>
        <v>PRONATEC</v>
      </c>
      <c r="I182" s="55" t="str">
        <f ca="1">IFERROR(__xludf.DUMMYFUNCTION("""COMPUTED_VALUE"""),"517 - ESCOLA MUNICIPAL DO ENSINO FUNDAMENTAL AUREA CORREIA DE QUEIROZ")</f>
        <v>517 - ESCOLA MUNICIPAL DO ENSINO FUNDAMENTAL AUREA CORREIA DE QUEIROZ</v>
      </c>
      <c r="J182" s="55" t="str">
        <f ca="1">IFERROR(__xludf.DUMMYFUNCTION("""COMPUTED_VALUE""")," GURJAO")</f>
        <v xml:space="preserve"> GURJAO</v>
      </c>
      <c r="K182" s="55"/>
      <c r="L182" s="55"/>
      <c r="M182" s="55" t="str">
        <f ca="1">IFERROR(__xludf.DUMMYFUNCTION("""COMPUTED_VALUE"""),"ESCOLA MUNICIPAL DO ENSINO FUNDAMENTAL AUREA CORREIA DE QUEIROZ")</f>
        <v>ESCOLA MUNICIPAL DO ENSINO FUNDAMENTAL AUREA CORREIA DE QUEIROZ</v>
      </c>
      <c r="N182" s="55">
        <f ca="1">IFERROR(__xludf.DUMMYFUNCTION("""COMPUTED_VALUE"""),221136)</f>
        <v>221136</v>
      </c>
      <c r="O182" s="55" t="str">
        <f ca="1">IFERROR(__xludf.DUMMYFUNCTION("""COMPUTED_VALUE"""),"PRODUÇAO ALIMENTICIA")</f>
        <v>PRODUÇAO ALIMENTICIA</v>
      </c>
      <c r="P182" s="55" t="str">
        <f ca="1">IFERROR(__xludf.DUMMYFUNCTION("""COMPUTED_VALUE"""),"PREPARADOR DE DOCES E CONSERVAS")</f>
        <v>PREPARADOR DE DOCES E CONSERVAS</v>
      </c>
      <c r="Q182" s="55" t="str">
        <f ca="1">IFERROR(__xludf.DUMMYFUNCTION("""COMPUTED_VALUE"""),"FIC")</f>
        <v>FIC</v>
      </c>
      <c r="R182" s="55">
        <f ca="1">IFERROR(__xludf.DUMMYFUNCTION("""COMPUTED_VALUE"""),200)</f>
        <v>200</v>
      </c>
      <c r="S182" s="55" t="str">
        <f ca="1">IFERROR(__xludf.DUMMYFUNCTION("""COMPUTED_VALUE"""),"NOITE")</f>
        <v>NOITE</v>
      </c>
      <c r="T182" s="57">
        <f ca="1">IFERROR(__xludf.DUMMYFUNCTION("""COMPUTED_VALUE"""),45782)</f>
        <v>45782</v>
      </c>
      <c r="U182" s="57">
        <f ca="1">IFERROR(__xludf.DUMMYFUNCTION("""COMPUTED_VALUE"""),45876)</f>
        <v>45876</v>
      </c>
      <c r="V182" s="55"/>
      <c r="W182" s="55"/>
      <c r="X182" s="55"/>
      <c r="Y182" s="55"/>
      <c r="Z182" s="55"/>
      <c r="AA182" s="55"/>
      <c r="AB182" s="55"/>
      <c r="AC182" s="55"/>
      <c r="AD182" s="55"/>
      <c r="AE182" s="55"/>
      <c r="AF182" s="55"/>
      <c r="AG182" s="55"/>
      <c r="AH182" s="55" t="str">
        <f ca="1">IFERROR(__xludf.DUMMYFUNCTION("""COMPUTED_VALUE"""),"-")</f>
        <v>-</v>
      </c>
      <c r="AI182" s="55" t="str">
        <f ca="1">IFERROR(__xludf.DUMMYFUNCTION("""COMPUTED_VALUE"""),"FLAVIA SALUSTIANO COSME")</f>
        <v>FLAVIA SALUSTIANO COSME</v>
      </c>
      <c r="AJ182" s="55" t="str">
        <f ca="1">IFERROR(__xludf.DUMMYFUNCTION("""COMPUTED_VALUE"""),"-")</f>
        <v>-</v>
      </c>
      <c r="AK182" s="55" t="str">
        <f ca="1">IFERROR(__xludf.DUMMYFUNCTION("""COMPUTED_VALUE"""),"-")</f>
        <v>-</v>
      </c>
      <c r="AL182" s="55" t="str">
        <f ca="1">IFERROR(__xludf.DUMMYFUNCTION("""COMPUTED_VALUE"""),"CECILIA MARIA RODRIGUES")</f>
        <v>CECILIA MARIA RODRIGUES</v>
      </c>
      <c r="AM182" s="55">
        <f ca="1">IFERROR(__xludf.DUMMYFUNCTION("""COMPUTED_VALUE"""),2025)</f>
        <v>2025</v>
      </c>
      <c r="AN182" s="55"/>
    </row>
    <row r="183" spans="1:40" ht="14" x14ac:dyDescent="0.35">
      <c r="A183" s="55" t="str">
        <f t="shared" ca="1" si="0"/>
        <v xml:space="preserve"> JOAO PESSOA/ECIT RAUL MACHADO/ASSISTENTE ADMINISTRATIVO/NOITE</v>
      </c>
      <c r="B183" s="55" t="str">
        <f ca="1">IFERROR(__xludf.DUMMYFUNCTION("""COMPUTED_VALUE"""),"00000001546")</f>
        <v>00000001546</v>
      </c>
      <c r="C183" s="55" t="str">
        <f ca="1">IFERROR(__xludf.DUMMYFUNCTION("""COMPUTED_VALUE"""),"T-ASSISTENTE ADMINISTRATIVO/00000001546")</f>
        <v>T-ASSISTENTE ADMINISTRATIVO/00000001546</v>
      </c>
      <c r="D183" s="56" t="str">
        <f ca="1">IFERROR(__xludf.DUMMYFUNCTION("""COMPUTED_VALUE"""),"https://docs.google.com/spreadsheets/d/1TUbG13Y1ivR9v4-AAqEKwHCQHqudp3xHs1n6BvjlNiM")</f>
        <v>https://docs.google.com/spreadsheets/d/1TUbG13Y1ivR9v4-AAqEKwHCQHqudp3xHs1n6BvjlNiM</v>
      </c>
      <c r="E183" s="55" t="str">
        <f ca="1">IFERROR(__xludf.DUMMYFUNCTION("""COMPUTED_VALUE"""),"15 - PRONATEC FIC")</f>
        <v>15 - PRONATEC FIC</v>
      </c>
      <c r="F183" s="55" t="str">
        <f ca="1">IFERROR(__xludf.DUMMYFUNCTION("""COMPUTED_VALUE"""),"PRONATEC FIC")</f>
        <v>PRONATEC FIC</v>
      </c>
      <c r="G183" s="55" t="str">
        <f ca="1">IFERROR(__xludf.DUMMYFUNCTION("""COMPUTED_VALUE"""),"02 - PRONATEC")</f>
        <v>02 - PRONATEC</v>
      </c>
      <c r="H183" s="55" t="str">
        <f ca="1">IFERROR(__xludf.DUMMYFUNCTION("""COMPUTED_VALUE"""),"PRONATEC")</f>
        <v>PRONATEC</v>
      </c>
      <c r="I183" s="55" t="str">
        <f ca="1">IFERROR(__xludf.DUMMYFUNCTION("""COMPUTED_VALUE"""),"291 - ECIT RAUL MACHADO")</f>
        <v>291 - ECIT RAUL MACHADO</v>
      </c>
      <c r="J183" s="55" t="str">
        <f ca="1">IFERROR(__xludf.DUMMYFUNCTION("""COMPUTED_VALUE""")," JOAO PESSOA")</f>
        <v xml:space="preserve"> JOAO PESSOA</v>
      </c>
      <c r="K183" s="55"/>
      <c r="L183" s="55"/>
      <c r="M183" s="55" t="str">
        <f ca="1">IFERROR(__xludf.DUMMYFUNCTION("""COMPUTED_VALUE"""),"ECIT RAUL MACHADO")</f>
        <v>ECIT RAUL MACHADO</v>
      </c>
      <c r="N183" s="55">
        <f ca="1">IFERROR(__xludf.DUMMYFUNCTION("""COMPUTED_VALUE"""),221012)</f>
        <v>221012</v>
      </c>
      <c r="O183" s="55" t="str">
        <f ca="1">IFERROR(__xludf.DUMMYFUNCTION("""COMPUTED_VALUE"""),"GESTAO E NEGOCIOS")</f>
        <v>GESTAO E NEGOCIOS</v>
      </c>
      <c r="P183" s="55" t="str">
        <f ca="1">IFERROR(__xludf.DUMMYFUNCTION("""COMPUTED_VALUE"""),"ASSISTENTE ADMINISTRATIVO")</f>
        <v>ASSISTENTE ADMINISTRATIVO</v>
      </c>
      <c r="Q183" s="55" t="str">
        <f ca="1">IFERROR(__xludf.DUMMYFUNCTION("""COMPUTED_VALUE"""),"FIC")</f>
        <v>FIC</v>
      </c>
      <c r="R183" s="55">
        <f ca="1">IFERROR(__xludf.DUMMYFUNCTION("""COMPUTED_VALUE"""),160)</f>
        <v>160</v>
      </c>
      <c r="S183" s="55" t="str">
        <f ca="1">IFERROR(__xludf.DUMMYFUNCTION("""COMPUTED_VALUE"""),"NOITE")</f>
        <v>NOITE</v>
      </c>
      <c r="T183" s="57">
        <f ca="1">IFERROR(__xludf.DUMMYFUNCTION("""COMPUTED_VALUE"""),45782)</f>
        <v>45782</v>
      </c>
      <c r="U183" s="57">
        <f ca="1">IFERROR(__xludf.DUMMYFUNCTION("""COMPUTED_VALUE"""),45859)</f>
        <v>45859</v>
      </c>
      <c r="V183" s="55"/>
      <c r="W183" s="55"/>
      <c r="X183" s="55"/>
      <c r="Y183" s="55"/>
      <c r="Z183" s="55"/>
      <c r="AA183" s="55"/>
      <c r="AB183" s="55"/>
      <c r="AC183" s="55"/>
      <c r="AD183" s="55"/>
      <c r="AE183" s="55"/>
      <c r="AF183" s="55"/>
      <c r="AG183" s="55"/>
      <c r="AH183" s="55" t="str">
        <f ca="1">IFERROR(__xludf.DUMMYFUNCTION("""COMPUTED_VALUE"""),"-")</f>
        <v>-</v>
      </c>
      <c r="AI183" s="55" t="str">
        <f ca="1">IFERROR(__xludf.DUMMYFUNCTION("""COMPUTED_VALUE"""),"ANDERSON DUARTE DA SILVA")</f>
        <v>ANDERSON DUARTE DA SILVA</v>
      </c>
      <c r="AJ183" s="55" t="str">
        <f ca="1">IFERROR(__xludf.DUMMYFUNCTION("""COMPUTED_VALUE"""),"-")</f>
        <v>-</v>
      </c>
      <c r="AK183" s="55" t="str">
        <f ca="1">IFERROR(__xludf.DUMMYFUNCTION("""COMPUTED_VALUE"""),"-")</f>
        <v>-</v>
      </c>
      <c r="AL183" s="55" t="str">
        <f ca="1">IFERROR(__xludf.DUMMYFUNCTION("""COMPUTED_VALUE"""),"SHIRLEI RODRIGUES DA SILVA")</f>
        <v>SHIRLEI RODRIGUES DA SILVA</v>
      </c>
      <c r="AM183" s="55">
        <f ca="1">IFERROR(__xludf.DUMMYFUNCTION("""COMPUTED_VALUE"""),2025)</f>
        <v>2025</v>
      </c>
      <c r="AN183" s="55"/>
    </row>
    <row r="184" spans="1:40" ht="14" x14ac:dyDescent="0.35">
      <c r="A184" s="55" t="str">
        <f t="shared" ca="1" si="0"/>
        <v xml:space="preserve"> MONTEIRO/ECIT JOSE LEITE DE SOUZA/CONFEITEIRO/NOITE</v>
      </c>
      <c r="B184" s="55" t="str">
        <f ca="1">IFERROR(__xludf.DUMMYFUNCTION("""COMPUTED_VALUE"""),"00000001547")</f>
        <v>00000001547</v>
      </c>
      <c r="C184" s="55" t="str">
        <f ca="1">IFERROR(__xludf.DUMMYFUNCTION("""COMPUTED_VALUE"""),"T-CONFEITEIRO/00000001547")</f>
        <v>T-CONFEITEIRO/00000001547</v>
      </c>
      <c r="D184" s="56" t="str">
        <f ca="1">IFERROR(__xludf.DUMMYFUNCTION("""COMPUTED_VALUE"""),"https://docs.google.com/spreadsheets/d/1i6wtv9bdL6VZGUAoK4vywzGDcUMMlxIFP90pMWSwrNU")</f>
        <v>https://docs.google.com/spreadsheets/d/1i6wtv9bdL6VZGUAoK4vywzGDcUMMlxIFP90pMWSwrNU</v>
      </c>
      <c r="E184" s="55" t="str">
        <f ca="1">IFERROR(__xludf.DUMMYFUNCTION("""COMPUTED_VALUE"""),"15 - PRONATEC FIC")</f>
        <v>15 - PRONATEC FIC</v>
      </c>
      <c r="F184" s="55" t="str">
        <f ca="1">IFERROR(__xludf.DUMMYFUNCTION("""COMPUTED_VALUE"""),"PRONATEC FIC")</f>
        <v>PRONATEC FIC</v>
      </c>
      <c r="G184" s="55" t="str">
        <f ca="1">IFERROR(__xludf.DUMMYFUNCTION("""COMPUTED_VALUE"""),"02 - PRONATEC")</f>
        <v>02 - PRONATEC</v>
      </c>
      <c r="H184" s="55" t="str">
        <f ca="1">IFERROR(__xludf.DUMMYFUNCTION("""COMPUTED_VALUE"""),"PRONATEC")</f>
        <v>PRONATEC</v>
      </c>
      <c r="I184" s="55" t="str">
        <f ca="1">IFERROR(__xludf.DUMMYFUNCTION("""COMPUTED_VALUE"""),"009 - ECIT JOSE LEITE DE SOUZA")</f>
        <v>009 - ECIT JOSE LEITE DE SOUZA</v>
      </c>
      <c r="J184" s="55" t="str">
        <f ca="1">IFERROR(__xludf.DUMMYFUNCTION("""COMPUTED_VALUE""")," MONTEIRO")</f>
        <v xml:space="preserve"> MONTEIRO</v>
      </c>
      <c r="K184" s="55"/>
      <c r="L184" s="55"/>
      <c r="M184" s="55" t="str">
        <f ca="1">IFERROR(__xludf.DUMMYFUNCTION("""COMPUTED_VALUE"""),"ECIT JOSE LEITE DE SOUZA")</f>
        <v>ECIT JOSE LEITE DE SOUZA</v>
      </c>
      <c r="N184" s="55">
        <f ca="1">IFERROR(__xludf.DUMMYFUNCTION("""COMPUTED_VALUE"""),221072)</f>
        <v>221072</v>
      </c>
      <c r="O184" s="55" t="str">
        <f ca="1">IFERROR(__xludf.DUMMYFUNCTION("""COMPUTED_VALUE"""),"PRODUÇAO ALIMENTICIA")</f>
        <v>PRODUÇAO ALIMENTICIA</v>
      </c>
      <c r="P184" s="55" t="str">
        <f ca="1">IFERROR(__xludf.DUMMYFUNCTION("""COMPUTED_VALUE"""),"CONFEITEIRO")</f>
        <v>CONFEITEIRO</v>
      </c>
      <c r="Q184" s="55" t="str">
        <f ca="1">IFERROR(__xludf.DUMMYFUNCTION("""COMPUTED_VALUE"""),"FIC")</f>
        <v>FIC</v>
      </c>
      <c r="R184" s="55">
        <f ca="1">IFERROR(__xludf.DUMMYFUNCTION("""COMPUTED_VALUE"""),200)</f>
        <v>200</v>
      </c>
      <c r="S184" s="55" t="str">
        <f ca="1">IFERROR(__xludf.DUMMYFUNCTION("""COMPUTED_VALUE"""),"NOITE")</f>
        <v>NOITE</v>
      </c>
      <c r="T184" s="57">
        <f ca="1">IFERROR(__xludf.DUMMYFUNCTION("""COMPUTED_VALUE"""),45782)</f>
        <v>45782</v>
      </c>
      <c r="U184" s="57">
        <f ca="1">IFERROR(__xludf.DUMMYFUNCTION("""COMPUTED_VALUE"""),45876)</f>
        <v>45876</v>
      </c>
      <c r="V184" s="55"/>
      <c r="W184" s="55"/>
      <c r="X184" s="55"/>
      <c r="Y184" s="55"/>
      <c r="Z184" s="55"/>
      <c r="AA184" s="55"/>
      <c r="AB184" s="55"/>
      <c r="AC184" s="55"/>
      <c r="AD184" s="55"/>
      <c r="AE184" s="55"/>
      <c r="AF184" s="55"/>
      <c r="AG184" s="55"/>
      <c r="AH184" s="55" t="str">
        <f ca="1">IFERROR(__xludf.DUMMYFUNCTION("""COMPUTED_VALUE"""),"-")</f>
        <v>-</v>
      </c>
      <c r="AI184" s="55" t="str">
        <f ca="1">IFERROR(__xludf.DUMMYFUNCTION("""COMPUTED_VALUE"""),"EDNA PEREIRA DE ARAUJO")</f>
        <v>EDNA PEREIRA DE ARAUJO</v>
      </c>
      <c r="AJ184" s="55" t="str">
        <f ca="1">IFERROR(__xludf.DUMMYFUNCTION("""COMPUTED_VALUE"""),"-")</f>
        <v>-</v>
      </c>
      <c r="AK184" s="55" t="str">
        <f ca="1">IFERROR(__xludf.DUMMYFUNCTION("""COMPUTED_VALUE"""),"-")</f>
        <v>-</v>
      </c>
      <c r="AL184" s="55" t="str">
        <f ca="1">IFERROR(__xludf.DUMMYFUNCTION("""COMPUTED_VALUE"""),"FERNANDA DOS SANTOS NUNES DE MELO")</f>
        <v>FERNANDA DOS SANTOS NUNES DE MELO</v>
      </c>
      <c r="AM184" s="55">
        <f ca="1">IFERROR(__xludf.DUMMYFUNCTION("""COMPUTED_VALUE"""),2025)</f>
        <v>2025</v>
      </c>
      <c r="AN184" s="55"/>
    </row>
    <row r="185" spans="1:40" ht="14" x14ac:dyDescent="0.35">
      <c r="A185" s="55" t="str">
        <f t="shared" ca="1" si="0"/>
        <v xml:space="preserve"> NOVA FLORESTA/ECIT JOSE ROLDERICK DE OLIVEIRA/GESTOR DE MICROEMPRESA/NOITE</v>
      </c>
      <c r="B185" s="55" t="str">
        <f ca="1">IFERROR(__xludf.DUMMYFUNCTION("""COMPUTED_VALUE"""),"00000001548")</f>
        <v>00000001548</v>
      </c>
      <c r="C185" s="55" t="str">
        <f ca="1">IFERROR(__xludf.DUMMYFUNCTION("""COMPUTED_VALUE"""),"T-GESTOR DE MICROEMPRESA/00000001548")</f>
        <v>T-GESTOR DE MICROEMPRESA/00000001548</v>
      </c>
      <c r="D185" s="56" t="str">
        <f ca="1">IFERROR(__xludf.DUMMYFUNCTION("""COMPUTED_VALUE"""),"https://docs.google.com/spreadsheets/d/180gzLN2wO1Vti6MfycY1QJHKfANCnSxsm1NFijYFR0c")</f>
        <v>https://docs.google.com/spreadsheets/d/180gzLN2wO1Vti6MfycY1QJHKfANCnSxsm1NFijYFR0c</v>
      </c>
      <c r="E185" s="55" t="str">
        <f ca="1">IFERROR(__xludf.DUMMYFUNCTION("""COMPUTED_VALUE"""),"15 - PRONATEC FIC")</f>
        <v>15 - PRONATEC FIC</v>
      </c>
      <c r="F185" s="55" t="str">
        <f ca="1">IFERROR(__xludf.DUMMYFUNCTION("""COMPUTED_VALUE"""),"PRONATEC FIC")</f>
        <v>PRONATEC FIC</v>
      </c>
      <c r="G185" s="55" t="str">
        <f ca="1">IFERROR(__xludf.DUMMYFUNCTION("""COMPUTED_VALUE"""),"02 - PRONATEC")</f>
        <v>02 - PRONATEC</v>
      </c>
      <c r="H185" s="55" t="str">
        <f ca="1">IFERROR(__xludf.DUMMYFUNCTION("""COMPUTED_VALUE"""),"PRONATEC")</f>
        <v>PRONATEC</v>
      </c>
      <c r="I185" s="55" t="str">
        <f ca="1">IFERROR(__xludf.DUMMYFUNCTION("""COMPUTED_VALUE"""),"079 - ECIT JOSE ROLDERICK DE OLIVEIRA")</f>
        <v>079 - ECIT JOSE ROLDERICK DE OLIVEIRA</v>
      </c>
      <c r="J185" s="55" t="str">
        <f ca="1">IFERROR(__xludf.DUMMYFUNCTION("""COMPUTED_VALUE""")," NOVA FLORESTA")</f>
        <v xml:space="preserve"> NOVA FLORESTA</v>
      </c>
      <c r="K185" s="55"/>
      <c r="L185" s="55"/>
      <c r="M185" s="55" t="str">
        <f ca="1">IFERROR(__xludf.DUMMYFUNCTION("""COMPUTED_VALUE"""),"ECIT JOSE ROLDERICK DE OLIVEIRA")</f>
        <v>ECIT JOSE ROLDERICK DE OLIVEIRA</v>
      </c>
      <c r="N185" s="55">
        <f ca="1">IFERROR(__xludf.DUMMYFUNCTION("""COMPUTED_VALUE"""),500014)</f>
        <v>500014</v>
      </c>
      <c r="O185" s="55" t="str">
        <f ca="1">IFERROR(__xludf.DUMMYFUNCTION("""COMPUTED_VALUE"""),"GESTAO E NEGOCIOS")</f>
        <v>GESTAO E NEGOCIOS</v>
      </c>
      <c r="P185" s="55" t="str">
        <f ca="1">IFERROR(__xludf.DUMMYFUNCTION("""COMPUTED_VALUE"""),"GESTOR DE MICROEMPRESA")</f>
        <v>GESTOR DE MICROEMPRESA</v>
      </c>
      <c r="Q185" s="55" t="str">
        <f ca="1">IFERROR(__xludf.DUMMYFUNCTION("""COMPUTED_VALUE"""),"FIC")</f>
        <v>FIC</v>
      </c>
      <c r="R185" s="55">
        <f ca="1">IFERROR(__xludf.DUMMYFUNCTION("""COMPUTED_VALUE"""),160)</f>
        <v>160</v>
      </c>
      <c r="S185" s="55" t="str">
        <f ca="1">IFERROR(__xludf.DUMMYFUNCTION("""COMPUTED_VALUE"""),"NOITE")</f>
        <v>NOITE</v>
      </c>
      <c r="T185" s="57">
        <f ca="1">IFERROR(__xludf.DUMMYFUNCTION("""COMPUTED_VALUE"""),45782)</f>
        <v>45782</v>
      </c>
      <c r="U185" s="57">
        <f ca="1">IFERROR(__xludf.DUMMYFUNCTION("""COMPUTED_VALUE"""),45859)</f>
        <v>45859</v>
      </c>
      <c r="V185" s="55"/>
      <c r="W185" s="55"/>
      <c r="X185" s="55"/>
      <c r="Y185" s="55"/>
      <c r="Z185" s="55"/>
      <c r="AA185" s="55"/>
      <c r="AB185" s="55"/>
      <c r="AC185" s="55"/>
      <c r="AD185" s="55"/>
      <c r="AE185" s="55"/>
      <c r="AF185" s="55"/>
      <c r="AG185" s="55"/>
      <c r="AH185" s="55" t="str">
        <f ca="1">IFERROR(__xludf.DUMMYFUNCTION("""COMPUTED_VALUE"""),"-")</f>
        <v>-</v>
      </c>
      <c r="AI185" s="55" t="str">
        <f ca="1">IFERROR(__xludf.DUMMYFUNCTION("""COMPUTED_VALUE"""),"JAEDSON DOS SANTOS PEREIRA")</f>
        <v>JAEDSON DOS SANTOS PEREIRA</v>
      </c>
      <c r="AJ185" s="55" t="str">
        <f ca="1">IFERROR(__xludf.DUMMYFUNCTION("""COMPUTED_VALUE"""),"-")</f>
        <v>-</v>
      </c>
      <c r="AK185" s="55" t="str">
        <f ca="1">IFERROR(__xludf.DUMMYFUNCTION("""COMPUTED_VALUE"""),"-")</f>
        <v>-</v>
      </c>
      <c r="AL185" s="55" t="str">
        <f ca="1">IFERROR(__xludf.DUMMYFUNCTION("""COMPUTED_VALUE"""),"RAMON ALVES LIMEIRA")</f>
        <v>RAMON ALVES LIMEIRA</v>
      </c>
      <c r="AM185" s="55">
        <f ca="1">IFERROR(__xludf.DUMMYFUNCTION("""COMPUTED_VALUE"""),2025)</f>
        <v>2025</v>
      </c>
      <c r="AN185" s="55"/>
    </row>
    <row r="186" spans="1:40" ht="14" x14ac:dyDescent="0.35">
      <c r="A186" s="55" t="str">
        <f t="shared" ca="1" si="0"/>
        <v xml:space="preserve"> PILOES/EMEF BRAZ BARACUHY/MICROEMPREENDEDOR INDIVIDUAL (MEI)/NOITE</v>
      </c>
      <c r="B186" s="55" t="str">
        <f ca="1">IFERROR(__xludf.DUMMYFUNCTION("""COMPUTED_VALUE"""),"00000001549")</f>
        <v>00000001549</v>
      </c>
      <c r="C186" s="55" t="str">
        <f ca="1">IFERROR(__xludf.DUMMYFUNCTION("""COMPUTED_VALUE"""),"T-MICROEMPREENDEDOR INDIVIDUAL (MEI)/00000001549")</f>
        <v>T-MICROEMPREENDEDOR INDIVIDUAL (MEI)/00000001549</v>
      </c>
      <c r="D186" s="56" t="str">
        <f ca="1">IFERROR(__xludf.DUMMYFUNCTION("""COMPUTED_VALUE"""),"https://docs.google.com/spreadsheets/d/1oOmLLoruA5HMKdOxGZpBEHdq0yOl7Pqn2ZMmv0lAqxo")</f>
        <v>https://docs.google.com/spreadsheets/d/1oOmLLoruA5HMKdOxGZpBEHdq0yOl7Pqn2ZMmv0lAqxo</v>
      </c>
      <c r="E186" s="55" t="str">
        <f ca="1">IFERROR(__xludf.DUMMYFUNCTION("""COMPUTED_VALUE"""),"15 - PRONATEC FIC")</f>
        <v>15 - PRONATEC FIC</v>
      </c>
      <c r="F186" s="55" t="str">
        <f ca="1">IFERROR(__xludf.DUMMYFUNCTION("""COMPUTED_VALUE"""),"PRONATEC FIC")</f>
        <v>PRONATEC FIC</v>
      </c>
      <c r="G186" s="55" t="str">
        <f ca="1">IFERROR(__xludf.DUMMYFUNCTION("""COMPUTED_VALUE"""),"02 - PRONATEC")</f>
        <v>02 - PRONATEC</v>
      </c>
      <c r="H186" s="55" t="str">
        <f ca="1">IFERROR(__xludf.DUMMYFUNCTION("""COMPUTED_VALUE"""),"PRONATEC")</f>
        <v>PRONATEC</v>
      </c>
      <c r="I186" s="55" t="str">
        <f ca="1">IFERROR(__xludf.DUMMYFUNCTION("""COMPUTED_VALUE"""),"543 - EMEF BRAZ BARACUHY")</f>
        <v>543 - EMEF BRAZ BARACUHY</v>
      </c>
      <c r="J186" s="55" t="str">
        <f ca="1">IFERROR(__xludf.DUMMYFUNCTION("""COMPUTED_VALUE""")," PILOES")</f>
        <v xml:space="preserve"> PILOES</v>
      </c>
      <c r="K186" s="55"/>
      <c r="L186" s="55"/>
      <c r="M186" s="55" t="str">
        <f ca="1">IFERROR(__xludf.DUMMYFUNCTION("""COMPUTED_VALUE"""),"EMEF BRAZ BARACUHY")</f>
        <v>EMEF BRAZ BARACUHY</v>
      </c>
      <c r="N186" s="55">
        <f ca="1">IFERROR(__xludf.DUMMYFUNCTION("""COMPUTED_VALUE"""),278099)</f>
        <v>278099</v>
      </c>
      <c r="O186" s="55" t="str">
        <f ca="1">IFERROR(__xludf.DUMMYFUNCTION("""COMPUTED_VALUE"""),"GESTAO E NEGOCIOS")</f>
        <v>GESTAO E NEGOCIOS</v>
      </c>
      <c r="P186" s="55" t="str">
        <f ca="1">IFERROR(__xludf.DUMMYFUNCTION("""COMPUTED_VALUE"""),"MICROEMPREENDEDOR INDIVIDUAL (MEI)")</f>
        <v>MICROEMPREENDEDOR INDIVIDUAL (MEI)</v>
      </c>
      <c r="Q186" s="55" t="str">
        <f ca="1">IFERROR(__xludf.DUMMYFUNCTION("""COMPUTED_VALUE"""),"FIC")</f>
        <v>FIC</v>
      </c>
      <c r="R186" s="55">
        <f ca="1">IFERROR(__xludf.DUMMYFUNCTION("""COMPUTED_VALUE"""),160)</f>
        <v>160</v>
      </c>
      <c r="S186" s="55" t="str">
        <f ca="1">IFERROR(__xludf.DUMMYFUNCTION("""COMPUTED_VALUE"""),"NOITE")</f>
        <v>NOITE</v>
      </c>
      <c r="T186" s="57">
        <f ca="1">IFERROR(__xludf.DUMMYFUNCTION("""COMPUTED_VALUE"""),45782)</f>
        <v>45782</v>
      </c>
      <c r="U186" s="57">
        <f ca="1">IFERROR(__xludf.DUMMYFUNCTION("""COMPUTED_VALUE"""),45859)</f>
        <v>45859</v>
      </c>
      <c r="V186" s="55"/>
      <c r="W186" s="55"/>
      <c r="X186" s="55"/>
      <c r="Y186" s="55"/>
      <c r="Z186" s="55"/>
      <c r="AA186" s="55"/>
      <c r="AB186" s="55"/>
      <c r="AC186" s="55"/>
      <c r="AD186" s="55"/>
      <c r="AE186" s="55"/>
      <c r="AF186" s="55"/>
      <c r="AG186" s="55"/>
      <c r="AH186" s="55" t="str">
        <f ca="1">IFERROR(__xludf.DUMMYFUNCTION("""COMPUTED_VALUE"""),"-")</f>
        <v>-</v>
      </c>
      <c r="AI186" s="55" t="str">
        <f ca="1">IFERROR(__xludf.DUMMYFUNCTION("""COMPUTED_VALUE"""),"JOAO HELVIS RODRIGUES DE FREITAS")</f>
        <v>JOAO HELVIS RODRIGUES DE FREITAS</v>
      </c>
      <c r="AJ186" s="55" t="str">
        <f ca="1">IFERROR(__xludf.DUMMYFUNCTION("""COMPUTED_VALUE"""),"-")</f>
        <v>-</v>
      </c>
      <c r="AK186" s="55" t="str">
        <f ca="1">IFERROR(__xludf.DUMMYFUNCTION("""COMPUTED_VALUE"""),"-")</f>
        <v>-</v>
      </c>
      <c r="AL186" s="55" t="str">
        <f ca="1">IFERROR(__xludf.DUMMYFUNCTION("""COMPUTED_VALUE"""),"ARILSON SOUZA DE BULHOES")</f>
        <v>ARILSON SOUZA DE BULHOES</v>
      </c>
      <c r="AM186" s="55">
        <f ca="1">IFERROR(__xludf.DUMMYFUNCTION("""COMPUTED_VALUE"""),2025)</f>
        <v>2025</v>
      </c>
      <c r="AN186" s="55"/>
    </row>
    <row r="187" spans="1:40" ht="14" x14ac:dyDescent="0.35">
      <c r="A187" s="55" t="str">
        <f t="shared" ca="1" si="0"/>
        <v xml:space="preserve"> POMBAL/ECIT MONSENHOR VICENTE FREITAS/AGENTE DE DESENVOLVIMENTO COOPERATIVISTA/NOITE</v>
      </c>
      <c r="B187" s="55" t="str">
        <f ca="1">IFERROR(__xludf.DUMMYFUNCTION("""COMPUTED_VALUE"""),"00000001550")</f>
        <v>00000001550</v>
      </c>
      <c r="C187" s="55" t="str">
        <f ca="1">IFERROR(__xludf.DUMMYFUNCTION("""COMPUTED_VALUE"""),"T-AGENTE DE DESENVOLVIMENTO COOPERATIVISTA/00000001550")</f>
        <v>T-AGENTE DE DESENVOLVIMENTO COOPERATIVISTA/00000001550</v>
      </c>
      <c r="D187" s="56" t="str">
        <f ca="1">IFERROR(__xludf.DUMMYFUNCTION("""COMPUTED_VALUE"""),"https://docs.google.com/spreadsheets/d/1suf5RpeqvC3wIhGzF8_-6wCxUM7rOSvRPT9XbtDZh1E")</f>
        <v>https://docs.google.com/spreadsheets/d/1suf5RpeqvC3wIhGzF8_-6wCxUM7rOSvRPT9XbtDZh1E</v>
      </c>
      <c r="E187" s="55" t="str">
        <f ca="1">IFERROR(__xludf.DUMMYFUNCTION("""COMPUTED_VALUE"""),"15 - PRONATEC FIC")</f>
        <v>15 - PRONATEC FIC</v>
      </c>
      <c r="F187" s="55" t="str">
        <f ca="1">IFERROR(__xludf.DUMMYFUNCTION("""COMPUTED_VALUE"""),"PRONATEC FIC")</f>
        <v>PRONATEC FIC</v>
      </c>
      <c r="G187" s="55" t="str">
        <f ca="1">IFERROR(__xludf.DUMMYFUNCTION("""COMPUTED_VALUE"""),"02 - PRONATEC")</f>
        <v>02 - PRONATEC</v>
      </c>
      <c r="H187" s="55" t="str">
        <f ca="1">IFERROR(__xludf.DUMMYFUNCTION("""COMPUTED_VALUE"""),"PRONATEC")</f>
        <v>PRONATEC</v>
      </c>
      <c r="I187" s="55" t="str">
        <f ca="1">IFERROR(__xludf.DUMMYFUNCTION("""COMPUTED_VALUE"""),"089 - ECIT MONSENHOR VICENTE FREITAS")</f>
        <v>089 - ECIT MONSENHOR VICENTE FREITAS</v>
      </c>
      <c r="J187" s="55" t="str">
        <f ca="1">IFERROR(__xludf.DUMMYFUNCTION("""COMPUTED_VALUE""")," POMBAL")</f>
        <v xml:space="preserve"> POMBAL</v>
      </c>
      <c r="K187" s="55"/>
      <c r="L187" s="55"/>
      <c r="M187" s="55" t="str">
        <f ca="1">IFERROR(__xludf.DUMMYFUNCTION("""COMPUTED_VALUE"""),"ECIT MONSENHOR VICENTE FREITAS")</f>
        <v>ECIT MONSENHOR VICENTE FREITAS</v>
      </c>
      <c r="N187" s="55">
        <f ca="1">IFERROR(__xludf.DUMMYFUNCTION("""COMPUTED_VALUE"""),221004)</f>
        <v>221004</v>
      </c>
      <c r="O187" s="55" t="str">
        <f ca="1">IFERROR(__xludf.DUMMYFUNCTION("""COMPUTED_VALUE"""),"GESTAO E NEGOCIOS")</f>
        <v>GESTAO E NEGOCIOS</v>
      </c>
      <c r="P187" s="55" t="str">
        <f ca="1">IFERROR(__xludf.DUMMYFUNCTION("""COMPUTED_VALUE"""),"AGENTE DE DESENVOLVIMENTO COOPERATIVISTA")</f>
        <v>AGENTE DE DESENVOLVIMENTO COOPERATIVISTA</v>
      </c>
      <c r="Q187" s="55" t="str">
        <f ca="1">IFERROR(__xludf.DUMMYFUNCTION("""COMPUTED_VALUE"""),"FIC")</f>
        <v>FIC</v>
      </c>
      <c r="R187" s="55">
        <f ca="1">IFERROR(__xludf.DUMMYFUNCTION("""COMPUTED_VALUE"""),160)</f>
        <v>160</v>
      </c>
      <c r="S187" s="55" t="str">
        <f ca="1">IFERROR(__xludf.DUMMYFUNCTION("""COMPUTED_VALUE"""),"NOITE")</f>
        <v>NOITE</v>
      </c>
      <c r="T187" s="57">
        <f ca="1">IFERROR(__xludf.DUMMYFUNCTION("""COMPUTED_VALUE"""),45782)</f>
        <v>45782</v>
      </c>
      <c r="U187" s="57">
        <f ca="1">IFERROR(__xludf.DUMMYFUNCTION("""COMPUTED_VALUE"""),45859)</f>
        <v>45859</v>
      </c>
      <c r="V187" s="55"/>
      <c r="W187" s="55"/>
      <c r="X187" s="55"/>
      <c r="Y187" s="55"/>
      <c r="Z187" s="55"/>
      <c r="AA187" s="55"/>
      <c r="AB187" s="55"/>
      <c r="AC187" s="55"/>
      <c r="AD187" s="55"/>
      <c r="AE187" s="55"/>
      <c r="AF187" s="55"/>
      <c r="AG187" s="55"/>
      <c r="AH187" s="55" t="str">
        <f ca="1">IFERROR(__xludf.DUMMYFUNCTION("""COMPUTED_VALUE"""),"-")</f>
        <v>-</v>
      </c>
      <c r="AI187" s="55" t="str">
        <f ca="1">IFERROR(__xludf.DUMMYFUNCTION("""COMPUTED_VALUE"""),"LUCIANA MARTINS DE SOUSA DANTAS")</f>
        <v>LUCIANA MARTINS DE SOUSA DANTAS</v>
      </c>
      <c r="AJ187" s="55" t="str">
        <f ca="1">IFERROR(__xludf.DUMMYFUNCTION("""COMPUTED_VALUE"""),"-")</f>
        <v>-</v>
      </c>
      <c r="AK187" s="55" t="str">
        <f ca="1">IFERROR(__xludf.DUMMYFUNCTION("""COMPUTED_VALUE"""),"-")</f>
        <v>-</v>
      </c>
      <c r="AL187" s="55" t="str">
        <f ca="1">IFERROR(__xludf.DUMMYFUNCTION("""COMPUTED_VALUE"""),"PAULO ANASTACIO LIRA FILHO")</f>
        <v>PAULO ANASTACIO LIRA FILHO</v>
      </c>
      <c r="AM187" s="55">
        <f ca="1">IFERROR(__xludf.DUMMYFUNCTION("""COMPUTED_VALUE"""),2025)</f>
        <v>2025</v>
      </c>
      <c r="AN187" s="55"/>
    </row>
    <row r="188" spans="1:40" ht="14" x14ac:dyDescent="0.35">
      <c r="A188" s="55" t="str">
        <f t="shared" ca="1" si="0"/>
        <v xml:space="preserve"> UIRAUNA/ECIT DOUTOR JOSE DUARTE FILHO/ASSISTENTE ADMINISTRATIVO/NOITE</v>
      </c>
      <c r="B188" s="55" t="str">
        <f ca="1">IFERROR(__xludf.DUMMYFUNCTION("""COMPUTED_VALUE"""),"00000001551")</f>
        <v>00000001551</v>
      </c>
      <c r="C188" s="55" t="str">
        <f ca="1">IFERROR(__xludf.DUMMYFUNCTION("""COMPUTED_VALUE"""),"T-ASSISTENTE ADMINISTRATIVO/00000001551")</f>
        <v>T-ASSISTENTE ADMINISTRATIVO/00000001551</v>
      </c>
      <c r="D188" s="56" t="str">
        <f ca="1">IFERROR(__xludf.DUMMYFUNCTION("""COMPUTED_VALUE"""),"https://docs.google.com/spreadsheets/d/1sXWZDMhBqgRA0yVaXDXRhUywzST142Qo6-irBhJYfHs")</f>
        <v>https://docs.google.com/spreadsheets/d/1sXWZDMhBqgRA0yVaXDXRhUywzST142Qo6-irBhJYfHs</v>
      </c>
      <c r="E188" s="55" t="str">
        <f ca="1">IFERROR(__xludf.DUMMYFUNCTION("""COMPUTED_VALUE"""),"15 - PRONATEC FIC")</f>
        <v>15 - PRONATEC FIC</v>
      </c>
      <c r="F188" s="55" t="str">
        <f ca="1">IFERROR(__xludf.DUMMYFUNCTION("""COMPUTED_VALUE"""),"PRONATEC FIC")</f>
        <v>PRONATEC FIC</v>
      </c>
      <c r="G188" s="55" t="str">
        <f ca="1">IFERROR(__xludf.DUMMYFUNCTION("""COMPUTED_VALUE"""),"02 - PRONATEC")</f>
        <v>02 - PRONATEC</v>
      </c>
      <c r="H188" s="55" t="str">
        <f ca="1">IFERROR(__xludf.DUMMYFUNCTION("""COMPUTED_VALUE"""),"PRONATEC")</f>
        <v>PRONATEC</v>
      </c>
      <c r="I188" s="55" t="str">
        <f ca="1">IFERROR(__xludf.DUMMYFUNCTION("""COMPUTED_VALUE"""),"456 - ECIT DOUTOR JOSE DUARTE FILHO")</f>
        <v>456 - ECIT DOUTOR JOSE DUARTE FILHO</v>
      </c>
      <c r="J188" s="55" t="str">
        <f ca="1">IFERROR(__xludf.DUMMYFUNCTION("""COMPUTED_VALUE""")," UIRAUNA")</f>
        <v xml:space="preserve"> UIRAUNA</v>
      </c>
      <c r="K188" s="55"/>
      <c r="L188" s="55"/>
      <c r="M188" s="55" t="str">
        <f ca="1">IFERROR(__xludf.DUMMYFUNCTION("""COMPUTED_VALUE"""),"ECIT DOUTOR JOSE DUARTE FILHO")</f>
        <v>ECIT DOUTOR JOSE DUARTE FILHO</v>
      </c>
      <c r="N188" s="55">
        <f ca="1">IFERROR(__xludf.DUMMYFUNCTION("""COMPUTED_VALUE"""),221012)</f>
        <v>221012</v>
      </c>
      <c r="O188" s="55" t="str">
        <f ca="1">IFERROR(__xludf.DUMMYFUNCTION("""COMPUTED_VALUE"""),"GESTAO E NEGOCIOS")</f>
        <v>GESTAO E NEGOCIOS</v>
      </c>
      <c r="P188" s="55" t="str">
        <f ca="1">IFERROR(__xludf.DUMMYFUNCTION("""COMPUTED_VALUE"""),"ASSISTENTE ADMINISTRATIVO")</f>
        <v>ASSISTENTE ADMINISTRATIVO</v>
      </c>
      <c r="Q188" s="55" t="str">
        <f ca="1">IFERROR(__xludf.DUMMYFUNCTION("""COMPUTED_VALUE"""),"FIC")</f>
        <v>FIC</v>
      </c>
      <c r="R188" s="55">
        <f ca="1">IFERROR(__xludf.DUMMYFUNCTION("""COMPUTED_VALUE"""),160)</f>
        <v>160</v>
      </c>
      <c r="S188" s="55" t="str">
        <f ca="1">IFERROR(__xludf.DUMMYFUNCTION("""COMPUTED_VALUE"""),"NOITE")</f>
        <v>NOITE</v>
      </c>
      <c r="T188" s="57">
        <f ca="1">IFERROR(__xludf.DUMMYFUNCTION("""COMPUTED_VALUE"""),45782)</f>
        <v>45782</v>
      </c>
      <c r="U188" s="57">
        <f ca="1">IFERROR(__xludf.DUMMYFUNCTION("""COMPUTED_VALUE"""),45859)</f>
        <v>45859</v>
      </c>
      <c r="V188" s="55"/>
      <c r="W188" s="55"/>
      <c r="X188" s="55"/>
      <c r="Y188" s="55"/>
      <c r="Z188" s="55"/>
      <c r="AA188" s="55"/>
      <c r="AB188" s="55"/>
      <c r="AC188" s="55"/>
      <c r="AD188" s="55"/>
      <c r="AE188" s="55"/>
      <c r="AF188" s="55"/>
      <c r="AG188" s="55"/>
      <c r="AH188" s="55" t="str">
        <f ca="1">IFERROR(__xludf.DUMMYFUNCTION("""COMPUTED_VALUE"""),"-")</f>
        <v>-</v>
      </c>
      <c r="AI188" s="55" t="str">
        <f ca="1">IFERROR(__xludf.DUMMYFUNCTION("""COMPUTED_VALUE"""),"KYLVIA LUCIANA PEREIRA COSTA")</f>
        <v>KYLVIA LUCIANA PEREIRA COSTA</v>
      </c>
      <c r="AJ188" s="55" t="str">
        <f ca="1">IFERROR(__xludf.DUMMYFUNCTION("""COMPUTED_VALUE"""),"-")</f>
        <v>-</v>
      </c>
      <c r="AK188" s="55" t="str">
        <f ca="1">IFERROR(__xludf.DUMMYFUNCTION("""COMPUTED_VALUE"""),"-")</f>
        <v>-</v>
      </c>
      <c r="AL188" s="55" t="str">
        <f ca="1">IFERROR(__xludf.DUMMYFUNCTION("""COMPUTED_VALUE"""),"MICHAEL DOUGLAS SOUSA LEITE")</f>
        <v>MICHAEL DOUGLAS SOUSA LEITE</v>
      </c>
      <c r="AM188" s="55">
        <f ca="1">IFERROR(__xludf.DUMMYFUNCTION("""COMPUTED_VALUE"""),2025)</f>
        <v>2025</v>
      </c>
      <c r="AN188" s="55"/>
    </row>
    <row r="189" spans="1:40" ht="14" x14ac:dyDescent="0.35">
      <c r="A189" s="55" t="str">
        <f t="shared" si="0"/>
        <v/>
      </c>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row>
    <row r="190" spans="1:40" ht="14" x14ac:dyDescent="0.35">
      <c r="A190" s="55" t="str">
        <f t="shared" si="0"/>
        <v/>
      </c>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row>
    <row r="191" spans="1:40" ht="14" x14ac:dyDescent="0.35">
      <c r="A191" s="55" t="str">
        <f t="shared" si="0"/>
        <v/>
      </c>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row>
    <row r="192" spans="1:40" ht="14" x14ac:dyDescent="0.35">
      <c r="A192" s="55" t="str">
        <f t="shared" si="0"/>
        <v/>
      </c>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row>
    <row r="193" spans="1:40" ht="14" x14ac:dyDescent="0.35">
      <c r="A193" s="55" t="str">
        <f t="shared" si="0"/>
        <v/>
      </c>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row>
    <row r="194" spans="1:40" ht="14" x14ac:dyDescent="0.35">
      <c r="A194" s="55" t="str">
        <f t="shared" si="0"/>
        <v/>
      </c>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row>
    <row r="195" spans="1:40" ht="14" x14ac:dyDescent="0.35">
      <c r="A195" s="55" t="str">
        <f t="shared" si="0"/>
        <v/>
      </c>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row>
    <row r="196" spans="1:40" ht="14" x14ac:dyDescent="0.35">
      <c r="A196" s="55" t="str">
        <f t="shared" si="0"/>
        <v/>
      </c>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row>
    <row r="197" spans="1:40" ht="14" x14ac:dyDescent="0.35">
      <c r="A197" s="55" t="str">
        <f t="shared" si="0"/>
        <v/>
      </c>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row>
    <row r="198" spans="1:40" ht="14" x14ac:dyDescent="0.35">
      <c r="A198" s="55" t="str">
        <f t="shared" si="0"/>
        <v/>
      </c>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row>
    <row r="199" spans="1:40" ht="14" x14ac:dyDescent="0.35">
      <c r="A199" s="55" t="str">
        <f t="shared" si="0"/>
        <v/>
      </c>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row>
    <row r="200" spans="1:40" ht="14" x14ac:dyDescent="0.35">
      <c r="A200" s="55" t="str">
        <f t="shared" si="0"/>
        <v/>
      </c>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row>
    <row r="201" spans="1:40" ht="14" x14ac:dyDescent="0.35">
      <c r="A201" s="55" t="str">
        <f t="shared" si="0"/>
        <v/>
      </c>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row>
    <row r="202" spans="1:40" ht="14" x14ac:dyDescent="0.35">
      <c r="A202" s="55" t="str">
        <f t="shared" si="0"/>
        <v/>
      </c>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row>
    <row r="203" spans="1:40" ht="14" x14ac:dyDescent="0.35">
      <c r="A203" s="55" t="str">
        <f t="shared" si="0"/>
        <v/>
      </c>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row>
    <row r="204" spans="1:40" ht="14" x14ac:dyDescent="0.35">
      <c r="A204" s="55" t="str">
        <f t="shared" si="0"/>
        <v/>
      </c>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row>
    <row r="205" spans="1:40" ht="14" x14ac:dyDescent="0.35">
      <c r="A205" s="55" t="str">
        <f t="shared" si="0"/>
        <v/>
      </c>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row>
    <row r="206" spans="1:40" ht="14" x14ac:dyDescent="0.35">
      <c r="A206" s="55" t="str">
        <f t="shared" si="0"/>
        <v/>
      </c>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row>
    <row r="207" spans="1:40" ht="14" x14ac:dyDescent="0.35">
      <c r="A207" s="55" t="str">
        <f t="shared" si="0"/>
        <v/>
      </c>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row>
    <row r="208" spans="1:40" ht="14" x14ac:dyDescent="0.35">
      <c r="A208" s="55" t="str">
        <f t="shared" si="0"/>
        <v/>
      </c>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row>
    <row r="209" spans="1:40" ht="14" x14ac:dyDescent="0.35">
      <c r="A209" s="55" t="str">
        <f t="shared" si="0"/>
        <v/>
      </c>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row>
    <row r="210" spans="1:40" ht="14" x14ac:dyDescent="0.35">
      <c r="A210" s="55" t="str">
        <f t="shared" si="0"/>
        <v/>
      </c>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row>
    <row r="211" spans="1:40" ht="14" x14ac:dyDescent="0.35">
      <c r="A211" s="55" t="str">
        <f t="shared" si="0"/>
        <v/>
      </c>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row>
    <row r="212" spans="1:40" ht="14" x14ac:dyDescent="0.35">
      <c r="A212" s="55" t="str">
        <f t="shared" si="0"/>
        <v/>
      </c>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row>
    <row r="213" spans="1:40" ht="14" x14ac:dyDescent="0.35">
      <c r="A213" s="55" t="str">
        <f t="shared" si="0"/>
        <v/>
      </c>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row>
    <row r="214" spans="1:40" ht="14" x14ac:dyDescent="0.35">
      <c r="A214" s="55" t="str">
        <f t="shared" si="0"/>
        <v/>
      </c>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row>
    <row r="215" spans="1:40" ht="14" x14ac:dyDescent="0.35">
      <c r="A215" s="55" t="str">
        <f t="shared" si="0"/>
        <v/>
      </c>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row>
    <row r="216" spans="1:40" ht="14" x14ac:dyDescent="0.35">
      <c r="A216" s="55" t="str">
        <f t="shared" si="0"/>
        <v/>
      </c>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row>
    <row r="217" spans="1:40" ht="14" x14ac:dyDescent="0.35">
      <c r="A217" s="55" t="str">
        <f t="shared" si="0"/>
        <v/>
      </c>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row>
    <row r="218" spans="1:40" ht="14" x14ac:dyDescent="0.35">
      <c r="A218" s="55" t="str">
        <f t="shared" si="0"/>
        <v/>
      </c>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row>
    <row r="219" spans="1:40" ht="14" x14ac:dyDescent="0.35">
      <c r="A219" s="55" t="str">
        <f t="shared" si="0"/>
        <v/>
      </c>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row>
    <row r="220" spans="1:40" ht="14" x14ac:dyDescent="0.35">
      <c r="A220" s="55" t="str">
        <f t="shared" si="0"/>
        <v/>
      </c>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row>
    <row r="221" spans="1:40" ht="14" x14ac:dyDescent="0.35">
      <c r="A221" s="55" t="str">
        <f t="shared" si="0"/>
        <v/>
      </c>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row>
    <row r="222" spans="1:40" ht="14" x14ac:dyDescent="0.35">
      <c r="A222" s="55" t="str">
        <f t="shared" si="0"/>
        <v/>
      </c>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row>
    <row r="223" spans="1:40" ht="14" x14ac:dyDescent="0.35">
      <c r="A223" s="55" t="str">
        <f t="shared" si="0"/>
        <v/>
      </c>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row>
    <row r="224" spans="1:40" ht="14" x14ac:dyDescent="0.35">
      <c r="A224" s="55" t="str">
        <f t="shared" si="0"/>
        <v/>
      </c>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row>
    <row r="225" spans="1:40" ht="14" x14ac:dyDescent="0.35">
      <c r="A225" s="55" t="str">
        <f t="shared" si="0"/>
        <v/>
      </c>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row>
    <row r="226" spans="1:40" ht="14" x14ac:dyDescent="0.35">
      <c r="A226" s="55" t="str">
        <f t="shared" si="0"/>
        <v/>
      </c>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row>
    <row r="227" spans="1:40" ht="14" x14ac:dyDescent="0.35">
      <c r="A227" s="55" t="str">
        <f t="shared" si="0"/>
        <v/>
      </c>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row>
    <row r="228" spans="1:40" ht="14" x14ac:dyDescent="0.35">
      <c r="A228" s="55" t="str">
        <f t="shared" si="0"/>
        <v/>
      </c>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row>
    <row r="229" spans="1:40" ht="14" x14ac:dyDescent="0.35">
      <c r="A229" s="55" t="str">
        <f t="shared" si="0"/>
        <v/>
      </c>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row>
    <row r="230" spans="1:40" ht="14" x14ac:dyDescent="0.35">
      <c r="A230" s="55" t="str">
        <f t="shared" si="0"/>
        <v/>
      </c>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row>
    <row r="231" spans="1:40" ht="14" x14ac:dyDescent="0.35">
      <c r="A231" s="55" t="str">
        <f t="shared" si="0"/>
        <v/>
      </c>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row>
    <row r="232" spans="1:40" ht="14" x14ac:dyDescent="0.35">
      <c r="A232" s="55" t="str">
        <f t="shared" si="0"/>
        <v/>
      </c>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row>
    <row r="233" spans="1:40" ht="14" x14ac:dyDescent="0.35">
      <c r="A233" s="55" t="str">
        <f t="shared" si="0"/>
        <v/>
      </c>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row>
    <row r="234" spans="1:40" ht="14" x14ac:dyDescent="0.35">
      <c r="A234" s="55" t="str">
        <f t="shared" si="0"/>
        <v/>
      </c>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row>
    <row r="235" spans="1:40" ht="14" x14ac:dyDescent="0.35">
      <c r="A235" s="55" t="str">
        <f t="shared" si="0"/>
        <v/>
      </c>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row>
    <row r="236" spans="1:40" ht="14" x14ac:dyDescent="0.35">
      <c r="A236" s="55" t="str">
        <f t="shared" si="0"/>
        <v/>
      </c>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row>
    <row r="237" spans="1:40" ht="14" x14ac:dyDescent="0.35">
      <c r="A237" s="55" t="str">
        <f t="shared" si="0"/>
        <v/>
      </c>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row>
    <row r="238" spans="1:40" ht="14" x14ac:dyDescent="0.35">
      <c r="A238" s="55" t="str">
        <f t="shared" si="0"/>
        <v/>
      </c>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row>
    <row r="239" spans="1:40" ht="14" x14ac:dyDescent="0.35">
      <c r="A239" s="55" t="str">
        <f t="shared" si="0"/>
        <v/>
      </c>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row>
    <row r="240" spans="1:40" ht="14" x14ac:dyDescent="0.35">
      <c r="A240" s="55" t="str">
        <f t="shared" si="0"/>
        <v/>
      </c>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row>
    <row r="241" spans="1:40" ht="14" x14ac:dyDescent="0.35">
      <c r="A241" s="55" t="str">
        <f t="shared" si="0"/>
        <v/>
      </c>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row>
    <row r="242" spans="1:40" ht="14" x14ac:dyDescent="0.35">
      <c r="A242" s="55" t="str">
        <f t="shared" si="0"/>
        <v/>
      </c>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row>
    <row r="243" spans="1:40" ht="14" x14ac:dyDescent="0.35">
      <c r="A243" s="55" t="str">
        <f t="shared" si="0"/>
        <v/>
      </c>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row>
    <row r="244" spans="1:40" ht="14" x14ac:dyDescent="0.35">
      <c r="A244" s="55" t="str">
        <f t="shared" si="0"/>
        <v/>
      </c>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row>
    <row r="245" spans="1:40" ht="14" x14ac:dyDescent="0.35">
      <c r="A245" s="55" t="str">
        <f t="shared" si="0"/>
        <v/>
      </c>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c r="AM245" s="55"/>
      <c r="AN245" s="55"/>
    </row>
    <row r="246" spans="1:40" ht="14" x14ac:dyDescent="0.35">
      <c r="A246" s="55" t="str">
        <f t="shared" si="0"/>
        <v/>
      </c>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c r="AM246" s="55"/>
      <c r="AN246" s="55"/>
    </row>
    <row r="247" spans="1:40" ht="14" x14ac:dyDescent="0.35">
      <c r="A247" s="55" t="str">
        <f t="shared" si="0"/>
        <v/>
      </c>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5"/>
      <c r="AE247" s="55"/>
      <c r="AF247" s="55"/>
      <c r="AG247" s="55"/>
      <c r="AH247" s="55"/>
      <c r="AI247" s="55"/>
      <c r="AJ247" s="55"/>
      <c r="AK247" s="55"/>
      <c r="AL247" s="55"/>
      <c r="AM247" s="55"/>
      <c r="AN247" s="55"/>
    </row>
    <row r="248" spans="1:40" ht="14" x14ac:dyDescent="0.35">
      <c r="A248" s="55" t="str">
        <f t="shared" si="0"/>
        <v/>
      </c>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c r="AI248" s="55"/>
      <c r="AJ248" s="55"/>
      <c r="AK248" s="55"/>
      <c r="AL248" s="55"/>
      <c r="AM248" s="55"/>
      <c r="AN248" s="55"/>
    </row>
    <row r="249" spans="1:40" ht="14" x14ac:dyDescent="0.35">
      <c r="A249" s="55" t="str">
        <f t="shared" si="0"/>
        <v/>
      </c>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c r="AM249" s="55"/>
      <c r="AN249" s="55"/>
    </row>
    <row r="250" spans="1:40" ht="14" x14ac:dyDescent="0.35">
      <c r="A250" s="55" t="str">
        <f t="shared" si="0"/>
        <v/>
      </c>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c r="AM250" s="55"/>
      <c r="AN250" s="55"/>
    </row>
    <row r="251" spans="1:40" ht="14" x14ac:dyDescent="0.35">
      <c r="A251" s="55" t="str">
        <f t="shared" si="0"/>
        <v/>
      </c>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c r="AM251" s="55"/>
      <c r="AN251" s="55"/>
    </row>
    <row r="252" spans="1:40" ht="14" x14ac:dyDescent="0.35">
      <c r="A252" s="55" t="str">
        <f t="shared" si="0"/>
        <v/>
      </c>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c r="AI252" s="55"/>
      <c r="AJ252" s="55"/>
      <c r="AK252" s="55"/>
      <c r="AL252" s="55"/>
      <c r="AM252" s="55"/>
      <c r="AN252" s="55"/>
    </row>
    <row r="253" spans="1:40" ht="14" x14ac:dyDescent="0.35">
      <c r="A253" s="55" t="str">
        <f t="shared" si="0"/>
        <v/>
      </c>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c r="AM253" s="55"/>
      <c r="AN253" s="55"/>
    </row>
    <row r="254" spans="1:40" ht="14" x14ac:dyDescent="0.35">
      <c r="A254" s="55" t="str">
        <f t="shared" si="0"/>
        <v/>
      </c>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row>
    <row r="255" spans="1:40" ht="14" x14ac:dyDescent="0.35">
      <c r="A255" s="55" t="str">
        <f t="shared" si="0"/>
        <v/>
      </c>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c r="AN255" s="55"/>
    </row>
    <row r="256" spans="1:40" ht="14" x14ac:dyDescent="0.35">
      <c r="A256" s="55" t="str">
        <f t="shared" si="0"/>
        <v/>
      </c>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c r="AN256" s="55"/>
    </row>
    <row r="257" spans="1:40" ht="14" x14ac:dyDescent="0.35">
      <c r="A257" s="55" t="str">
        <f t="shared" si="0"/>
        <v/>
      </c>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c r="AL257" s="55"/>
      <c r="AM257" s="55"/>
      <c r="AN257" s="55"/>
    </row>
    <row r="258" spans="1:40" ht="14" x14ac:dyDescent="0.35">
      <c r="A258" s="55" t="str">
        <f t="shared" si="0"/>
        <v/>
      </c>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c r="AM258" s="55"/>
      <c r="AN258" s="55"/>
    </row>
    <row r="259" spans="1:40" ht="14" x14ac:dyDescent="0.35">
      <c r="A259" s="55" t="str">
        <f t="shared" si="0"/>
        <v/>
      </c>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c r="AM259" s="55"/>
      <c r="AN259" s="55"/>
    </row>
    <row r="260" spans="1:40" ht="14" x14ac:dyDescent="0.35">
      <c r="A260" s="55" t="str">
        <f t="shared" si="0"/>
        <v/>
      </c>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c r="AM260" s="55"/>
      <c r="AN260" s="55"/>
    </row>
    <row r="261" spans="1:40" ht="14" x14ac:dyDescent="0.35">
      <c r="A261" s="55" t="str">
        <f t="shared" si="0"/>
        <v/>
      </c>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c r="AM261" s="55"/>
      <c r="AN261" s="55"/>
    </row>
    <row r="262" spans="1:40" ht="14" x14ac:dyDescent="0.35">
      <c r="A262" s="55" t="str">
        <f t="shared" si="0"/>
        <v/>
      </c>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c r="AM262" s="55"/>
      <c r="AN262" s="55"/>
    </row>
    <row r="263" spans="1:40" ht="14" x14ac:dyDescent="0.35">
      <c r="A263" s="55" t="str">
        <f t="shared" si="0"/>
        <v/>
      </c>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c r="AA263" s="55"/>
      <c r="AB263" s="55"/>
      <c r="AC263" s="55"/>
      <c r="AD263" s="55"/>
      <c r="AE263" s="55"/>
      <c r="AF263" s="55"/>
      <c r="AG263" s="55"/>
      <c r="AH263" s="55"/>
      <c r="AI263" s="55"/>
      <c r="AJ263" s="55"/>
      <c r="AK263" s="55"/>
      <c r="AL263" s="55"/>
      <c r="AM263" s="55"/>
      <c r="AN263" s="55"/>
    </row>
    <row r="264" spans="1:40" ht="14" x14ac:dyDescent="0.35">
      <c r="A264" s="55" t="str">
        <f t="shared" si="0"/>
        <v/>
      </c>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55"/>
      <c r="AD264" s="55"/>
      <c r="AE264" s="55"/>
      <c r="AF264" s="55"/>
      <c r="AG264" s="55"/>
      <c r="AH264" s="55"/>
      <c r="AI264" s="55"/>
      <c r="AJ264" s="55"/>
      <c r="AK264" s="55"/>
      <c r="AL264" s="55"/>
      <c r="AM264" s="55"/>
      <c r="AN264" s="55"/>
    </row>
    <row r="265" spans="1:40" ht="14" x14ac:dyDescent="0.35">
      <c r="A265" s="55" t="str">
        <f t="shared" si="0"/>
        <v/>
      </c>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5"/>
      <c r="AE265" s="55"/>
      <c r="AF265" s="55"/>
      <c r="AG265" s="55"/>
      <c r="AH265" s="55"/>
      <c r="AI265" s="55"/>
      <c r="AJ265" s="55"/>
      <c r="AK265" s="55"/>
      <c r="AL265" s="55"/>
      <c r="AM265" s="55"/>
      <c r="AN265" s="55"/>
    </row>
    <row r="266" spans="1:40" ht="14" x14ac:dyDescent="0.35">
      <c r="A266" s="55" t="str">
        <f t="shared" si="0"/>
        <v/>
      </c>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c r="AI266" s="55"/>
      <c r="AJ266" s="55"/>
      <c r="AK266" s="55"/>
      <c r="AL266" s="55"/>
      <c r="AM266" s="55"/>
      <c r="AN266" s="55"/>
    </row>
    <row r="267" spans="1:40" ht="14" x14ac:dyDescent="0.35">
      <c r="A267" s="55" t="str">
        <f t="shared" si="0"/>
        <v/>
      </c>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5"/>
      <c r="AE267" s="55"/>
      <c r="AF267" s="55"/>
      <c r="AG267" s="55"/>
      <c r="AH267" s="55"/>
      <c r="AI267" s="55"/>
      <c r="AJ267" s="55"/>
      <c r="AK267" s="55"/>
      <c r="AL267" s="55"/>
      <c r="AM267" s="55"/>
      <c r="AN267" s="55"/>
    </row>
    <row r="268" spans="1:40" ht="14" x14ac:dyDescent="0.35">
      <c r="A268" s="55" t="str">
        <f t="shared" si="0"/>
        <v/>
      </c>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5"/>
      <c r="AD268" s="55"/>
      <c r="AE268" s="55"/>
      <c r="AF268" s="55"/>
      <c r="AG268" s="55"/>
      <c r="AH268" s="55"/>
      <c r="AI268" s="55"/>
      <c r="AJ268" s="55"/>
      <c r="AK268" s="55"/>
      <c r="AL268" s="55"/>
      <c r="AM268" s="55"/>
      <c r="AN268" s="55"/>
    </row>
    <row r="269" spans="1:40" ht="14" x14ac:dyDescent="0.35">
      <c r="A269" s="55" t="str">
        <f t="shared" si="0"/>
        <v/>
      </c>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5"/>
      <c r="AE269" s="55"/>
      <c r="AF269" s="55"/>
      <c r="AG269" s="55"/>
      <c r="AH269" s="55"/>
      <c r="AI269" s="55"/>
      <c r="AJ269" s="55"/>
      <c r="AK269" s="55"/>
      <c r="AL269" s="55"/>
      <c r="AM269" s="55"/>
      <c r="AN269" s="55"/>
    </row>
    <row r="270" spans="1:40" ht="14" x14ac:dyDescent="0.35">
      <c r="A270" s="55" t="str">
        <f t="shared" si="0"/>
        <v/>
      </c>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5"/>
      <c r="AE270" s="55"/>
      <c r="AF270" s="55"/>
      <c r="AG270" s="55"/>
      <c r="AH270" s="55"/>
      <c r="AI270" s="55"/>
      <c r="AJ270" s="55"/>
      <c r="AK270" s="55"/>
      <c r="AL270" s="55"/>
      <c r="AM270" s="55"/>
      <c r="AN270" s="55"/>
    </row>
    <row r="271" spans="1:40" ht="14" x14ac:dyDescent="0.35">
      <c r="A271" s="55" t="str">
        <f t="shared" si="0"/>
        <v/>
      </c>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5"/>
      <c r="AE271" s="55"/>
      <c r="AF271" s="55"/>
      <c r="AG271" s="55"/>
      <c r="AH271" s="55"/>
      <c r="AI271" s="55"/>
      <c r="AJ271" s="55"/>
      <c r="AK271" s="55"/>
      <c r="AL271" s="55"/>
      <c r="AM271" s="55"/>
      <c r="AN271" s="55"/>
    </row>
    <row r="272" spans="1:40" ht="14" x14ac:dyDescent="0.35">
      <c r="A272" s="55" t="str">
        <f t="shared" si="0"/>
        <v/>
      </c>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5"/>
      <c r="AE272" s="55"/>
      <c r="AF272" s="55"/>
      <c r="AG272" s="55"/>
      <c r="AH272" s="55"/>
      <c r="AI272" s="55"/>
      <c r="AJ272" s="55"/>
      <c r="AK272" s="55"/>
      <c r="AL272" s="55"/>
      <c r="AM272" s="55"/>
      <c r="AN272" s="55"/>
    </row>
    <row r="273" spans="1:40" ht="14" x14ac:dyDescent="0.35">
      <c r="A273" s="55" t="str">
        <f t="shared" si="0"/>
        <v/>
      </c>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5"/>
      <c r="AE273" s="55"/>
      <c r="AF273" s="55"/>
      <c r="AG273" s="55"/>
      <c r="AH273" s="55"/>
      <c r="AI273" s="55"/>
      <c r="AJ273" s="55"/>
      <c r="AK273" s="55"/>
      <c r="AL273" s="55"/>
      <c r="AM273" s="55"/>
      <c r="AN273" s="55"/>
    </row>
    <row r="274" spans="1:40" ht="14" x14ac:dyDescent="0.35">
      <c r="A274" s="55" t="str">
        <f t="shared" si="0"/>
        <v/>
      </c>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5"/>
      <c r="AD274" s="55"/>
      <c r="AE274" s="55"/>
      <c r="AF274" s="55"/>
      <c r="AG274" s="55"/>
      <c r="AH274" s="55"/>
      <c r="AI274" s="55"/>
      <c r="AJ274" s="55"/>
      <c r="AK274" s="55"/>
      <c r="AL274" s="55"/>
      <c r="AM274" s="55"/>
      <c r="AN274" s="55"/>
    </row>
    <row r="275" spans="1:40" ht="14" x14ac:dyDescent="0.35">
      <c r="A275" s="55" t="str">
        <f t="shared" si="0"/>
        <v/>
      </c>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5"/>
      <c r="AE275" s="55"/>
      <c r="AF275" s="55"/>
      <c r="AG275" s="55"/>
      <c r="AH275" s="55"/>
      <c r="AI275" s="55"/>
      <c r="AJ275" s="55"/>
      <c r="AK275" s="55"/>
      <c r="AL275" s="55"/>
      <c r="AM275" s="55"/>
      <c r="AN275" s="55"/>
    </row>
    <row r="276" spans="1:40" ht="14" x14ac:dyDescent="0.35">
      <c r="A276" s="55" t="str">
        <f t="shared" si="0"/>
        <v/>
      </c>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5"/>
      <c r="AE276" s="55"/>
      <c r="AF276" s="55"/>
      <c r="AG276" s="55"/>
      <c r="AH276" s="55"/>
      <c r="AI276" s="55"/>
      <c r="AJ276" s="55"/>
      <c r="AK276" s="55"/>
      <c r="AL276" s="55"/>
      <c r="AM276" s="55"/>
      <c r="AN276" s="55"/>
    </row>
    <row r="277" spans="1:40" ht="14" x14ac:dyDescent="0.35">
      <c r="A277" s="55" t="str">
        <f t="shared" si="0"/>
        <v/>
      </c>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5"/>
      <c r="AE277" s="55"/>
      <c r="AF277" s="55"/>
      <c r="AG277" s="55"/>
      <c r="AH277" s="55"/>
      <c r="AI277" s="55"/>
      <c r="AJ277" s="55"/>
      <c r="AK277" s="55"/>
      <c r="AL277" s="55"/>
      <c r="AM277" s="55"/>
      <c r="AN277" s="55"/>
    </row>
    <row r="278" spans="1:40" ht="14" x14ac:dyDescent="0.35">
      <c r="A278" s="55" t="str">
        <f t="shared" si="0"/>
        <v/>
      </c>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5"/>
      <c r="AE278" s="55"/>
      <c r="AF278" s="55"/>
      <c r="AG278" s="55"/>
      <c r="AH278" s="55"/>
      <c r="AI278" s="55"/>
      <c r="AJ278" s="55"/>
      <c r="AK278" s="55"/>
      <c r="AL278" s="55"/>
      <c r="AM278" s="55"/>
      <c r="AN278" s="55"/>
    </row>
    <row r="279" spans="1:40" ht="14" x14ac:dyDescent="0.35">
      <c r="A279" s="55" t="str">
        <f t="shared" si="0"/>
        <v/>
      </c>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c r="AM279" s="55"/>
      <c r="AN279" s="55"/>
    </row>
    <row r="280" spans="1:40" ht="14" x14ac:dyDescent="0.35">
      <c r="A280" s="55" t="str">
        <f t="shared" si="0"/>
        <v/>
      </c>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5"/>
      <c r="AE280" s="55"/>
      <c r="AF280" s="55"/>
      <c r="AG280" s="55"/>
      <c r="AH280" s="55"/>
      <c r="AI280" s="55"/>
      <c r="AJ280" s="55"/>
      <c r="AK280" s="55"/>
      <c r="AL280" s="55"/>
      <c r="AM280" s="55"/>
      <c r="AN280" s="55"/>
    </row>
    <row r="281" spans="1:40" ht="14" x14ac:dyDescent="0.35">
      <c r="A281" s="55" t="str">
        <f t="shared" si="0"/>
        <v/>
      </c>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5"/>
      <c r="AE281" s="55"/>
      <c r="AF281" s="55"/>
      <c r="AG281" s="55"/>
      <c r="AH281" s="55"/>
      <c r="AI281" s="55"/>
      <c r="AJ281" s="55"/>
      <c r="AK281" s="55"/>
      <c r="AL281" s="55"/>
      <c r="AM281" s="55"/>
      <c r="AN281" s="55"/>
    </row>
    <row r="282" spans="1:40" ht="14" x14ac:dyDescent="0.35">
      <c r="A282" s="55" t="str">
        <f t="shared" si="0"/>
        <v/>
      </c>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55"/>
      <c r="AD282" s="55"/>
      <c r="AE282" s="55"/>
      <c r="AF282" s="55"/>
      <c r="AG282" s="55"/>
      <c r="AH282" s="55"/>
      <c r="AI282" s="55"/>
      <c r="AJ282" s="55"/>
      <c r="AK282" s="55"/>
      <c r="AL282" s="55"/>
      <c r="AM282" s="55"/>
      <c r="AN282" s="55"/>
    </row>
    <row r="283" spans="1:40" ht="14" x14ac:dyDescent="0.35">
      <c r="A283" s="55" t="str">
        <f t="shared" si="0"/>
        <v/>
      </c>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5"/>
      <c r="AE283" s="55"/>
      <c r="AF283" s="55"/>
      <c r="AG283" s="55"/>
      <c r="AH283" s="55"/>
      <c r="AI283" s="55"/>
      <c r="AJ283" s="55"/>
      <c r="AK283" s="55"/>
      <c r="AL283" s="55"/>
      <c r="AM283" s="55"/>
      <c r="AN283" s="55"/>
    </row>
    <row r="284" spans="1:40" ht="14" x14ac:dyDescent="0.35">
      <c r="A284" s="55" t="str">
        <f t="shared" si="0"/>
        <v/>
      </c>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5"/>
      <c r="AE284" s="55"/>
      <c r="AF284" s="55"/>
      <c r="AG284" s="55"/>
      <c r="AH284" s="55"/>
      <c r="AI284" s="55"/>
      <c r="AJ284" s="55"/>
      <c r="AK284" s="55"/>
      <c r="AL284" s="55"/>
      <c r="AM284" s="55"/>
      <c r="AN284" s="55"/>
    </row>
    <row r="285" spans="1:40" ht="14" x14ac:dyDescent="0.35">
      <c r="A285" s="55" t="str">
        <f t="shared" si="0"/>
        <v/>
      </c>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5"/>
      <c r="AE285" s="55"/>
      <c r="AF285" s="55"/>
      <c r="AG285" s="55"/>
      <c r="AH285" s="55"/>
      <c r="AI285" s="55"/>
      <c r="AJ285" s="55"/>
      <c r="AK285" s="55"/>
      <c r="AL285" s="55"/>
      <c r="AM285" s="55"/>
      <c r="AN285" s="55"/>
    </row>
    <row r="286" spans="1:40" ht="14" x14ac:dyDescent="0.35">
      <c r="A286" s="55" t="str">
        <f t="shared" si="0"/>
        <v/>
      </c>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5"/>
      <c r="AE286" s="55"/>
      <c r="AF286" s="55"/>
      <c r="AG286" s="55"/>
      <c r="AH286" s="55"/>
      <c r="AI286" s="55"/>
      <c r="AJ286" s="55"/>
      <c r="AK286" s="55"/>
      <c r="AL286" s="55"/>
      <c r="AM286" s="55"/>
      <c r="AN286" s="55"/>
    </row>
    <row r="287" spans="1:40" ht="14" x14ac:dyDescent="0.35">
      <c r="A287" s="55" t="str">
        <f t="shared" si="0"/>
        <v/>
      </c>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5"/>
      <c r="AE287" s="55"/>
      <c r="AF287" s="55"/>
      <c r="AG287" s="55"/>
      <c r="AH287" s="55"/>
      <c r="AI287" s="55"/>
      <c r="AJ287" s="55"/>
      <c r="AK287" s="55"/>
      <c r="AL287" s="55"/>
      <c r="AM287" s="55"/>
      <c r="AN287" s="55"/>
    </row>
    <row r="288" spans="1:40" ht="14" x14ac:dyDescent="0.35">
      <c r="A288" s="55" t="str">
        <f t="shared" si="0"/>
        <v/>
      </c>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5"/>
      <c r="AE288" s="55"/>
      <c r="AF288" s="55"/>
      <c r="AG288" s="55"/>
      <c r="AH288" s="55"/>
      <c r="AI288" s="55"/>
      <c r="AJ288" s="55"/>
      <c r="AK288" s="55"/>
      <c r="AL288" s="55"/>
      <c r="AM288" s="55"/>
      <c r="AN288" s="55"/>
    </row>
    <row r="289" spans="1:40" ht="14" x14ac:dyDescent="0.35">
      <c r="A289" s="55" t="str">
        <f t="shared" si="0"/>
        <v/>
      </c>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5"/>
      <c r="AE289" s="55"/>
      <c r="AF289" s="55"/>
      <c r="AG289" s="55"/>
      <c r="AH289" s="55"/>
      <c r="AI289" s="55"/>
      <c r="AJ289" s="55"/>
      <c r="AK289" s="55"/>
      <c r="AL289" s="55"/>
      <c r="AM289" s="55"/>
      <c r="AN289" s="55"/>
    </row>
    <row r="290" spans="1:40" ht="14" x14ac:dyDescent="0.35">
      <c r="A290" s="55" t="str">
        <f t="shared" si="0"/>
        <v/>
      </c>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5"/>
      <c r="AD290" s="55"/>
      <c r="AE290" s="55"/>
      <c r="AF290" s="55"/>
      <c r="AG290" s="55"/>
      <c r="AH290" s="55"/>
      <c r="AI290" s="55"/>
      <c r="AJ290" s="55"/>
      <c r="AK290" s="55"/>
      <c r="AL290" s="55"/>
      <c r="AM290" s="55"/>
      <c r="AN290" s="55"/>
    </row>
    <row r="291" spans="1:40" ht="14" x14ac:dyDescent="0.35">
      <c r="A291" s="55" t="str">
        <f t="shared" si="0"/>
        <v/>
      </c>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5"/>
      <c r="AE291" s="55"/>
      <c r="AF291" s="55"/>
      <c r="AG291" s="55"/>
      <c r="AH291" s="55"/>
      <c r="AI291" s="55"/>
      <c r="AJ291" s="55"/>
      <c r="AK291" s="55"/>
      <c r="AL291" s="55"/>
      <c r="AM291" s="55"/>
      <c r="AN291" s="55"/>
    </row>
    <row r="292" spans="1:40" ht="14" x14ac:dyDescent="0.35">
      <c r="A292" s="55" t="str">
        <f t="shared" si="0"/>
        <v/>
      </c>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5"/>
      <c r="AE292" s="55"/>
      <c r="AF292" s="55"/>
      <c r="AG292" s="55"/>
      <c r="AH292" s="55"/>
      <c r="AI292" s="55"/>
      <c r="AJ292" s="55"/>
      <c r="AK292" s="55"/>
      <c r="AL292" s="55"/>
      <c r="AM292" s="55"/>
      <c r="AN292" s="55"/>
    </row>
    <row r="293" spans="1:40" ht="14" x14ac:dyDescent="0.35">
      <c r="A293" s="55" t="str">
        <f t="shared" si="0"/>
        <v/>
      </c>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c r="AN293" s="55"/>
    </row>
    <row r="294" spans="1:40" ht="14" x14ac:dyDescent="0.35">
      <c r="A294" s="55" t="str">
        <f t="shared" si="0"/>
        <v/>
      </c>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5"/>
      <c r="AM294" s="55"/>
      <c r="AN294" s="55"/>
    </row>
    <row r="295" spans="1:40" ht="14" x14ac:dyDescent="0.35">
      <c r="A295" s="55" t="str">
        <f t="shared" si="0"/>
        <v/>
      </c>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5"/>
      <c r="AE295" s="55"/>
      <c r="AF295" s="55"/>
      <c r="AG295" s="55"/>
      <c r="AH295" s="55"/>
      <c r="AI295" s="55"/>
      <c r="AJ295" s="55"/>
      <c r="AK295" s="55"/>
      <c r="AL295" s="55"/>
      <c r="AM295" s="55"/>
      <c r="AN295" s="55"/>
    </row>
    <row r="296" spans="1:40" ht="14" x14ac:dyDescent="0.35">
      <c r="A296" s="55" t="str">
        <f t="shared" si="0"/>
        <v/>
      </c>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5"/>
      <c r="AE296" s="55"/>
      <c r="AF296" s="55"/>
      <c r="AG296" s="55"/>
      <c r="AH296" s="55"/>
      <c r="AI296" s="55"/>
      <c r="AJ296" s="55"/>
      <c r="AK296" s="55"/>
      <c r="AL296" s="55"/>
      <c r="AM296" s="55"/>
      <c r="AN296" s="55"/>
    </row>
    <row r="297" spans="1:40" ht="14" x14ac:dyDescent="0.35">
      <c r="A297" s="55" t="str">
        <f t="shared" si="0"/>
        <v/>
      </c>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5"/>
      <c r="AE297" s="55"/>
      <c r="AF297" s="55"/>
      <c r="AG297" s="55"/>
      <c r="AH297" s="55"/>
      <c r="AI297" s="55"/>
      <c r="AJ297" s="55"/>
      <c r="AK297" s="55"/>
      <c r="AL297" s="55"/>
      <c r="AM297" s="55"/>
      <c r="AN297" s="55"/>
    </row>
    <row r="298" spans="1:40" ht="14" x14ac:dyDescent="0.35">
      <c r="A298" s="55" t="str">
        <f t="shared" si="0"/>
        <v/>
      </c>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c r="AI298" s="55"/>
      <c r="AJ298" s="55"/>
      <c r="AK298" s="55"/>
      <c r="AL298" s="55"/>
      <c r="AM298" s="55"/>
      <c r="AN298" s="55"/>
    </row>
    <row r="299" spans="1:40" ht="14" x14ac:dyDescent="0.35">
      <c r="A299" s="55" t="str">
        <f t="shared" si="0"/>
        <v/>
      </c>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5"/>
      <c r="AE299" s="55"/>
      <c r="AF299" s="55"/>
      <c r="AG299" s="55"/>
      <c r="AH299" s="55"/>
      <c r="AI299" s="55"/>
      <c r="AJ299" s="55"/>
      <c r="AK299" s="55"/>
      <c r="AL299" s="55"/>
      <c r="AM299" s="55"/>
      <c r="AN299" s="55"/>
    </row>
    <row r="300" spans="1:40" ht="14" x14ac:dyDescent="0.35">
      <c r="A300" s="55" t="str">
        <f t="shared" si="0"/>
        <v/>
      </c>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5"/>
      <c r="AE300" s="55"/>
      <c r="AF300" s="55"/>
      <c r="AG300" s="55"/>
      <c r="AH300" s="55"/>
      <c r="AI300" s="55"/>
      <c r="AJ300" s="55"/>
      <c r="AK300" s="55"/>
      <c r="AL300" s="55"/>
      <c r="AM300" s="55"/>
      <c r="AN300" s="55"/>
    </row>
    <row r="301" spans="1:40" ht="14" x14ac:dyDescent="0.35">
      <c r="A301" s="55" t="str">
        <f t="shared" si="0"/>
        <v/>
      </c>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5"/>
      <c r="AE301" s="55"/>
      <c r="AF301" s="55"/>
      <c r="AG301" s="55"/>
      <c r="AH301" s="55"/>
      <c r="AI301" s="55"/>
      <c r="AJ301" s="55"/>
      <c r="AK301" s="55"/>
      <c r="AL301" s="55"/>
      <c r="AM301" s="55"/>
      <c r="AN301" s="55"/>
    </row>
    <row r="302" spans="1:40" ht="14" x14ac:dyDescent="0.35">
      <c r="A302" s="55" t="str">
        <f t="shared" si="0"/>
        <v/>
      </c>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5"/>
      <c r="AD302" s="55"/>
      <c r="AE302" s="55"/>
      <c r="AF302" s="55"/>
      <c r="AG302" s="55"/>
      <c r="AH302" s="55"/>
      <c r="AI302" s="55"/>
      <c r="AJ302" s="55"/>
      <c r="AK302" s="55"/>
      <c r="AL302" s="55"/>
      <c r="AM302" s="55"/>
      <c r="AN302" s="55"/>
    </row>
    <row r="303" spans="1:40" ht="14" x14ac:dyDescent="0.35">
      <c r="A303" s="55" t="str">
        <f t="shared" si="0"/>
        <v/>
      </c>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5"/>
      <c r="AE303" s="55"/>
      <c r="AF303" s="55"/>
      <c r="AG303" s="55"/>
      <c r="AH303" s="55"/>
      <c r="AI303" s="55"/>
      <c r="AJ303" s="55"/>
      <c r="AK303" s="55"/>
      <c r="AL303" s="55"/>
      <c r="AM303" s="55"/>
      <c r="AN303" s="55"/>
    </row>
    <row r="304" spans="1:40" ht="14" x14ac:dyDescent="0.35">
      <c r="A304" s="55" t="str">
        <f t="shared" si="0"/>
        <v/>
      </c>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5"/>
      <c r="AE304" s="55"/>
      <c r="AF304" s="55"/>
      <c r="AG304" s="55"/>
      <c r="AH304" s="55"/>
      <c r="AI304" s="55"/>
      <c r="AJ304" s="55"/>
      <c r="AK304" s="55"/>
      <c r="AL304" s="55"/>
      <c r="AM304" s="55"/>
      <c r="AN304" s="55"/>
    </row>
    <row r="305" spans="1:40" ht="14" x14ac:dyDescent="0.35">
      <c r="A305" s="55" t="str">
        <f t="shared" si="0"/>
        <v/>
      </c>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5"/>
      <c r="AE305" s="55"/>
      <c r="AF305" s="55"/>
      <c r="AG305" s="55"/>
      <c r="AH305" s="55"/>
      <c r="AI305" s="55"/>
      <c r="AJ305" s="55"/>
      <c r="AK305" s="55"/>
      <c r="AL305" s="55"/>
      <c r="AM305" s="55"/>
      <c r="AN305" s="55"/>
    </row>
    <row r="306" spans="1:40" ht="14" x14ac:dyDescent="0.35">
      <c r="A306" s="55" t="str">
        <f t="shared" si="0"/>
        <v/>
      </c>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5"/>
      <c r="AE306" s="55"/>
      <c r="AF306" s="55"/>
      <c r="AG306" s="55"/>
      <c r="AH306" s="55"/>
      <c r="AI306" s="55"/>
      <c r="AJ306" s="55"/>
      <c r="AK306" s="55"/>
      <c r="AL306" s="55"/>
      <c r="AM306" s="55"/>
      <c r="AN306" s="55"/>
    </row>
    <row r="307" spans="1:40" ht="14" x14ac:dyDescent="0.35">
      <c r="A307" s="55" t="str">
        <f t="shared" si="0"/>
        <v/>
      </c>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5"/>
      <c r="AE307" s="55"/>
      <c r="AF307" s="55"/>
      <c r="AG307" s="55"/>
      <c r="AH307" s="55"/>
      <c r="AI307" s="55"/>
      <c r="AJ307" s="55"/>
      <c r="AK307" s="55"/>
      <c r="AL307" s="55"/>
      <c r="AM307" s="55"/>
      <c r="AN307" s="55"/>
    </row>
    <row r="308" spans="1:40" ht="14" x14ac:dyDescent="0.35">
      <c r="A308" s="55" t="str">
        <f t="shared" si="0"/>
        <v/>
      </c>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5"/>
      <c r="AE308" s="55"/>
      <c r="AF308" s="55"/>
      <c r="AG308" s="55"/>
      <c r="AH308" s="55"/>
      <c r="AI308" s="55"/>
      <c r="AJ308" s="55"/>
      <c r="AK308" s="55"/>
      <c r="AL308" s="55"/>
      <c r="AM308" s="55"/>
      <c r="AN308" s="55"/>
    </row>
    <row r="309" spans="1:40" ht="14" x14ac:dyDescent="0.35">
      <c r="A309" s="55" t="str">
        <f t="shared" si="0"/>
        <v/>
      </c>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5"/>
      <c r="AE309" s="55"/>
      <c r="AF309" s="55"/>
      <c r="AG309" s="55"/>
      <c r="AH309" s="55"/>
      <c r="AI309" s="55"/>
      <c r="AJ309" s="55"/>
      <c r="AK309" s="55"/>
      <c r="AL309" s="55"/>
      <c r="AM309" s="55"/>
      <c r="AN309" s="55"/>
    </row>
    <row r="310" spans="1:40" ht="14" x14ac:dyDescent="0.35">
      <c r="A310" s="55" t="str">
        <f t="shared" si="0"/>
        <v/>
      </c>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5"/>
      <c r="AE310" s="55"/>
      <c r="AF310" s="55"/>
      <c r="AG310" s="55"/>
      <c r="AH310" s="55"/>
      <c r="AI310" s="55"/>
      <c r="AJ310" s="55"/>
      <c r="AK310" s="55"/>
      <c r="AL310" s="55"/>
      <c r="AM310" s="55"/>
      <c r="AN310" s="55"/>
    </row>
    <row r="311" spans="1:40" ht="14" x14ac:dyDescent="0.35">
      <c r="A311" s="55" t="str">
        <f t="shared" si="0"/>
        <v/>
      </c>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5"/>
      <c r="AE311" s="55"/>
      <c r="AF311" s="55"/>
      <c r="AG311" s="55"/>
      <c r="AH311" s="55"/>
      <c r="AI311" s="55"/>
      <c r="AJ311" s="55"/>
      <c r="AK311" s="55"/>
      <c r="AL311" s="55"/>
      <c r="AM311" s="55"/>
      <c r="AN311" s="55"/>
    </row>
    <row r="312" spans="1:40" ht="14" x14ac:dyDescent="0.35">
      <c r="A312" s="55" t="str">
        <f t="shared" si="0"/>
        <v/>
      </c>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5"/>
      <c r="AE312" s="55"/>
      <c r="AF312" s="55"/>
      <c r="AG312" s="55"/>
      <c r="AH312" s="55"/>
      <c r="AI312" s="55"/>
      <c r="AJ312" s="55"/>
      <c r="AK312" s="55"/>
      <c r="AL312" s="55"/>
      <c r="AM312" s="55"/>
      <c r="AN312" s="55"/>
    </row>
    <row r="313" spans="1:40" ht="14" x14ac:dyDescent="0.35">
      <c r="A313" s="55" t="str">
        <f t="shared" si="0"/>
        <v/>
      </c>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5"/>
      <c r="AE313" s="55"/>
      <c r="AF313" s="55"/>
      <c r="AG313" s="55"/>
      <c r="AH313" s="55"/>
      <c r="AI313" s="55"/>
      <c r="AJ313" s="55"/>
      <c r="AK313" s="55"/>
      <c r="AL313" s="55"/>
      <c r="AM313" s="55"/>
      <c r="AN313" s="55"/>
    </row>
    <row r="314" spans="1:40" ht="14" x14ac:dyDescent="0.35">
      <c r="A314" s="55" t="str">
        <f t="shared" si="0"/>
        <v/>
      </c>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5"/>
      <c r="AE314" s="55"/>
      <c r="AF314" s="55"/>
      <c r="AG314" s="55"/>
      <c r="AH314" s="55"/>
      <c r="AI314" s="55"/>
      <c r="AJ314" s="55"/>
      <c r="AK314" s="55"/>
      <c r="AL314" s="55"/>
      <c r="AM314" s="55"/>
      <c r="AN314" s="55"/>
    </row>
    <row r="315" spans="1:40" ht="14" x14ac:dyDescent="0.35">
      <c r="A315" s="55" t="str">
        <f t="shared" si="0"/>
        <v/>
      </c>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c r="AM315" s="55"/>
      <c r="AN315" s="55"/>
    </row>
    <row r="316" spans="1:40" ht="14" x14ac:dyDescent="0.35">
      <c r="A316" s="55" t="str">
        <f t="shared" si="0"/>
        <v/>
      </c>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5"/>
      <c r="AE316" s="55"/>
      <c r="AF316" s="55"/>
      <c r="AG316" s="55"/>
      <c r="AH316" s="55"/>
      <c r="AI316" s="55"/>
      <c r="AJ316" s="55"/>
      <c r="AK316" s="55"/>
      <c r="AL316" s="55"/>
      <c r="AM316" s="55"/>
      <c r="AN316" s="55"/>
    </row>
    <row r="317" spans="1:40" ht="14" x14ac:dyDescent="0.35">
      <c r="A317" s="55" t="str">
        <f t="shared" si="0"/>
        <v/>
      </c>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c r="AM317" s="55"/>
      <c r="AN317" s="55"/>
    </row>
    <row r="318" spans="1:40" ht="14" x14ac:dyDescent="0.35">
      <c r="A318" s="55" t="str">
        <f t="shared" si="0"/>
        <v/>
      </c>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row>
    <row r="319" spans="1:40" ht="14" x14ac:dyDescent="0.35">
      <c r="A319" s="55" t="str">
        <f t="shared" si="0"/>
        <v/>
      </c>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5"/>
      <c r="AE319" s="55"/>
      <c r="AF319" s="55"/>
      <c r="AG319" s="55"/>
      <c r="AH319" s="55"/>
      <c r="AI319" s="55"/>
      <c r="AJ319" s="55"/>
      <c r="AK319" s="55"/>
      <c r="AL319" s="55"/>
      <c r="AM319" s="55"/>
      <c r="AN319" s="55"/>
    </row>
    <row r="320" spans="1:40" ht="14" x14ac:dyDescent="0.35">
      <c r="A320" s="55" t="str">
        <f t="shared" si="0"/>
        <v/>
      </c>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c r="AM320" s="55"/>
      <c r="AN320" s="55"/>
    </row>
    <row r="321" spans="1:40" ht="14" x14ac:dyDescent="0.35">
      <c r="A321" s="55" t="str">
        <f t="shared" si="0"/>
        <v/>
      </c>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row>
    <row r="322" spans="1:40" ht="14" x14ac:dyDescent="0.35">
      <c r="A322" s="55" t="str">
        <f t="shared" si="0"/>
        <v/>
      </c>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row>
    <row r="323" spans="1:40" ht="14" x14ac:dyDescent="0.35">
      <c r="A323" s="55" t="str">
        <f t="shared" si="0"/>
        <v/>
      </c>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c r="AM323" s="55"/>
      <c r="AN323" s="55"/>
    </row>
    <row r="324" spans="1:40" ht="14" x14ac:dyDescent="0.35">
      <c r="A324" s="55" t="str">
        <f t="shared" si="0"/>
        <v/>
      </c>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5"/>
      <c r="AE324" s="55"/>
      <c r="AF324" s="55"/>
      <c r="AG324" s="55"/>
      <c r="AH324" s="55"/>
      <c r="AI324" s="55"/>
      <c r="AJ324" s="55"/>
      <c r="AK324" s="55"/>
      <c r="AL324" s="55"/>
      <c r="AM324" s="55"/>
      <c r="AN324" s="55"/>
    </row>
    <row r="325" spans="1:40" ht="14" x14ac:dyDescent="0.35">
      <c r="A325" s="55" t="str">
        <f t="shared" si="0"/>
        <v/>
      </c>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5"/>
      <c r="AE325" s="55"/>
      <c r="AF325" s="55"/>
      <c r="AG325" s="55"/>
      <c r="AH325" s="55"/>
      <c r="AI325" s="55"/>
      <c r="AJ325" s="55"/>
      <c r="AK325" s="55"/>
      <c r="AL325" s="55"/>
      <c r="AM325" s="55"/>
      <c r="AN325" s="55"/>
    </row>
    <row r="326" spans="1:40" ht="14" x14ac:dyDescent="0.35">
      <c r="A326" s="55" t="str">
        <f t="shared" si="0"/>
        <v/>
      </c>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c r="AD326" s="55"/>
      <c r="AE326" s="55"/>
      <c r="AF326" s="55"/>
      <c r="AG326" s="55"/>
      <c r="AH326" s="55"/>
      <c r="AI326" s="55"/>
      <c r="AJ326" s="55"/>
      <c r="AK326" s="55"/>
      <c r="AL326" s="55"/>
      <c r="AM326" s="55"/>
      <c r="AN326" s="55"/>
    </row>
    <row r="327" spans="1:40" ht="14" x14ac:dyDescent="0.35">
      <c r="A327" s="55" t="str">
        <f t="shared" si="0"/>
        <v/>
      </c>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5"/>
      <c r="AE327" s="55"/>
      <c r="AF327" s="55"/>
      <c r="AG327" s="55"/>
      <c r="AH327" s="55"/>
      <c r="AI327" s="55"/>
      <c r="AJ327" s="55"/>
      <c r="AK327" s="55"/>
      <c r="AL327" s="55"/>
      <c r="AM327" s="55"/>
      <c r="AN327" s="55"/>
    </row>
    <row r="328" spans="1:40" ht="14" x14ac:dyDescent="0.35">
      <c r="A328" s="55" t="str">
        <f t="shared" si="0"/>
        <v/>
      </c>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c r="AN328" s="55"/>
    </row>
    <row r="329" spans="1:40" ht="14" x14ac:dyDescent="0.35">
      <c r="A329" s="55" t="str">
        <f t="shared" si="0"/>
        <v/>
      </c>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c r="AA329" s="55"/>
      <c r="AB329" s="55"/>
      <c r="AC329" s="55"/>
      <c r="AD329" s="55"/>
      <c r="AE329" s="55"/>
      <c r="AF329" s="55"/>
      <c r="AG329" s="55"/>
      <c r="AH329" s="55"/>
      <c r="AI329" s="55"/>
      <c r="AJ329" s="55"/>
      <c r="AK329" s="55"/>
      <c r="AL329" s="55"/>
      <c r="AM329" s="55"/>
      <c r="AN329" s="55"/>
    </row>
    <row r="330" spans="1:40" ht="14" x14ac:dyDescent="0.35">
      <c r="A330" s="55" t="str">
        <f t="shared" si="0"/>
        <v/>
      </c>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5"/>
      <c r="AC330" s="55"/>
      <c r="AD330" s="55"/>
      <c r="AE330" s="55"/>
      <c r="AF330" s="55"/>
      <c r="AG330" s="55"/>
      <c r="AH330" s="55"/>
      <c r="AI330" s="55"/>
      <c r="AJ330" s="55"/>
      <c r="AK330" s="55"/>
      <c r="AL330" s="55"/>
      <c r="AM330" s="55"/>
      <c r="AN330" s="55"/>
    </row>
    <row r="331" spans="1:40" ht="14" x14ac:dyDescent="0.35">
      <c r="A331" s="55" t="str">
        <f t="shared" si="0"/>
        <v/>
      </c>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5"/>
      <c r="AE331" s="55"/>
      <c r="AF331" s="55"/>
      <c r="AG331" s="55"/>
      <c r="AH331" s="55"/>
      <c r="AI331" s="55"/>
      <c r="AJ331" s="55"/>
      <c r="AK331" s="55"/>
      <c r="AL331" s="55"/>
      <c r="AM331" s="55"/>
      <c r="AN331" s="55"/>
    </row>
    <row r="332" spans="1:40" ht="14" x14ac:dyDescent="0.35">
      <c r="A332" s="55" t="str">
        <f t="shared" si="0"/>
        <v/>
      </c>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5"/>
      <c r="AE332" s="55"/>
      <c r="AF332" s="55"/>
      <c r="AG332" s="55"/>
      <c r="AH332" s="55"/>
      <c r="AI332" s="55"/>
      <c r="AJ332" s="55"/>
      <c r="AK332" s="55"/>
      <c r="AL332" s="55"/>
      <c r="AM332" s="55"/>
      <c r="AN332" s="55"/>
    </row>
    <row r="333" spans="1:40" ht="14" x14ac:dyDescent="0.35">
      <c r="A333" s="55" t="str">
        <f t="shared" si="0"/>
        <v/>
      </c>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5"/>
      <c r="AE333" s="55"/>
      <c r="AF333" s="55"/>
      <c r="AG333" s="55"/>
      <c r="AH333" s="55"/>
      <c r="AI333" s="55"/>
      <c r="AJ333" s="55"/>
      <c r="AK333" s="55"/>
      <c r="AL333" s="55"/>
      <c r="AM333" s="55"/>
      <c r="AN333" s="55"/>
    </row>
    <row r="334" spans="1:40" ht="14" x14ac:dyDescent="0.35">
      <c r="A334" s="55" t="str">
        <f t="shared" si="0"/>
        <v/>
      </c>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5"/>
      <c r="AE334" s="55"/>
      <c r="AF334" s="55"/>
      <c r="AG334" s="55"/>
      <c r="AH334" s="55"/>
      <c r="AI334" s="55"/>
      <c r="AJ334" s="55"/>
      <c r="AK334" s="55"/>
      <c r="AL334" s="55"/>
      <c r="AM334" s="55"/>
      <c r="AN334" s="55"/>
    </row>
    <row r="335" spans="1:40" ht="14" x14ac:dyDescent="0.35">
      <c r="A335" s="55" t="str">
        <f t="shared" si="0"/>
        <v/>
      </c>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5"/>
      <c r="AE335" s="55"/>
      <c r="AF335" s="55"/>
      <c r="AG335" s="55"/>
      <c r="AH335" s="55"/>
      <c r="AI335" s="55"/>
      <c r="AJ335" s="55"/>
      <c r="AK335" s="55"/>
      <c r="AL335" s="55"/>
      <c r="AM335" s="55"/>
      <c r="AN335" s="55"/>
    </row>
    <row r="336" spans="1:40" ht="14" x14ac:dyDescent="0.35">
      <c r="A336" s="55" t="str">
        <f t="shared" si="0"/>
        <v/>
      </c>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5"/>
      <c r="AE336" s="55"/>
      <c r="AF336" s="55"/>
      <c r="AG336" s="55"/>
      <c r="AH336" s="55"/>
      <c r="AI336" s="55"/>
      <c r="AJ336" s="55"/>
      <c r="AK336" s="55"/>
      <c r="AL336" s="55"/>
      <c r="AM336" s="55"/>
      <c r="AN336" s="55"/>
    </row>
    <row r="337" spans="1:40" ht="14" x14ac:dyDescent="0.35">
      <c r="A337" s="55" t="str">
        <f t="shared" si="0"/>
        <v/>
      </c>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5"/>
      <c r="AE337" s="55"/>
      <c r="AF337" s="55"/>
      <c r="AG337" s="55"/>
      <c r="AH337" s="55"/>
      <c r="AI337" s="55"/>
      <c r="AJ337" s="55"/>
      <c r="AK337" s="55"/>
      <c r="AL337" s="55"/>
      <c r="AM337" s="55"/>
      <c r="AN337" s="55"/>
    </row>
    <row r="338" spans="1:40" ht="14" x14ac:dyDescent="0.35">
      <c r="A338" s="55" t="str">
        <f t="shared" si="0"/>
        <v/>
      </c>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5"/>
      <c r="AE338" s="55"/>
      <c r="AF338" s="55"/>
      <c r="AG338" s="55"/>
      <c r="AH338" s="55"/>
      <c r="AI338" s="55"/>
      <c r="AJ338" s="55"/>
      <c r="AK338" s="55"/>
      <c r="AL338" s="55"/>
      <c r="AM338" s="55"/>
      <c r="AN338" s="55"/>
    </row>
    <row r="339" spans="1:40" ht="14" x14ac:dyDescent="0.35">
      <c r="A339" s="55" t="str">
        <f t="shared" si="0"/>
        <v/>
      </c>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5"/>
      <c r="AE339" s="55"/>
      <c r="AF339" s="55"/>
      <c r="AG339" s="55"/>
      <c r="AH339" s="55"/>
      <c r="AI339" s="55"/>
      <c r="AJ339" s="55"/>
      <c r="AK339" s="55"/>
      <c r="AL339" s="55"/>
      <c r="AM339" s="55"/>
      <c r="AN339" s="55"/>
    </row>
    <row r="340" spans="1:40" ht="14" x14ac:dyDescent="0.35">
      <c r="A340" s="55" t="str">
        <f t="shared" si="0"/>
        <v/>
      </c>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5"/>
      <c r="AE340" s="55"/>
      <c r="AF340" s="55"/>
      <c r="AG340" s="55"/>
      <c r="AH340" s="55"/>
      <c r="AI340" s="55"/>
      <c r="AJ340" s="55"/>
      <c r="AK340" s="55"/>
      <c r="AL340" s="55"/>
      <c r="AM340" s="55"/>
      <c r="AN340" s="55"/>
    </row>
    <row r="341" spans="1:40" ht="14" x14ac:dyDescent="0.35">
      <c r="A341" s="55" t="str">
        <f t="shared" si="0"/>
        <v/>
      </c>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5"/>
      <c r="AE341" s="55"/>
      <c r="AF341" s="55"/>
      <c r="AG341" s="55"/>
      <c r="AH341" s="55"/>
      <c r="AI341" s="55"/>
      <c r="AJ341" s="55"/>
      <c r="AK341" s="55"/>
      <c r="AL341" s="55"/>
      <c r="AM341" s="55"/>
      <c r="AN341" s="55"/>
    </row>
    <row r="342" spans="1:40" ht="14" x14ac:dyDescent="0.35">
      <c r="A342" s="55" t="str">
        <f t="shared" si="0"/>
        <v/>
      </c>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c r="AM342" s="55"/>
      <c r="AN342" s="55"/>
    </row>
    <row r="343" spans="1:40" ht="14" x14ac:dyDescent="0.35">
      <c r="A343" s="55" t="str">
        <f t="shared" si="0"/>
        <v/>
      </c>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c r="AG343" s="55"/>
      <c r="AH343" s="55"/>
      <c r="AI343" s="55"/>
      <c r="AJ343" s="55"/>
      <c r="AK343" s="55"/>
      <c r="AL343" s="55"/>
      <c r="AM343" s="55"/>
      <c r="AN343" s="55"/>
    </row>
    <row r="344" spans="1:40" ht="14" x14ac:dyDescent="0.35">
      <c r="A344" s="55" t="str">
        <f t="shared" si="0"/>
        <v/>
      </c>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5"/>
      <c r="AE344" s="55"/>
      <c r="AF344" s="55"/>
      <c r="AG344" s="55"/>
      <c r="AH344" s="55"/>
      <c r="AI344" s="55"/>
      <c r="AJ344" s="55"/>
      <c r="AK344" s="55"/>
      <c r="AL344" s="55"/>
      <c r="AM344" s="55"/>
      <c r="AN344" s="55"/>
    </row>
    <row r="345" spans="1:40" ht="14" x14ac:dyDescent="0.35">
      <c r="A345" s="55" t="str">
        <f t="shared" si="0"/>
        <v/>
      </c>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5"/>
      <c r="AE345" s="55"/>
      <c r="AF345" s="55"/>
      <c r="AG345" s="55"/>
      <c r="AH345" s="55"/>
      <c r="AI345" s="55"/>
      <c r="AJ345" s="55"/>
      <c r="AK345" s="55"/>
      <c r="AL345" s="55"/>
      <c r="AM345" s="55"/>
      <c r="AN345" s="55"/>
    </row>
    <row r="346" spans="1:40" ht="14" x14ac:dyDescent="0.35">
      <c r="A346" s="55" t="str">
        <f t="shared" si="0"/>
        <v/>
      </c>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5"/>
      <c r="AE346" s="55"/>
      <c r="AF346" s="55"/>
      <c r="AG346" s="55"/>
      <c r="AH346" s="55"/>
      <c r="AI346" s="55"/>
      <c r="AJ346" s="55"/>
      <c r="AK346" s="55"/>
      <c r="AL346" s="55"/>
      <c r="AM346" s="55"/>
      <c r="AN346" s="55"/>
    </row>
    <row r="347" spans="1:40" ht="14" x14ac:dyDescent="0.35">
      <c r="A347" s="55" t="str">
        <f t="shared" si="0"/>
        <v/>
      </c>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5"/>
      <c r="AE347" s="55"/>
      <c r="AF347" s="55"/>
      <c r="AG347" s="55"/>
      <c r="AH347" s="55"/>
      <c r="AI347" s="55"/>
      <c r="AJ347" s="55"/>
      <c r="AK347" s="55"/>
      <c r="AL347" s="55"/>
      <c r="AM347" s="55"/>
      <c r="AN347" s="55"/>
    </row>
    <row r="348" spans="1:40" ht="14" x14ac:dyDescent="0.35">
      <c r="A348" s="55" t="str">
        <f t="shared" si="0"/>
        <v/>
      </c>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5"/>
      <c r="AE348" s="55"/>
      <c r="AF348" s="55"/>
      <c r="AG348" s="55"/>
      <c r="AH348" s="55"/>
      <c r="AI348" s="55"/>
      <c r="AJ348" s="55"/>
      <c r="AK348" s="55"/>
      <c r="AL348" s="55"/>
      <c r="AM348" s="55"/>
      <c r="AN348" s="55"/>
    </row>
    <row r="349" spans="1:40" ht="14" x14ac:dyDescent="0.35">
      <c r="A349" s="55" t="str">
        <f t="shared" si="0"/>
        <v/>
      </c>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c r="AD349" s="55"/>
      <c r="AE349" s="55"/>
      <c r="AF349" s="55"/>
      <c r="AG349" s="55"/>
      <c r="AH349" s="55"/>
      <c r="AI349" s="55"/>
      <c r="AJ349" s="55"/>
      <c r="AK349" s="55"/>
      <c r="AL349" s="55"/>
      <c r="AM349" s="55"/>
      <c r="AN349" s="55"/>
    </row>
    <row r="350" spans="1:40" ht="14" x14ac:dyDescent="0.35">
      <c r="A350" s="55" t="str">
        <f t="shared" si="0"/>
        <v/>
      </c>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5"/>
      <c r="AE350" s="55"/>
      <c r="AF350" s="55"/>
      <c r="AG350" s="55"/>
      <c r="AH350" s="55"/>
      <c r="AI350" s="55"/>
      <c r="AJ350" s="55"/>
      <c r="AK350" s="55"/>
      <c r="AL350" s="55"/>
      <c r="AM350" s="55"/>
      <c r="AN350" s="55"/>
    </row>
    <row r="351" spans="1:40" ht="14" x14ac:dyDescent="0.35">
      <c r="A351" s="55" t="str">
        <f t="shared" si="0"/>
        <v/>
      </c>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5"/>
      <c r="AE351" s="55"/>
      <c r="AF351" s="55"/>
      <c r="AG351" s="55"/>
      <c r="AH351" s="55"/>
      <c r="AI351" s="55"/>
      <c r="AJ351" s="55"/>
      <c r="AK351" s="55"/>
      <c r="AL351" s="55"/>
      <c r="AM351" s="55"/>
      <c r="AN351" s="55"/>
    </row>
    <row r="352" spans="1:40" ht="14" x14ac:dyDescent="0.35">
      <c r="A352" s="55" t="str">
        <f t="shared" si="0"/>
        <v/>
      </c>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c r="AC352" s="55"/>
      <c r="AD352" s="55"/>
      <c r="AE352" s="55"/>
      <c r="AF352" s="55"/>
      <c r="AG352" s="55"/>
      <c r="AH352" s="55"/>
      <c r="AI352" s="55"/>
      <c r="AJ352" s="55"/>
      <c r="AK352" s="55"/>
      <c r="AL352" s="55"/>
      <c r="AM352" s="55"/>
      <c r="AN352" s="55"/>
    </row>
    <row r="353" spans="1:40" ht="14" x14ac:dyDescent="0.35">
      <c r="A353" s="55" t="str">
        <f t="shared" si="0"/>
        <v/>
      </c>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c r="AB353" s="55"/>
      <c r="AC353" s="55"/>
      <c r="AD353" s="55"/>
      <c r="AE353" s="55"/>
      <c r="AF353" s="55"/>
      <c r="AG353" s="55"/>
      <c r="AH353" s="55"/>
      <c r="AI353" s="55"/>
      <c r="AJ353" s="55"/>
      <c r="AK353" s="55"/>
      <c r="AL353" s="55"/>
      <c r="AM353" s="55"/>
      <c r="AN353" s="55"/>
    </row>
    <row r="354" spans="1:40" ht="14" x14ac:dyDescent="0.35">
      <c r="A354" s="55" t="str">
        <f t="shared" si="0"/>
        <v/>
      </c>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5"/>
      <c r="AE354" s="55"/>
      <c r="AF354" s="55"/>
      <c r="AG354" s="55"/>
      <c r="AH354" s="55"/>
      <c r="AI354" s="55"/>
      <c r="AJ354" s="55"/>
      <c r="AK354" s="55"/>
      <c r="AL354" s="55"/>
      <c r="AM354" s="55"/>
      <c r="AN354" s="55"/>
    </row>
    <row r="355" spans="1:40" ht="14" x14ac:dyDescent="0.35">
      <c r="A355" s="55" t="str">
        <f t="shared" si="0"/>
        <v/>
      </c>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5"/>
      <c r="AE355" s="55"/>
      <c r="AF355" s="55"/>
      <c r="AG355" s="55"/>
      <c r="AH355" s="55"/>
      <c r="AI355" s="55"/>
      <c r="AJ355" s="55"/>
      <c r="AK355" s="55"/>
      <c r="AL355" s="55"/>
      <c r="AM355" s="55"/>
      <c r="AN355" s="55"/>
    </row>
    <row r="356" spans="1:40" ht="14" x14ac:dyDescent="0.35">
      <c r="A356" s="55" t="str">
        <f t="shared" si="0"/>
        <v/>
      </c>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5"/>
      <c r="AE356" s="55"/>
      <c r="AF356" s="55"/>
      <c r="AG356" s="55"/>
      <c r="AH356" s="55"/>
      <c r="AI356" s="55"/>
      <c r="AJ356" s="55"/>
      <c r="AK356" s="55"/>
      <c r="AL356" s="55"/>
      <c r="AM356" s="55"/>
      <c r="AN356" s="55"/>
    </row>
    <row r="357" spans="1:40" ht="14" x14ac:dyDescent="0.35">
      <c r="A357" s="55" t="str">
        <f t="shared" si="0"/>
        <v/>
      </c>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5"/>
      <c r="AE357" s="55"/>
      <c r="AF357" s="55"/>
      <c r="AG357" s="55"/>
      <c r="AH357" s="55"/>
      <c r="AI357" s="55"/>
      <c r="AJ357" s="55"/>
      <c r="AK357" s="55"/>
      <c r="AL357" s="55"/>
      <c r="AM357" s="55"/>
      <c r="AN357" s="55"/>
    </row>
    <row r="358" spans="1:40" ht="14" x14ac:dyDescent="0.35">
      <c r="A358" s="55" t="str">
        <f t="shared" si="0"/>
        <v/>
      </c>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5"/>
      <c r="AC358" s="55"/>
      <c r="AD358" s="55"/>
      <c r="AE358" s="55"/>
      <c r="AF358" s="55"/>
      <c r="AG358" s="55"/>
      <c r="AH358" s="55"/>
      <c r="AI358" s="55"/>
      <c r="AJ358" s="55"/>
      <c r="AK358" s="55"/>
      <c r="AL358" s="55"/>
      <c r="AM358" s="55"/>
      <c r="AN358" s="55"/>
    </row>
    <row r="359" spans="1:40" ht="14" x14ac:dyDescent="0.35">
      <c r="A359" s="55" t="str">
        <f t="shared" si="0"/>
        <v/>
      </c>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5"/>
      <c r="AE359" s="55"/>
      <c r="AF359" s="55"/>
      <c r="AG359" s="55"/>
      <c r="AH359" s="55"/>
      <c r="AI359" s="55"/>
      <c r="AJ359" s="55"/>
      <c r="AK359" s="55"/>
      <c r="AL359" s="55"/>
      <c r="AM359" s="55"/>
      <c r="AN359" s="55"/>
    </row>
    <row r="360" spans="1:40" ht="14" x14ac:dyDescent="0.35">
      <c r="A360" s="55" t="str">
        <f t="shared" si="0"/>
        <v/>
      </c>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c r="AN360" s="55"/>
    </row>
    <row r="361" spans="1:40" ht="14" x14ac:dyDescent="0.35">
      <c r="A361" s="55" t="str">
        <f t="shared" si="0"/>
        <v/>
      </c>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5"/>
      <c r="AE361" s="55"/>
      <c r="AF361" s="55"/>
      <c r="AG361" s="55"/>
      <c r="AH361" s="55"/>
      <c r="AI361" s="55"/>
      <c r="AJ361" s="55"/>
      <c r="AK361" s="55"/>
      <c r="AL361" s="55"/>
      <c r="AM361" s="55"/>
      <c r="AN361" s="55"/>
    </row>
    <row r="362" spans="1:40" ht="14" x14ac:dyDescent="0.35">
      <c r="A362" s="55" t="str">
        <f t="shared" si="0"/>
        <v/>
      </c>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c r="AN362" s="55"/>
    </row>
    <row r="363" spans="1:40" ht="14" x14ac:dyDescent="0.35">
      <c r="A363" s="55" t="str">
        <f t="shared" si="0"/>
        <v/>
      </c>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c r="AC363" s="55"/>
      <c r="AD363" s="55"/>
      <c r="AE363" s="55"/>
      <c r="AF363" s="55"/>
      <c r="AG363" s="55"/>
      <c r="AH363" s="55"/>
      <c r="AI363" s="55"/>
      <c r="AJ363" s="55"/>
      <c r="AK363" s="55"/>
      <c r="AL363" s="55"/>
      <c r="AM363" s="55"/>
      <c r="AN363" s="55"/>
    </row>
    <row r="364" spans="1:40" ht="14" x14ac:dyDescent="0.35">
      <c r="A364" s="55" t="str">
        <f t="shared" si="0"/>
        <v/>
      </c>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5"/>
      <c r="AE364" s="55"/>
      <c r="AF364" s="55"/>
      <c r="AG364" s="55"/>
      <c r="AH364" s="55"/>
      <c r="AI364" s="55"/>
      <c r="AJ364" s="55"/>
      <c r="AK364" s="55"/>
      <c r="AL364" s="55"/>
      <c r="AM364" s="55"/>
      <c r="AN364" s="55"/>
    </row>
    <row r="365" spans="1:40" ht="14" x14ac:dyDescent="0.35">
      <c r="A365" s="55" t="str">
        <f t="shared" si="0"/>
        <v/>
      </c>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5"/>
      <c r="AE365" s="55"/>
      <c r="AF365" s="55"/>
      <c r="AG365" s="55"/>
      <c r="AH365" s="55"/>
      <c r="AI365" s="55"/>
      <c r="AJ365" s="55"/>
      <c r="AK365" s="55"/>
      <c r="AL365" s="55"/>
      <c r="AM365" s="55"/>
      <c r="AN365" s="55"/>
    </row>
    <row r="366" spans="1:40" ht="14" x14ac:dyDescent="0.35">
      <c r="A366" s="55" t="str">
        <f t="shared" si="0"/>
        <v/>
      </c>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5"/>
      <c r="AE366" s="55"/>
      <c r="AF366" s="55"/>
      <c r="AG366" s="55"/>
      <c r="AH366" s="55"/>
      <c r="AI366" s="55"/>
      <c r="AJ366" s="55"/>
      <c r="AK366" s="55"/>
      <c r="AL366" s="55"/>
      <c r="AM366" s="55"/>
      <c r="AN366" s="55"/>
    </row>
    <row r="367" spans="1:40" ht="14" x14ac:dyDescent="0.35">
      <c r="A367" s="55" t="str">
        <f t="shared" si="0"/>
        <v/>
      </c>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5"/>
      <c r="AE367" s="55"/>
      <c r="AF367" s="55"/>
      <c r="AG367" s="55"/>
      <c r="AH367" s="55"/>
      <c r="AI367" s="55"/>
      <c r="AJ367" s="55"/>
      <c r="AK367" s="55"/>
      <c r="AL367" s="55"/>
      <c r="AM367" s="55"/>
      <c r="AN367" s="55"/>
    </row>
    <row r="368" spans="1:40" ht="14" x14ac:dyDescent="0.35">
      <c r="A368" s="55" t="str">
        <f t="shared" si="0"/>
        <v/>
      </c>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5"/>
      <c r="AE368" s="55"/>
      <c r="AF368" s="55"/>
      <c r="AG368" s="55"/>
      <c r="AH368" s="55"/>
      <c r="AI368" s="55"/>
      <c r="AJ368" s="55"/>
      <c r="AK368" s="55"/>
      <c r="AL368" s="55"/>
      <c r="AM368" s="55"/>
      <c r="AN368" s="55"/>
    </row>
    <row r="369" spans="1:40" ht="14" x14ac:dyDescent="0.35">
      <c r="A369" s="55" t="str">
        <f t="shared" si="0"/>
        <v/>
      </c>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c r="AM369" s="55"/>
      <c r="AN369" s="55"/>
    </row>
    <row r="370" spans="1:40" ht="14" x14ac:dyDescent="0.35">
      <c r="A370" s="55" t="str">
        <f t="shared" si="0"/>
        <v/>
      </c>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5"/>
      <c r="AE370" s="55"/>
      <c r="AF370" s="55"/>
      <c r="AG370" s="55"/>
      <c r="AH370" s="55"/>
      <c r="AI370" s="55"/>
      <c r="AJ370" s="55"/>
      <c r="AK370" s="55"/>
      <c r="AL370" s="55"/>
      <c r="AM370" s="55"/>
      <c r="AN370" s="55"/>
    </row>
    <row r="371" spans="1:40" ht="14" x14ac:dyDescent="0.35">
      <c r="A371" s="55" t="str">
        <f t="shared" si="0"/>
        <v/>
      </c>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5"/>
      <c r="AE371" s="55"/>
      <c r="AF371" s="55"/>
      <c r="AG371" s="55"/>
      <c r="AH371" s="55"/>
      <c r="AI371" s="55"/>
      <c r="AJ371" s="55"/>
      <c r="AK371" s="55"/>
      <c r="AL371" s="55"/>
      <c r="AM371" s="55"/>
      <c r="AN371" s="55"/>
    </row>
    <row r="372" spans="1:40" ht="14" x14ac:dyDescent="0.35">
      <c r="A372" s="55" t="str">
        <f t="shared" si="0"/>
        <v/>
      </c>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5"/>
      <c r="AE372" s="55"/>
      <c r="AF372" s="55"/>
      <c r="AG372" s="55"/>
      <c r="AH372" s="55"/>
      <c r="AI372" s="55"/>
      <c r="AJ372" s="55"/>
      <c r="AK372" s="55"/>
      <c r="AL372" s="55"/>
      <c r="AM372" s="55"/>
      <c r="AN372" s="55"/>
    </row>
    <row r="373" spans="1:40" ht="14" x14ac:dyDescent="0.35">
      <c r="A373" s="55" t="str">
        <f t="shared" si="0"/>
        <v/>
      </c>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5"/>
      <c r="AE373" s="55"/>
      <c r="AF373" s="55"/>
      <c r="AG373" s="55"/>
      <c r="AH373" s="55"/>
      <c r="AI373" s="55"/>
      <c r="AJ373" s="55"/>
      <c r="AK373" s="55"/>
      <c r="AL373" s="55"/>
      <c r="AM373" s="55"/>
      <c r="AN373" s="55"/>
    </row>
    <row r="374" spans="1:40" ht="14" x14ac:dyDescent="0.35">
      <c r="A374" s="55" t="str">
        <f t="shared" si="0"/>
        <v/>
      </c>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5"/>
      <c r="AE374" s="55"/>
      <c r="AF374" s="55"/>
      <c r="AG374" s="55"/>
      <c r="AH374" s="55"/>
      <c r="AI374" s="55"/>
      <c r="AJ374" s="55"/>
      <c r="AK374" s="55"/>
      <c r="AL374" s="55"/>
      <c r="AM374" s="55"/>
      <c r="AN374" s="55"/>
    </row>
    <row r="375" spans="1:40" ht="14" x14ac:dyDescent="0.35">
      <c r="A375" s="55" t="str">
        <f t="shared" si="0"/>
        <v/>
      </c>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5"/>
      <c r="AE375" s="55"/>
      <c r="AF375" s="55"/>
      <c r="AG375" s="55"/>
      <c r="AH375" s="55"/>
      <c r="AI375" s="55"/>
      <c r="AJ375" s="55"/>
      <c r="AK375" s="55"/>
      <c r="AL375" s="55"/>
      <c r="AM375" s="55"/>
      <c r="AN375" s="55"/>
    </row>
    <row r="376" spans="1:40" ht="14" x14ac:dyDescent="0.35">
      <c r="A376" s="55" t="str">
        <f t="shared" si="0"/>
        <v/>
      </c>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5"/>
      <c r="AE376" s="55"/>
      <c r="AF376" s="55"/>
      <c r="AG376" s="55"/>
      <c r="AH376" s="55"/>
      <c r="AI376" s="55"/>
      <c r="AJ376" s="55"/>
      <c r="AK376" s="55"/>
      <c r="AL376" s="55"/>
      <c r="AM376" s="55"/>
      <c r="AN376" s="55"/>
    </row>
    <row r="377" spans="1:40" ht="14" x14ac:dyDescent="0.35">
      <c r="A377" s="55" t="str">
        <f t="shared" si="0"/>
        <v/>
      </c>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c r="AB377" s="55"/>
      <c r="AC377" s="55"/>
      <c r="AD377" s="55"/>
      <c r="AE377" s="55"/>
      <c r="AF377" s="55"/>
      <c r="AG377" s="55"/>
      <c r="AH377" s="55"/>
      <c r="AI377" s="55"/>
      <c r="AJ377" s="55"/>
      <c r="AK377" s="55"/>
      <c r="AL377" s="55"/>
      <c r="AM377" s="55"/>
      <c r="AN377" s="55"/>
    </row>
    <row r="378" spans="1:40" ht="14" x14ac:dyDescent="0.35">
      <c r="A378" s="55" t="str">
        <f t="shared" si="0"/>
        <v/>
      </c>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5"/>
      <c r="AE378" s="55"/>
      <c r="AF378" s="55"/>
      <c r="AG378" s="55"/>
      <c r="AH378" s="55"/>
      <c r="AI378" s="55"/>
      <c r="AJ378" s="55"/>
      <c r="AK378" s="55"/>
      <c r="AL378" s="55"/>
      <c r="AM378" s="55"/>
      <c r="AN378" s="55"/>
    </row>
    <row r="379" spans="1:40" ht="14" x14ac:dyDescent="0.35">
      <c r="A379" s="55" t="str">
        <f t="shared" si="0"/>
        <v/>
      </c>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c r="AC379" s="55"/>
      <c r="AD379" s="55"/>
      <c r="AE379" s="55"/>
      <c r="AF379" s="55"/>
      <c r="AG379" s="55"/>
      <c r="AH379" s="55"/>
      <c r="AI379" s="55"/>
      <c r="AJ379" s="55"/>
      <c r="AK379" s="55"/>
      <c r="AL379" s="55"/>
      <c r="AM379" s="55"/>
      <c r="AN379" s="55"/>
    </row>
    <row r="380" spans="1:40" ht="14" x14ac:dyDescent="0.35">
      <c r="A380" s="55" t="str">
        <f t="shared" si="0"/>
        <v/>
      </c>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c r="AC380" s="55"/>
      <c r="AD380" s="55"/>
      <c r="AE380" s="55"/>
      <c r="AF380" s="55"/>
      <c r="AG380" s="55"/>
      <c r="AH380" s="55"/>
      <c r="AI380" s="55"/>
      <c r="AJ380" s="55"/>
      <c r="AK380" s="55"/>
      <c r="AL380" s="55"/>
      <c r="AM380" s="55"/>
      <c r="AN380" s="55"/>
    </row>
    <row r="381" spans="1:40" ht="14" x14ac:dyDescent="0.35">
      <c r="A381" s="55" t="str">
        <f t="shared" si="0"/>
        <v/>
      </c>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c r="AC381" s="55"/>
      <c r="AD381" s="55"/>
      <c r="AE381" s="55"/>
      <c r="AF381" s="55"/>
      <c r="AG381" s="55"/>
      <c r="AH381" s="55"/>
      <c r="AI381" s="55"/>
      <c r="AJ381" s="55"/>
      <c r="AK381" s="55"/>
      <c r="AL381" s="55"/>
      <c r="AM381" s="55"/>
      <c r="AN381" s="55"/>
    </row>
    <row r="382" spans="1:40" ht="14" x14ac:dyDescent="0.35">
      <c r="A382" s="55" t="str">
        <f t="shared" si="0"/>
        <v/>
      </c>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5"/>
      <c r="AE382" s="55"/>
      <c r="AF382" s="55"/>
      <c r="AG382" s="55"/>
      <c r="AH382" s="55"/>
      <c r="AI382" s="55"/>
      <c r="AJ382" s="55"/>
      <c r="AK382" s="55"/>
      <c r="AL382" s="55"/>
      <c r="AM382" s="55"/>
      <c r="AN382" s="55"/>
    </row>
    <row r="383" spans="1:40" ht="14" x14ac:dyDescent="0.35">
      <c r="A383" s="55" t="str">
        <f t="shared" si="0"/>
        <v/>
      </c>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c r="AC383" s="55"/>
      <c r="AD383" s="55"/>
      <c r="AE383" s="55"/>
      <c r="AF383" s="55"/>
      <c r="AG383" s="55"/>
      <c r="AH383" s="55"/>
      <c r="AI383" s="55"/>
      <c r="AJ383" s="55"/>
      <c r="AK383" s="55"/>
      <c r="AL383" s="55"/>
      <c r="AM383" s="55"/>
      <c r="AN383" s="55"/>
    </row>
    <row r="384" spans="1:40" ht="14" x14ac:dyDescent="0.35">
      <c r="A384" s="55" t="str">
        <f t="shared" si="0"/>
        <v/>
      </c>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5"/>
      <c r="AE384" s="55"/>
      <c r="AF384" s="55"/>
      <c r="AG384" s="55"/>
      <c r="AH384" s="55"/>
      <c r="AI384" s="55"/>
      <c r="AJ384" s="55"/>
      <c r="AK384" s="55"/>
      <c r="AL384" s="55"/>
      <c r="AM384" s="55"/>
      <c r="AN384" s="55"/>
    </row>
    <row r="385" spans="1:40" ht="14" x14ac:dyDescent="0.35">
      <c r="A385" s="55" t="str">
        <f t="shared" si="0"/>
        <v/>
      </c>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5"/>
      <c r="AE385" s="55"/>
      <c r="AF385" s="55"/>
      <c r="AG385" s="55"/>
      <c r="AH385" s="55"/>
      <c r="AI385" s="55"/>
      <c r="AJ385" s="55"/>
      <c r="AK385" s="55"/>
      <c r="AL385" s="55"/>
      <c r="AM385" s="55"/>
      <c r="AN385" s="55"/>
    </row>
    <row r="386" spans="1:40" ht="14" x14ac:dyDescent="0.35">
      <c r="A386" s="55" t="str">
        <f t="shared" si="0"/>
        <v/>
      </c>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5"/>
      <c r="AE386" s="55"/>
      <c r="AF386" s="55"/>
      <c r="AG386" s="55"/>
      <c r="AH386" s="55"/>
      <c r="AI386" s="55"/>
      <c r="AJ386" s="55"/>
      <c r="AK386" s="55"/>
      <c r="AL386" s="55"/>
      <c r="AM386" s="55"/>
      <c r="AN386" s="55"/>
    </row>
    <row r="387" spans="1:40" ht="14" x14ac:dyDescent="0.35">
      <c r="A387" s="55" t="str">
        <f t="shared" si="0"/>
        <v/>
      </c>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c r="AC387" s="55"/>
      <c r="AD387" s="55"/>
      <c r="AE387" s="55"/>
      <c r="AF387" s="55"/>
      <c r="AG387" s="55"/>
      <c r="AH387" s="55"/>
      <c r="AI387" s="55"/>
      <c r="AJ387" s="55"/>
      <c r="AK387" s="55"/>
      <c r="AL387" s="55"/>
      <c r="AM387" s="55"/>
      <c r="AN387" s="55"/>
    </row>
    <row r="388" spans="1:40" ht="14" x14ac:dyDescent="0.35">
      <c r="A388" s="55" t="str">
        <f t="shared" si="0"/>
        <v/>
      </c>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5"/>
      <c r="AE388" s="55"/>
      <c r="AF388" s="55"/>
      <c r="AG388" s="55"/>
      <c r="AH388" s="55"/>
      <c r="AI388" s="55"/>
      <c r="AJ388" s="55"/>
      <c r="AK388" s="55"/>
      <c r="AL388" s="55"/>
      <c r="AM388" s="55"/>
      <c r="AN388" s="55"/>
    </row>
    <row r="389" spans="1:40" ht="14" x14ac:dyDescent="0.35">
      <c r="A389" s="55" t="str">
        <f t="shared" si="0"/>
        <v/>
      </c>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5"/>
      <c r="AE389" s="55"/>
      <c r="AF389" s="55"/>
      <c r="AG389" s="55"/>
      <c r="AH389" s="55"/>
      <c r="AI389" s="55"/>
      <c r="AJ389" s="55"/>
      <c r="AK389" s="55"/>
      <c r="AL389" s="55"/>
      <c r="AM389" s="55"/>
      <c r="AN389" s="55"/>
    </row>
    <row r="390" spans="1:40" ht="14" x14ac:dyDescent="0.35">
      <c r="A390" s="55" t="str">
        <f t="shared" si="0"/>
        <v/>
      </c>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5"/>
      <c r="AE390" s="55"/>
      <c r="AF390" s="55"/>
      <c r="AG390" s="55"/>
      <c r="AH390" s="55"/>
      <c r="AI390" s="55"/>
      <c r="AJ390" s="55"/>
      <c r="AK390" s="55"/>
      <c r="AL390" s="55"/>
      <c r="AM390" s="55"/>
      <c r="AN390" s="55"/>
    </row>
    <row r="391" spans="1:40" ht="14" x14ac:dyDescent="0.35">
      <c r="A391" s="55" t="str">
        <f t="shared" si="0"/>
        <v/>
      </c>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c r="AC391" s="55"/>
      <c r="AD391" s="55"/>
      <c r="AE391" s="55"/>
      <c r="AF391" s="55"/>
      <c r="AG391" s="55"/>
      <c r="AH391" s="55"/>
      <c r="AI391" s="55"/>
      <c r="AJ391" s="55"/>
      <c r="AK391" s="55"/>
      <c r="AL391" s="55"/>
      <c r="AM391" s="55"/>
      <c r="AN391" s="55"/>
    </row>
    <row r="392" spans="1:40" ht="14" x14ac:dyDescent="0.35">
      <c r="A392" s="55" t="str">
        <f t="shared" si="0"/>
        <v/>
      </c>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c r="AC392" s="55"/>
      <c r="AD392" s="55"/>
      <c r="AE392" s="55"/>
      <c r="AF392" s="55"/>
      <c r="AG392" s="55"/>
      <c r="AH392" s="55"/>
      <c r="AI392" s="55"/>
      <c r="AJ392" s="55"/>
      <c r="AK392" s="55"/>
      <c r="AL392" s="55"/>
      <c r="AM392" s="55"/>
      <c r="AN392" s="55"/>
    </row>
    <row r="393" spans="1:40" ht="14" x14ac:dyDescent="0.35">
      <c r="A393" s="55" t="str">
        <f t="shared" si="0"/>
        <v/>
      </c>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c r="AA393" s="55"/>
      <c r="AB393" s="55"/>
      <c r="AC393" s="55"/>
      <c r="AD393" s="55"/>
      <c r="AE393" s="55"/>
      <c r="AF393" s="55"/>
      <c r="AG393" s="55"/>
      <c r="AH393" s="55"/>
      <c r="AI393" s="55"/>
      <c r="AJ393" s="55"/>
      <c r="AK393" s="55"/>
      <c r="AL393" s="55"/>
      <c r="AM393" s="55"/>
      <c r="AN393" s="55"/>
    </row>
    <row r="394" spans="1:40" ht="14" x14ac:dyDescent="0.35">
      <c r="A394" s="55" t="str">
        <f t="shared" si="0"/>
        <v/>
      </c>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c r="AA394" s="55"/>
      <c r="AB394" s="55"/>
      <c r="AC394" s="55"/>
      <c r="AD394" s="55"/>
      <c r="AE394" s="55"/>
      <c r="AF394" s="55"/>
      <c r="AG394" s="55"/>
      <c r="AH394" s="55"/>
      <c r="AI394" s="55"/>
      <c r="AJ394" s="55"/>
      <c r="AK394" s="55"/>
      <c r="AL394" s="55"/>
      <c r="AM394" s="55"/>
      <c r="AN394" s="55"/>
    </row>
    <row r="395" spans="1:40" ht="14" x14ac:dyDescent="0.35">
      <c r="A395" s="55" t="str">
        <f t="shared" si="0"/>
        <v/>
      </c>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5"/>
      <c r="AE395" s="55"/>
      <c r="AF395" s="55"/>
      <c r="AG395" s="55"/>
      <c r="AH395" s="55"/>
      <c r="AI395" s="55"/>
      <c r="AJ395" s="55"/>
      <c r="AK395" s="55"/>
      <c r="AL395" s="55"/>
      <c r="AM395" s="55"/>
      <c r="AN395" s="55"/>
    </row>
    <row r="396" spans="1:40" ht="14" x14ac:dyDescent="0.35">
      <c r="A396" s="55" t="str">
        <f t="shared" si="0"/>
        <v/>
      </c>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5"/>
      <c r="AE396" s="55"/>
      <c r="AF396" s="55"/>
      <c r="AG396" s="55"/>
      <c r="AH396" s="55"/>
      <c r="AI396" s="55"/>
      <c r="AJ396" s="55"/>
      <c r="AK396" s="55"/>
      <c r="AL396" s="55"/>
      <c r="AM396" s="55"/>
      <c r="AN396" s="55"/>
    </row>
    <row r="397" spans="1:40" ht="14" x14ac:dyDescent="0.35">
      <c r="A397" s="55" t="str">
        <f t="shared" si="0"/>
        <v/>
      </c>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c r="AA397" s="55"/>
      <c r="AB397" s="55"/>
      <c r="AC397" s="55"/>
      <c r="AD397" s="55"/>
      <c r="AE397" s="55"/>
      <c r="AF397" s="55"/>
      <c r="AG397" s="55"/>
      <c r="AH397" s="55"/>
      <c r="AI397" s="55"/>
      <c r="AJ397" s="55"/>
      <c r="AK397" s="55"/>
      <c r="AL397" s="55"/>
      <c r="AM397" s="55"/>
      <c r="AN397" s="55"/>
    </row>
    <row r="398" spans="1:40" ht="14" x14ac:dyDescent="0.35">
      <c r="A398" s="55" t="str">
        <f t="shared" si="0"/>
        <v/>
      </c>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c r="AA398" s="55"/>
      <c r="AB398" s="55"/>
      <c r="AC398" s="55"/>
      <c r="AD398" s="55"/>
      <c r="AE398" s="55"/>
      <c r="AF398" s="55"/>
      <c r="AG398" s="55"/>
      <c r="AH398" s="55"/>
      <c r="AI398" s="55"/>
      <c r="AJ398" s="55"/>
      <c r="AK398" s="55"/>
      <c r="AL398" s="55"/>
      <c r="AM398" s="55"/>
      <c r="AN398" s="55"/>
    </row>
    <row r="399" spans="1:40" ht="14" x14ac:dyDescent="0.35">
      <c r="A399" s="55" t="str">
        <f t="shared" si="0"/>
        <v/>
      </c>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5"/>
      <c r="AE399" s="55"/>
      <c r="AF399" s="55"/>
      <c r="AG399" s="55"/>
      <c r="AH399" s="55"/>
      <c r="AI399" s="55"/>
      <c r="AJ399" s="55"/>
      <c r="AK399" s="55"/>
      <c r="AL399" s="55"/>
      <c r="AM399" s="55"/>
      <c r="AN399" s="55"/>
    </row>
    <row r="400" spans="1:40" ht="14" x14ac:dyDescent="0.35">
      <c r="A400" s="55" t="str">
        <f t="shared" si="0"/>
        <v/>
      </c>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5"/>
      <c r="AE400" s="55"/>
      <c r="AF400" s="55"/>
      <c r="AG400" s="55"/>
      <c r="AH400" s="55"/>
      <c r="AI400" s="55"/>
      <c r="AJ400" s="55"/>
      <c r="AK400" s="55"/>
      <c r="AL400" s="55"/>
      <c r="AM400" s="55"/>
      <c r="AN400" s="55"/>
    </row>
    <row r="401" spans="1:40" ht="14" x14ac:dyDescent="0.35">
      <c r="A401" s="55" t="str">
        <f t="shared" si="0"/>
        <v/>
      </c>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5"/>
      <c r="AE401" s="55"/>
      <c r="AF401" s="55"/>
      <c r="AG401" s="55"/>
      <c r="AH401" s="55"/>
      <c r="AI401" s="55"/>
      <c r="AJ401" s="55"/>
      <c r="AK401" s="55"/>
      <c r="AL401" s="55"/>
      <c r="AM401" s="55"/>
      <c r="AN401" s="55"/>
    </row>
    <row r="402" spans="1:40" ht="14" x14ac:dyDescent="0.35">
      <c r="A402" s="55" t="str">
        <f t="shared" si="0"/>
        <v/>
      </c>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c r="AL402" s="55"/>
      <c r="AM402" s="55"/>
      <c r="AN402" s="55"/>
    </row>
    <row r="403" spans="1:40" ht="14" x14ac:dyDescent="0.35">
      <c r="A403" s="55" t="str">
        <f t="shared" si="0"/>
        <v/>
      </c>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c r="AB403" s="55"/>
      <c r="AC403" s="55"/>
      <c r="AD403" s="55"/>
      <c r="AE403" s="55"/>
      <c r="AF403" s="55"/>
      <c r="AG403" s="55"/>
      <c r="AH403" s="55"/>
      <c r="AI403" s="55"/>
      <c r="AJ403" s="55"/>
      <c r="AK403" s="55"/>
      <c r="AL403" s="55"/>
      <c r="AM403" s="55"/>
      <c r="AN403" s="55"/>
    </row>
    <row r="404" spans="1:40" ht="14" x14ac:dyDescent="0.35">
      <c r="A404" s="55" t="str">
        <f t="shared" si="0"/>
        <v/>
      </c>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5"/>
      <c r="AE404" s="55"/>
      <c r="AF404" s="55"/>
      <c r="AG404" s="55"/>
      <c r="AH404" s="55"/>
      <c r="AI404" s="55"/>
      <c r="AJ404" s="55"/>
      <c r="AK404" s="55"/>
      <c r="AL404" s="55"/>
      <c r="AM404" s="55"/>
      <c r="AN404" s="55"/>
    </row>
    <row r="405" spans="1:40" ht="14" x14ac:dyDescent="0.35">
      <c r="A405" s="55" t="str">
        <f t="shared" si="0"/>
        <v/>
      </c>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c r="AD405" s="55"/>
      <c r="AE405" s="55"/>
      <c r="AF405" s="55"/>
      <c r="AG405" s="55"/>
      <c r="AH405" s="55"/>
      <c r="AI405" s="55"/>
      <c r="AJ405" s="55"/>
      <c r="AK405" s="55"/>
      <c r="AL405" s="55"/>
      <c r="AM405" s="55"/>
      <c r="AN405" s="55"/>
    </row>
    <row r="406" spans="1:40" ht="14" x14ac:dyDescent="0.35">
      <c r="A406" s="55" t="str">
        <f t="shared" si="0"/>
        <v/>
      </c>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c r="AC406" s="55"/>
      <c r="AD406" s="55"/>
      <c r="AE406" s="55"/>
      <c r="AF406" s="55"/>
      <c r="AG406" s="55"/>
      <c r="AH406" s="55"/>
      <c r="AI406" s="55"/>
      <c r="AJ406" s="55"/>
      <c r="AK406" s="55"/>
      <c r="AL406" s="55"/>
      <c r="AM406" s="55"/>
      <c r="AN406" s="55"/>
    </row>
    <row r="407" spans="1:40" ht="14" x14ac:dyDescent="0.35">
      <c r="A407" s="55" t="str">
        <f t="shared" si="0"/>
        <v/>
      </c>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55"/>
      <c r="AD407" s="55"/>
      <c r="AE407" s="55"/>
      <c r="AF407" s="55"/>
      <c r="AG407" s="55"/>
      <c r="AH407" s="55"/>
      <c r="AI407" s="55"/>
      <c r="AJ407" s="55"/>
      <c r="AK407" s="55"/>
      <c r="AL407" s="55"/>
      <c r="AM407" s="55"/>
      <c r="AN407" s="55"/>
    </row>
    <row r="408" spans="1:40" ht="14" x14ac:dyDescent="0.35">
      <c r="A408" s="55" t="str">
        <f t="shared" si="0"/>
        <v/>
      </c>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5"/>
      <c r="AE408" s="55"/>
      <c r="AF408" s="55"/>
      <c r="AG408" s="55"/>
      <c r="AH408" s="55"/>
      <c r="AI408" s="55"/>
      <c r="AJ408" s="55"/>
      <c r="AK408" s="55"/>
      <c r="AL408" s="55"/>
      <c r="AM408" s="55"/>
      <c r="AN408" s="55"/>
    </row>
    <row r="409" spans="1:40" ht="14" x14ac:dyDescent="0.35">
      <c r="A409" s="55" t="str">
        <f t="shared" si="0"/>
        <v/>
      </c>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5"/>
      <c r="AE409" s="55"/>
      <c r="AF409" s="55"/>
      <c r="AG409" s="55"/>
      <c r="AH409" s="55"/>
      <c r="AI409" s="55"/>
      <c r="AJ409" s="55"/>
      <c r="AK409" s="55"/>
      <c r="AL409" s="55"/>
      <c r="AM409" s="55"/>
      <c r="AN409" s="55"/>
    </row>
    <row r="410" spans="1:40" ht="14" x14ac:dyDescent="0.35">
      <c r="A410" s="55" t="str">
        <f t="shared" si="0"/>
        <v/>
      </c>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5"/>
      <c r="AE410" s="55"/>
      <c r="AF410" s="55"/>
      <c r="AG410" s="55"/>
      <c r="AH410" s="55"/>
      <c r="AI410" s="55"/>
      <c r="AJ410" s="55"/>
      <c r="AK410" s="55"/>
      <c r="AL410" s="55"/>
      <c r="AM410" s="55"/>
      <c r="AN410" s="55"/>
    </row>
    <row r="411" spans="1:40" ht="14" x14ac:dyDescent="0.35">
      <c r="A411" s="55" t="str">
        <f t="shared" si="0"/>
        <v/>
      </c>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5"/>
      <c r="AE411" s="55"/>
      <c r="AF411" s="55"/>
      <c r="AG411" s="55"/>
      <c r="AH411" s="55"/>
      <c r="AI411" s="55"/>
      <c r="AJ411" s="55"/>
      <c r="AK411" s="55"/>
      <c r="AL411" s="55"/>
      <c r="AM411" s="55"/>
      <c r="AN411" s="55"/>
    </row>
    <row r="412" spans="1:40" ht="14" x14ac:dyDescent="0.35">
      <c r="A412" s="55" t="str">
        <f t="shared" si="0"/>
        <v/>
      </c>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5"/>
      <c r="AE412" s="55"/>
      <c r="AF412" s="55"/>
      <c r="AG412" s="55"/>
      <c r="AH412" s="55"/>
      <c r="AI412" s="55"/>
      <c r="AJ412" s="55"/>
      <c r="AK412" s="55"/>
      <c r="AL412" s="55"/>
      <c r="AM412" s="55"/>
      <c r="AN412" s="55"/>
    </row>
    <row r="413" spans="1:40" ht="14" x14ac:dyDescent="0.35">
      <c r="A413" s="55" t="str">
        <f t="shared" si="0"/>
        <v/>
      </c>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c r="AA413" s="55"/>
      <c r="AB413" s="55"/>
      <c r="AC413" s="55"/>
      <c r="AD413" s="55"/>
      <c r="AE413" s="55"/>
      <c r="AF413" s="55"/>
      <c r="AG413" s="55"/>
      <c r="AH413" s="55"/>
      <c r="AI413" s="55"/>
      <c r="AJ413" s="55"/>
      <c r="AK413" s="55"/>
      <c r="AL413" s="55"/>
      <c r="AM413" s="55"/>
      <c r="AN413" s="55"/>
    </row>
    <row r="414" spans="1:40" ht="14" x14ac:dyDescent="0.35">
      <c r="A414" s="55" t="str">
        <f t="shared" si="0"/>
        <v/>
      </c>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c r="AC414" s="55"/>
      <c r="AD414" s="55"/>
      <c r="AE414" s="55"/>
      <c r="AF414" s="55"/>
      <c r="AG414" s="55"/>
      <c r="AH414" s="55"/>
      <c r="AI414" s="55"/>
      <c r="AJ414" s="55"/>
      <c r="AK414" s="55"/>
      <c r="AL414" s="55"/>
      <c r="AM414" s="55"/>
      <c r="AN414" s="55"/>
    </row>
    <row r="415" spans="1:40" ht="14" x14ac:dyDescent="0.35">
      <c r="A415" s="55" t="str">
        <f t="shared" si="0"/>
        <v/>
      </c>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c r="AC415" s="55"/>
      <c r="AD415" s="55"/>
      <c r="AE415" s="55"/>
      <c r="AF415" s="55"/>
      <c r="AG415" s="55"/>
      <c r="AH415" s="55"/>
      <c r="AI415" s="55"/>
      <c r="AJ415" s="55"/>
      <c r="AK415" s="55"/>
      <c r="AL415" s="55"/>
      <c r="AM415" s="55"/>
      <c r="AN415" s="55"/>
    </row>
    <row r="416" spans="1:40" ht="14" x14ac:dyDescent="0.35">
      <c r="A416" s="55" t="str">
        <f t="shared" si="0"/>
        <v/>
      </c>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c r="AB416" s="55"/>
      <c r="AC416" s="55"/>
      <c r="AD416" s="55"/>
      <c r="AE416" s="55"/>
      <c r="AF416" s="55"/>
      <c r="AG416" s="55"/>
      <c r="AH416" s="55"/>
      <c r="AI416" s="55"/>
      <c r="AJ416" s="55"/>
      <c r="AK416" s="55"/>
      <c r="AL416" s="55"/>
      <c r="AM416" s="55"/>
      <c r="AN416" s="55"/>
    </row>
    <row r="417" spans="1:40" ht="14" x14ac:dyDescent="0.35">
      <c r="A417" s="55" t="str">
        <f t="shared" si="0"/>
        <v/>
      </c>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c r="AB417" s="55"/>
      <c r="AC417" s="55"/>
      <c r="AD417" s="55"/>
      <c r="AE417" s="55"/>
      <c r="AF417" s="55"/>
      <c r="AG417" s="55"/>
      <c r="AH417" s="55"/>
      <c r="AI417" s="55"/>
      <c r="AJ417" s="55"/>
      <c r="AK417" s="55"/>
      <c r="AL417" s="55"/>
      <c r="AM417" s="55"/>
      <c r="AN417" s="55"/>
    </row>
    <row r="418" spans="1:40" ht="14" x14ac:dyDescent="0.35">
      <c r="A418" s="55" t="str">
        <f t="shared" si="0"/>
        <v/>
      </c>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c r="AD418" s="55"/>
      <c r="AE418" s="55"/>
      <c r="AF418" s="55"/>
      <c r="AG418" s="55"/>
      <c r="AH418" s="55"/>
      <c r="AI418" s="55"/>
      <c r="AJ418" s="55"/>
      <c r="AK418" s="55"/>
      <c r="AL418" s="55"/>
      <c r="AM418" s="55"/>
      <c r="AN418" s="55"/>
    </row>
    <row r="419" spans="1:40" ht="14" x14ac:dyDescent="0.35">
      <c r="A419" s="55" t="str">
        <f t="shared" si="0"/>
        <v/>
      </c>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c r="AD419" s="55"/>
      <c r="AE419" s="55"/>
      <c r="AF419" s="55"/>
      <c r="AG419" s="55"/>
      <c r="AH419" s="55"/>
      <c r="AI419" s="55"/>
      <c r="AJ419" s="55"/>
      <c r="AK419" s="55"/>
      <c r="AL419" s="55"/>
      <c r="AM419" s="55"/>
      <c r="AN419" s="55"/>
    </row>
    <row r="420" spans="1:40" ht="14" x14ac:dyDescent="0.35">
      <c r="A420" s="55" t="str">
        <f t="shared" si="0"/>
        <v/>
      </c>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c r="AA420" s="55"/>
      <c r="AB420" s="55"/>
      <c r="AC420" s="55"/>
      <c r="AD420" s="55"/>
      <c r="AE420" s="55"/>
      <c r="AF420" s="55"/>
      <c r="AG420" s="55"/>
      <c r="AH420" s="55"/>
      <c r="AI420" s="55"/>
      <c r="AJ420" s="55"/>
      <c r="AK420" s="55"/>
      <c r="AL420" s="55"/>
      <c r="AM420" s="55"/>
      <c r="AN420" s="55"/>
    </row>
    <row r="421" spans="1:40" ht="14" x14ac:dyDescent="0.35">
      <c r="A421" s="55" t="str">
        <f t="shared" si="0"/>
        <v/>
      </c>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c r="AA421" s="55"/>
      <c r="AB421" s="55"/>
      <c r="AC421" s="55"/>
      <c r="AD421" s="55"/>
      <c r="AE421" s="55"/>
      <c r="AF421" s="55"/>
      <c r="AG421" s="55"/>
      <c r="AH421" s="55"/>
      <c r="AI421" s="55"/>
      <c r="AJ421" s="55"/>
      <c r="AK421" s="55"/>
      <c r="AL421" s="55"/>
      <c r="AM421" s="55"/>
      <c r="AN421" s="55"/>
    </row>
    <row r="422" spans="1:40" ht="14" x14ac:dyDescent="0.35">
      <c r="A422" s="55" t="str">
        <f t="shared" si="0"/>
        <v/>
      </c>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5"/>
      <c r="AE422" s="55"/>
      <c r="AF422" s="55"/>
      <c r="AG422" s="55"/>
      <c r="AH422" s="55"/>
      <c r="AI422" s="55"/>
      <c r="AJ422" s="55"/>
      <c r="AK422" s="55"/>
      <c r="AL422" s="55"/>
      <c r="AM422" s="55"/>
      <c r="AN422" s="55"/>
    </row>
    <row r="423" spans="1:40" ht="14" x14ac:dyDescent="0.35">
      <c r="A423" s="55" t="str">
        <f t="shared" si="0"/>
        <v/>
      </c>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c r="AC423" s="55"/>
      <c r="AD423" s="55"/>
      <c r="AE423" s="55"/>
      <c r="AF423" s="55"/>
      <c r="AG423" s="55"/>
      <c r="AH423" s="55"/>
      <c r="AI423" s="55"/>
      <c r="AJ423" s="55"/>
      <c r="AK423" s="55"/>
      <c r="AL423" s="55"/>
      <c r="AM423" s="55"/>
      <c r="AN423" s="55"/>
    </row>
    <row r="424" spans="1:40" ht="14" x14ac:dyDescent="0.35">
      <c r="A424" s="55" t="str">
        <f t="shared" si="0"/>
        <v/>
      </c>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c r="AD424" s="55"/>
      <c r="AE424" s="55"/>
      <c r="AF424" s="55"/>
      <c r="AG424" s="55"/>
      <c r="AH424" s="55"/>
      <c r="AI424" s="55"/>
      <c r="AJ424" s="55"/>
      <c r="AK424" s="55"/>
      <c r="AL424" s="55"/>
      <c r="AM424" s="55"/>
      <c r="AN424" s="55"/>
    </row>
    <row r="425" spans="1:40" ht="14" x14ac:dyDescent="0.35">
      <c r="A425" s="55" t="str">
        <f t="shared" si="0"/>
        <v/>
      </c>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c r="AA425" s="55"/>
      <c r="AB425" s="55"/>
      <c r="AC425" s="55"/>
      <c r="AD425" s="55"/>
      <c r="AE425" s="55"/>
      <c r="AF425" s="55"/>
      <c r="AG425" s="55"/>
      <c r="AH425" s="55"/>
      <c r="AI425" s="55"/>
      <c r="AJ425" s="55"/>
      <c r="AK425" s="55"/>
      <c r="AL425" s="55"/>
      <c r="AM425" s="55"/>
      <c r="AN425" s="55"/>
    </row>
    <row r="426" spans="1:40" ht="14" x14ac:dyDescent="0.35">
      <c r="A426" s="55" t="str">
        <f t="shared" si="0"/>
        <v/>
      </c>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c r="AL426" s="55"/>
      <c r="AM426" s="55"/>
      <c r="AN426" s="55"/>
    </row>
    <row r="427" spans="1:40" ht="14" x14ac:dyDescent="0.35">
      <c r="A427" s="55" t="str">
        <f t="shared" si="0"/>
        <v/>
      </c>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5"/>
      <c r="AH427" s="55"/>
      <c r="AI427" s="55"/>
      <c r="AJ427" s="55"/>
      <c r="AK427" s="55"/>
      <c r="AL427" s="55"/>
      <c r="AM427" s="55"/>
      <c r="AN427" s="55"/>
    </row>
    <row r="428" spans="1:40" ht="14" x14ac:dyDescent="0.35">
      <c r="A428" s="55" t="str">
        <f t="shared" si="0"/>
        <v/>
      </c>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c r="AC428" s="55"/>
      <c r="AD428" s="55"/>
      <c r="AE428" s="55"/>
      <c r="AF428" s="55"/>
      <c r="AG428" s="55"/>
      <c r="AH428" s="55"/>
      <c r="AI428" s="55"/>
      <c r="AJ428" s="55"/>
      <c r="AK428" s="55"/>
      <c r="AL428" s="55"/>
      <c r="AM428" s="55"/>
      <c r="AN428" s="55"/>
    </row>
    <row r="429" spans="1:40" ht="14" x14ac:dyDescent="0.35">
      <c r="A429" s="55" t="str">
        <f t="shared" si="0"/>
        <v/>
      </c>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c r="AB429" s="55"/>
      <c r="AC429" s="55"/>
      <c r="AD429" s="55"/>
      <c r="AE429" s="55"/>
      <c r="AF429" s="55"/>
      <c r="AG429" s="55"/>
      <c r="AH429" s="55"/>
      <c r="AI429" s="55"/>
      <c r="AJ429" s="55"/>
      <c r="AK429" s="55"/>
      <c r="AL429" s="55"/>
      <c r="AM429" s="55"/>
      <c r="AN429" s="55"/>
    </row>
    <row r="430" spans="1:40" ht="14" x14ac:dyDescent="0.35">
      <c r="A430" s="55" t="str">
        <f t="shared" si="0"/>
        <v/>
      </c>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55"/>
      <c r="AC430" s="55"/>
      <c r="AD430" s="55"/>
      <c r="AE430" s="55"/>
      <c r="AF430" s="55"/>
      <c r="AG430" s="55"/>
      <c r="AH430" s="55"/>
      <c r="AI430" s="55"/>
      <c r="AJ430" s="55"/>
      <c r="AK430" s="55"/>
      <c r="AL430" s="55"/>
      <c r="AM430" s="55"/>
      <c r="AN430" s="55"/>
    </row>
    <row r="431" spans="1:40" ht="14" x14ac:dyDescent="0.35">
      <c r="A431" s="55" t="str">
        <f t="shared" si="0"/>
        <v/>
      </c>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c r="AC431" s="55"/>
      <c r="AD431" s="55"/>
      <c r="AE431" s="55"/>
      <c r="AF431" s="55"/>
      <c r="AG431" s="55"/>
      <c r="AH431" s="55"/>
      <c r="AI431" s="55"/>
      <c r="AJ431" s="55"/>
      <c r="AK431" s="55"/>
      <c r="AL431" s="55"/>
      <c r="AM431" s="55"/>
      <c r="AN431" s="55"/>
    </row>
    <row r="432" spans="1:40" ht="14" x14ac:dyDescent="0.35">
      <c r="A432" s="55" t="str">
        <f t="shared" si="0"/>
        <v/>
      </c>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c r="AB432" s="55"/>
      <c r="AC432" s="55"/>
      <c r="AD432" s="55"/>
      <c r="AE432" s="55"/>
      <c r="AF432" s="55"/>
      <c r="AG432" s="55"/>
      <c r="AH432" s="55"/>
      <c r="AI432" s="55"/>
      <c r="AJ432" s="55"/>
      <c r="AK432" s="55"/>
      <c r="AL432" s="55"/>
      <c r="AM432" s="55"/>
      <c r="AN432" s="55"/>
    </row>
    <row r="433" spans="1:40" ht="14" x14ac:dyDescent="0.35">
      <c r="A433" s="55" t="str">
        <f t="shared" si="0"/>
        <v/>
      </c>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c r="AC433" s="55"/>
      <c r="AD433" s="55"/>
      <c r="AE433" s="55"/>
      <c r="AF433" s="55"/>
      <c r="AG433" s="55"/>
      <c r="AH433" s="55"/>
      <c r="AI433" s="55"/>
      <c r="AJ433" s="55"/>
      <c r="AK433" s="55"/>
      <c r="AL433" s="55"/>
      <c r="AM433" s="55"/>
      <c r="AN433" s="55"/>
    </row>
    <row r="434" spans="1:40" ht="14" x14ac:dyDescent="0.35">
      <c r="A434" s="55" t="str">
        <f t="shared" si="0"/>
        <v/>
      </c>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5"/>
      <c r="AE434" s="55"/>
      <c r="AF434" s="55"/>
      <c r="AG434" s="55"/>
      <c r="AH434" s="55"/>
      <c r="AI434" s="55"/>
      <c r="AJ434" s="55"/>
      <c r="AK434" s="55"/>
      <c r="AL434" s="55"/>
      <c r="AM434" s="55"/>
      <c r="AN434" s="55"/>
    </row>
    <row r="435" spans="1:40" ht="14" x14ac:dyDescent="0.35">
      <c r="A435" s="55" t="str">
        <f t="shared" si="0"/>
        <v/>
      </c>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5"/>
      <c r="AM435" s="55"/>
      <c r="AN435" s="55"/>
    </row>
    <row r="436" spans="1:40" ht="14" x14ac:dyDescent="0.35">
      <c r="A436" s="55" t="str">
        <f t="shared" si="0"/>
        <v/>
      </c>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5"/>
      <c r="AE436" s="55"/>
      <c r="AF436" s="55"/>
      <c r="AG436" s="55"/>
      <c r="AH436" s="55"/>
      <c r="AI436" s="55"/>
      <c r="AJ436" s="55"/>
      <c r="AK436" s="55"/>
      <c r="AL436" s="55"/>
      <c r="AM436" s="55"/>
      <c r="AN436" s="55"/>
    </row>
    <row r="437" spans="1:40" ht="14" x14ac:dyDescent="0.35">
      <c r="A437" s="55" t="str">
        <f t="shared" si="0"/>
        <v/>
      </c>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c r="AB437" s="55"/>
      <c r="AC437" s="55"/>
      <c r="AD437" s="55"/>
      <c r="AE437" s="55"/>
      <c r="AF437" s="55"/>
      <c r="AG437" s="55"/>
      <c r="AH437" s="55"/>
      <c r="AI437" s="55"/>
      <c r="AJ437" s="55"/>
      <c r="AK437" s="55"/>
      <c r="AL437" s="55"/>
      <c r="AM437" s="55"/>
      <c r="AN437" s="55"/>
    </row>
    <row r="438" spans="1:40" ht="14" x14ac:dyDescent="0.35">
      <c r="A438" s="55" t="str">
        <f t="shared" si="0"/>
        <v/>
      </c>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55"/>
      <c r="AB438" s="55"/>
      <c r="AC438" s="55"/>
      <c r="AD438" s="55"/>
      <c r="AE438" s="55"/>
      <c r="AF438" s="55"/>
      <c r="AG438" s="55"/>
      <c r="AH438" s="55"/>
      <c r="AI438" s="55"/>
      <c r="AJ438" s="55"/>
      <c r="AK438" s="55"/>
      <c r="AL438" s="55"/>
      <c r="AM438" s="55"/>
      <c r="AN438" s="55"/>
    </row>
    <row r="439" spans="1:40" ht="14" x14ac:dyDescent="0.35">
      <c r="A439" s="55" t="str">
        <f t="shared" si="0"/>
        <v/>
      </c>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c r="AB439" s="55"/>
      <c r="AC439" s="55"/>
      <c r="AD439" s="55"/>
      <c r="AE439" s="55"/>
      <c r="AF439" s="55"/>
      <c r="AG439" s="55"/>
      <c r="AH439" s="55"/>
      <c r="AI439" s="55"/>
      <c r="AJ439" s="55"/>
      <c r="AK439" s="55"/>
      <c r="AL439" s="55"/>
      <c r="AM439" s="55"/>
      <c r="AN439" s="55"/>
    </row>
    <row r="440" spans="1:40" ht="14" x14ac:dyDescent="0.35">
      <c r="A440" s="55" t="str">
        <f t="shared" si="0"/>
        <v/>
      </c>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c r="AC440" s="55"/>
      <c r="AD440" s="55"/>
      <c r="AE440" s="55"/>
      <c r="AF440" s="55"/>
      <c r="AG440" s="55"/>
      <c r="AH440" s="55"/>
      <c r="AI440" s="55"/>
      <c r="AJ440" s="55"/>
      <c r="AK440" s="55"/>
      <c r="AL440" s="55"/>
      <c r="AM440" s="55"/>
      <c r="AN440" s="55"/>
    </row>
    <row r="441" spans="1:40" ht="14" x14ac:dyDescent="0.35">
      <c r="A441" s="55" t="str">
        <f t="shared" si="0"/>
        <v/>
      </c>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c r="AC441" s="55"/>
      <c r="AD441" s="55"/>
      <c r="AE441" s="55"/>
      <c r="AF441" s="55"/>
      <c r="AG441" s="55"/>
      <c r="AH441" s="55"/>
      <c r="AI441" s="55"/>
      <c r="AJ441" s="55"/>
      <c r="AK441" s="55"/>
      <c r="AL441" s="55"/>
      <c r="AM441" s="55"/>
      <c r="AN441" s="55"/>
    </row>
    <row r="442" spans="1:40" ht="14" x14ac:dyDescent="0.35">
      <c r="A442" s="55" t="str">
        <f t="shared" si="0"/>
        <v/>
      </c>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c r="AA442" s="55"/>
      <c r="AB442" s="55"/>
      <c r="AC442" s="55"/>
      <c r="AD442" s="55"/>
      <c r="AE442" s="55"/>
      <c r="AF442" s="55"/>
      <c r="AG442" s="55"/>
      <c r="AH442" s="55"/>
      <c r="AI442" s="55"/>
      <c r="AJ442" s="55"/>
      <c r="AK442" s="55"/>
      <c r="AL442" s="55"/>
      <c r="AM442" s="55"/>
      <c r="AN442" s="55"/>
    </row>
    <row r="443" spans="1:40" ht="14" x14ac:dyDescent="0.35">
      <c r="A443" s="55" t="str">
        <f t="shared" si="0"/>
        <v/>
      </c>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c r="AA443" s="55"/>
      <c r="AB443" s="55"/>
      <c r="AC443" s="55"/>
      <c r="AD443" s="55"/>
      <c r="AE443" s="55"/>
      <c r="AF443" s="55"/>
      <c r="AG443" s="55"/>
      <c r="AH443" s="55"/>
      <c r="AI443" s="55"/>
      <c r="AJ443" s="55"/>
      <c r="AK443" s="55"/>
      <c r="AL443" s="55"/>
      <c r="AM443" s="55"/>
      <c r="AN443" s="55"/>
    </row>
    <row r="444" spans="1:40" ht="14" x14ac:dyDescent="0.35">
      <c r="A444" s="55" t="str">
        <f t="shared" si="0"/>
        <v/>
      </c>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c r="AA444" s="55"/>
      <c r="AB444" s="55"/>
      <c r="AC444" s="55"/>
      <c r="AD444" s="55"/>
      <c r="AE444" s="55"/>
      <c r="AF444" s="55"/>
      <c r="AG444" s="55"/>
      <c r="AH444" s="55"/>
      <c r="AI444" s="55"/>
      <c r="AJ444" s="55"/>
      <c r="AK444" s="55"/>
      <c r="AL444" s="55"/>
      <c r="AM444" s="55"/>
      <c r="AN444" s="55"/>
    </row>
    <row r="445" spans="1:40" ht="14" x14ac:dyDescent="0.35">
      <c r="A445" s="55" t="str">
        <f t="shared" si="0"/>
        <v/>
      </c>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c r="AA445" s="55"/>
      <c r="AB445" s="55"/>
      <c r="AC445" s="55"/>
      <c r="AD445" s="55"/>
      <c r="AE445" s="55"/>
      <c r="AF445" s="55"/>
      <c r="AG445" s="55"/>
      <c r="AH445" s="55"/>
      <c r="AI445" s="55"/>
      <c r="AJ445" s="55"/>
      <c r="AK445" s="55"/>
      <c r="AL445" s="55"/>
      <c r="AM445" s="55"/>
      <c r="AN445" s="55"/>
    </row>
    <row r="446" spans="1:40" ht="14" x14ac:dyDescent="0.35">
      <c r="A446" s="55" t="str">
        <f t="shared" si="0"/>
        <v/>
      </c>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c r="AC446" s="55"/>
      <c r="AD446" s="55"/>
      <c r="AE446" s="55"/>
      <c r="AF446" s="55"/>
      <c r="AG446" s="55"/>
      <c r="AH446" s="55"/>
      <c r="AI446" s="55"/>
      <c r="AJ446" s="55"/>
      <c r="AK446" s="55"/>
      <c r="AL446" s="55"/>
      <c r="AM446" s="55"/>
      <c r="AN446" s="55"/>
    </row>
    <row r="447" spans="1:40" ht="14" x14ac:dyDescent="0.35">
      <c r="A447" s="55" t="str">
        <f t="shared" si="0"/>
        <v/>
      </c>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c r="AB447" s="55"/>
      <c r="AC447" s="55"/>
      <c r="AD447" s="55"/>
      <c r="AE447" s="55"/>
      <c r="AF447" s="55"/>
      <c r="AG447" s="55"/>
      <c r="AH447" s="55"/>
      <c r="AI447" s="55"/>
      <c r="AJ447" s="55"/>
      <c r="AK447" s="55"/>
      <c r="AL447" s="55"/>
      <c r="AM447" s="55"/>
      <c r="AN447" s="55"/>
    </row>
    <row r="448" spans="1:40" ht="14" x14ac:dyDescent="0.35">
      <c r="A448" s="55" t="str">
        <f t="shared" si="0"/>
        <v/>
      </c>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c r="AB448" s="55"/>
      <c r="AC448" s="55"/>
      <c r="AD448" s="55"/>
      <c r="AE448" s="55"/>
      <c r="AF448" s="55"/>
      <c r="AG448" s="55"/>
      <c r="AH448" s="55"/>
      <c r="AI448" s="55"/>
      <c r="AJ448" s="55"/>
      <c r="AK448" s="55"/>
      <c r="AL448" s="55"/>
      <c r="AM448" s="55"/>
      <c r="AN448" s="55"/>
    </row>
    <row r="449" spans="1:40" ht="14" x14ac:dyDescent="0.35">
      <c r="A449" s="55" t="str">
        <f t="shared" si="0"/>
        <v/>
      </c>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c r="AC449" s="55"/>
      <c r="AD449" s="55"/>
      <c r="AE449" s="55"/>
      <c r="AF449" s="55"/>
      <c r="AG449" s="55"/>
      <c r="AH449" s="55"/>
      <c r="AI449" s="55"/>
      <c r="AJ449" s="55"/>
      <c r="AK449" s="55"/>
      <c r="AL449" s="55"/>
      <c r="AM449" s="55"/>
      <c r="AN449" s="55"/>
    </row>
    <row r="450" spans="1:40" ht="14" x14ac:dyDescent="0.35">
      <c r="A450" s="55" t="str">
        <f t="shared" si="0"/>
        <v/>
      </c>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c r="AB450" s="55"/>
      <c r="AC450" s="55"/>
      <c r="AD450" s="55"/>
      <c r="AE450" s="55"/>
      <c r="AF450" s="55"/>
      <c r="AG450" s="55"/>
      <c r="AH450" s="55"/>
      <c r="AI450" s="55"/>
      <c r="AJ450" s="55"/>
      <c r="AK450" s="55"/>
      <c r="AL450" s="55"/>
      <c r="AM450" s="55"/>
      <c r="AN450" s="55"/>
    </row>
    <row r="451" spans="1:40" ht="14" x14ac:dyDescent="0.35">
      <c r="A451" s="55" t="str">
        <f t="shared" si="0"/>
        <v/>
      </c>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c r="AA451" s="55"/>
      <c r="AB451" s="55"/>
      <c r="AC451" s="55"/>
      <c r="AD451" s="55"/>
      <c r="AE451" s="55"/>
      <c r="AF451" s="55"/>
      <c r="AG451" s="55"/>
      <c r="AH451" s="55"/>
      <c r="AI451" s="55"/>
      <c r="AJ451" s="55"/>
      <c r="AK451" s="55"/>
      <c r="AL451" s="55"/>
      <c r="AM451" s="55"/>
      <c r="AN451" s="55"/>
    </row>
    <row r="452" spans="1:40" ht="14" x14ac:dyDescent="0.35">
      <c r="A452" s="55" t="str">
        <f t="shared" si="0"/>
        <v/>
      </c>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c r="AA452" s="55"/>
      <c r="AB452" s="55"/>
      <c r="AC452" s="55"/>
      <c r="AD452" s="55"/>
      <c r="AE452" s="55"/>
      <c r="AF452" s="55"/>
      <c r="AG452" s="55"/>
      <c r="AH452" s="55"/>
      <c r="AI452" s="55"/>
      <c r="AJ452" s="55"/>
      <c r="AK452" s="55"/>
      <c r="AL452" s="55"/>
      <c r="AM452" s="55"/>
      <c r="AN452" s="55"/>
    </row>
    <row r="453" spans="1:40" ht="14" x14ac:dyDescent="0.35">
      <c r="A453" s="55" t="str">
        <f t="shared" si="0"/>
        <v/>
      </c>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c r="AC453" s="55"/>
      <c r="AD453" s="55"/>
      <c r="AE453" s="55"/>
      <c r="AF453" s="55"/>
      <c r="AG453" s="55"/>
      <c r="AH453" s="55"/>
      <c r="AI453" s="55"/>
      <c r="AJ453" s="55"/>
      <c r="AK453" s="55"/>
      <c r="AL453" s="55"/>
      <c r="AM453" s="55"/>
      <c r="AN453" s="55"/>
    </row>
    <row r="454" spans="1:40" ht="14" x14ac:dyDescent="0.35">
      <c r="A454" s="55" t="str">
        <f t="shared" si="0"/>
        <v/>
      </c>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c r="AA454" s="55"/>
      <c r="AB454" s="55"/>
      <c r="AC454" s="55"/>
      <c r="AD454" s="55"/>
      <c r="AE454" s="55"/>
      <c r="AF454" s="55"/>
      <c r="AG454" s="55"/>
      <c r="AH454" s="55"/>
      <c r="AI454" s="55"/>
      <c r="AJ454" s="55"/>
      <c r="AK454" s="55"/>
      <c r="AL454" s="55"/>
      <c r="AM454" s="55"/>
      <c r="AN454" s="55"/>
    </row>
    <row r="455" spans="1:40" ht="14" x14ac:dyDescent="0.35">
      <c r="A455" s="55" t="str">
        <f t="shared" si="0"/>
        <v/>
      </c>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c r="AA455" s="55"/>
      <c r="AB455" s="55"/>
      <c r="AC455" s="55"/>
      <c r="AD455" s="55"/>
      <c r="AE455" s="55"/>
      <c r="AF455" s="55"/>
      <c r="AG455" s="55"/>
      <c r="AH455" s="55"/>
      <c r="AI455" s="55"/>
      <c r="AJ455" s="55"/>
      <c r="AK455" s="55"/>
      <c r="AL455" s="55"/>
      <c r="AM455" s="55"/>
      <c r="AN455" s="55"/>
    </row>
    <row r="456" spans="1:40" ht="14" x14ac:dyDescent="0.35">
      <c r="A456" s="55" t="str">
        <f t="shared" si="0"/>
        <v/>
      </c>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c r="AA456" s="55"/>
      <c r="AB456" s="55"/>
      <c r="AC456" s="55"/>
      <c r="AD456" s="55"/>
      <c r="AE456" s="55"/>
      <c r="AF456" s="55"/>
      <c r="AG456" s="55"/>
      <c r="AH456" s="55"/>
      <c r="AI456" s="55"/>
      <c r="AJ456" s="55"/>
      <c r="AK456" s="55"/>
      <c r="AL456" s="55"/>
      <c r="AM456" s="55"/>
      <c r="AN456" s="55"/>
    </row>
    <row r="457" spans="1:40" ht="14" x14ac:dyDescent="0.35">
      <c r="A457" s="55" t="str">
        <f t="shared" si="0"/>
        <v/>
      </c>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c r="AC457" s="55"/>
      <c r="AD457" s="55"/>
      <c r="AE457" s="55"/>
      <c r="AF457" s="55"/>
      <c r="AG457" s="55"/>
      <c r="AH457" s="55"/>
      <c r="AI457" s="55"/>
      <c r="AJ457" s="55"/>
      <c r="AK457" s="55"/>
      <c r="AL457" s="55"/>
      <c r="AM457" s="55"/>
      <c r="AN457" s="55"/>
    </row>
    <row r="458" spans="1:40" ht="14" x14ac:dyDescent="0.35">
      <c r="A458" s="55" t="str">
        <f t="shared" si="0"/>
        <v/>
      </c>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c r="AA458" s="55"/>
      <c r="AB458" s="55"/>
      <c r="AC458" s="55"/>
      <c r="AD458" s="55"/>
      <c r="AE458" s="55"/>
      <c r="AF458" s="55"/>
      <c r="AG458" s="55"/>
      <c r="AH458" s="55"/>
      <c r="AI458" s="55"/>
      <c r="AJ458" s="55"/>
      <c r="AK458" s="55"/>
      <c r="AL458" s="55"/>
      <c r="AM458" s="55"/>
      <c r="AN458" s="55"/>
    </row>
    <row r="459" spans="1:40" ht="14" x14ac:dyDescent="0.35">
      <c r="A459" s="55" t="str">
        <f t="shared" si="0"/>
        <v/>
      </c>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c r="AA459" s="55"/>
      <c r="AB459" s="55"/>
      <c r="AC459" s="55"/>
      <c r="AD459" s="55"/>
      <c r="AE459" s="55"/>
      <c r="AF459" s="55"/>
      <c r="AG459" s="55"/>
      <c r="AH459" s="55"/>
      <c r="AI459" s="55"/>
      <c r="AJ459" s="55"/>
      <c r="AK459" s="55"/>
      <c r="AL459" s="55"/>
      <c r="AM459" s="55"/>
      <c r="AN459" s="55"/>
    </row>
    <row r="460" spans="1:40" ht="14" x14ac:dyDescent="0.35">
      <c r="A460" s="55" t="str">
        <f t="shared" si="0"/>
        <v/>
      </c>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c r="AB460" s="55"/>
      <c r="AC460" s="55"/>
      <c r="AD460" s="55"/>
      <c r="AE460" s="55"/>
      <c r="AF460" s="55"/>
      <c r="AG460" s="55"/>
      <c r="AH460" s="55"/>
      <c r="AI460" s="55"/>
      <c r="AJ460" s="55"/>
      <c r="AK460" s="55"/>
      <c r="AL460" s="55"/>
      <c r="AM460" s="55"/>
      <c r="AN460" s="55"/>
    </row>
    <row r="461" spans="1:40" ht="14" x14ac:dyDescent="0.35">
      <c r="A461" s="55" t="str">
        <f t="shared" si="0"/>
        <v/>
      </c>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c r="AC461" s="55"/>
      <c r="AD461" s="55"/>
      <c r="AE461" s="55"/>
      <c r="AF461" s="55"/>
      <c r="AG461" s="55"/>
      <c r="AH461" s="55"/>
      <c r="AI461" s="55"/>
      <c r="AJ461" s="55"/>
      <c r="AK461" s="55"/>
      <c r="AL461" s="55"/>
      <c r="AM461" s="55"/>
      <c r="AN461" s="55"/>
    </row>
    <row r="462" spans="1:40" ht="14" x14ac:dyDescent="0.35">
      <c r="A462" s="55" t="str">
        <f t="shared" si="0"/>
        <v/>
      </c>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5"/>
      <c r="AE462" s="55"/>
      <c r="AF462" s="55"/>
      <c r="AG462" s="55"/>
      <c r="AH462" s="55"/>
      <c r="AI462" s="55"/>
      <c r="AJ462" s="55"/>
      <c r="AK462" s="55"/>
      <c r="AL462" s="55"/>
      <c r="AM462" s="55"/>
      <c r="AN462" s="55"/>
    </row>
    <row r="463" spans="1:40" ht="14" x14ac:dyDescent="0.35">
      <c r="A463" s="55" t="str">
        <f t="shared" si="0"/>
        <v/>
      </c>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c r="AB463" s="55"/>
      <c r="AC463" s="55"/>
      <c r="AD463" s="55"/>
      <c r="AE463" s="55"/>
      <c r="AF463" s="55"/>
      <c r="AG463" s="55"/>
      <c r="AH463" s="55"/>
      <c r="AI463" s="55"/>
      <c r="AJ463" s="55"/>
      <c r="AK463" s="55"/>
      <c r="AL463" s="55"/>
      <c r="AM463" s="55"/>
      <c r="AN463" s="55"/>
    </row>
    <row r="464" spans="1:40" ht="14" x14ac:dyDescent="0.35">
      <c r="A464" s="55" t="str">
        <f t="shared" si="0"/>
        <v/>
      </c>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c r="AB464" s="55"/>
      <c r="AC464" s="55"/>
      <c r="AD464" s="55"/>
      <c r="AE464" s="55"/>
      <c r="AF464" s="55"/>
      <c r="AG464" s="55"/>
      <c r="AH464" s="55"/>
      <c r="AI464" s="55"/>
      <c r="AJ464" s="55"/>
      <c r="AK464" s="55"/>
      <c r="AL464" s="55"/>
      <c r="AM464" s="55"/>
      <c r="AN464" s="55"/>
    </row>
    <row r="465" spans="1:40" ht="14" x14ac:dyDescent="0.35">
      <c r="A465" s="55" t="str">
        <f t="shared" si="0"/>
        <v/>
      </c>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c r="AC465" s="55"/>
      <c r="AD465" s="55"/>
      <c r="AE465" s="55"/>
      <c r="AF465" s="55"/>
      <c r="AG465" s="55"/>
      <c r="AH465" s="55"/>
      <c r="AI465" s="55"/>
      <c r="AJ465" s="55"/>
      <c r="AK465" s="55"/>
      <c r="AL465" s="55"/>
      <c r="AM465" s="55"/>
      <c r="AN465" s="55"/>
    </row>
    <row r="466" spans="1:40" ht="14" x14ac:dyDescent="0.35">
      <c r="A466" s="55" t="str">
        <f t="shared" si="0"/>
        <v/>
      </c>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55"/>
      <c r="AD466" s="55"/>
      <c r="AE466" s="55"/>
      <c r="AF466" s="55"/>
      <c r="AG466" s="55"/>
      <c r="AH466" s="55"/>
      <c r="AI466" s="55"/>
      <c r="AJ466" s="55"/>
      <c r="AK466" s="55"/>
      <c r="AL466" s="55"/>
      <c r="AM466" s="55"/>
      <c r="AN466" s="55"/>
    </row>
    <row r="467" spans="1:40" ht="14" x14ac:dyDescent="0.35">
      <c r="A467" s="55" t="str">
        <f t="shared" si="0"/>
        <v/>
      </c>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55"/>
      <c r="AD467" s="55"/>
      <c r="AE467" s="55"/>
      <c r="AF467" s="55"/>
      <c r="AG467" s="55"/>
      <c r="AH467" s="55"/>
      <c r="AI467" s="55"/>
      <c r="AJ467" s="55"/>
      <c r="AK467" s="55"/>
      <c r="AL467" s="55"/>
      <c r="AM467" s="55"/>
      <c r="AN467" s="55"/>
    </row>
    <row r="468" spans="1:40" ht="14" x14ac:dyDescent="0.35">
      <c r="A468" s="55" t="str">
        <f t="shared" si="0"/>
        <v/>
      </c>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5"/>
      <c r="AH468" s="55"/>
      <c r="AI468" s="55"/>
      <c r="AJ468" s="55"/>
      <c r="AK468" s="55"/>
      <c r="AL468" s="55"/>
      <c r="AM468" s="55"/>
      <c r="AN468" s="55"/>
    </row>
    <row r="469" spans="1:40" ht="14" x14ac:dyDescent="0.35">
      <c r="A469" s="55" t="str">
        <f t="shared" si="0"/>
        <v/>
      </c>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c r="AC469" s="55"/>
      <c r="AD469" s="55"/>
      <c r="AE469" s="55"/>
      <c r="AF469" s="55"/>
      <c r="AG469" s="55"/>
      <c r="AH469" s="55"/>
      <c r="AI469" s="55"/>
      <c r="AJ469" s="55"/>
      <c r="AK469" s="55"/>
      <c r="AL469" s="55"/>
      <c r="AM469" s="55"/>
      <c r="AN469" s="55"/>
    </row>
    <row r="470" spans="1:40" ht="14" x14ac:dyDescent="0.35">
      <c r="A470" s="55" t="str">
        <f t="shared" si="0"/>
        <v/>
      </c>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c r="AC470" s="55"/>
      <c r="AD470" s="55"/>
      <c r="AE470" s="55"/>
      <c r="AF470" s="55"/>
      <c r="AG470" s="55"/>
      <c r="AH470" s="55"/>
      <c r="AI470" s="55"/>
      <c r="AJ470" s="55"/>
      <c r="AK470" s="55"/>
      <c r="AL470" s="55"/>
      <c r="AM470" s="55"/>
      <c r="AN470" s="55"/>
    </row>
    <row r="471" spans="1:40" ht="14" x14ac:dyDescent="0.35">
      <c r="A471" s="55" t="str">
        <f t="shared" si="0"/>
        <v/>
      </c>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c r="AC471" s="55"/>
      <c r="AD471" s="55"/>
      <c r="AE471" s="55"/>
      <c r="AF471" s="55"/>
      <c r="AG471" s="55"/>
      <c r="AH471" s="55"/>
      <c r="AI471" s="55"/>
      <c r="AJ471" s="55"/>
      <c r="AK471" s="55"/>
      <c r="AL471" s="55"/>
      <c r="AM471" s="55"/>
      <c r="AN471" s="55"/>
    </row>
    <row r="472" spans="1:40" ht="14" x14ac:dyDescent="0.35">
      <c r="A472" s="55" t="str">
        <f t="shared" si="0"/>
        <v/>
      </c>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c r="AC472" s="55"/>
      <c r="AD472" s="55"/>
      <c r="AE472" s="55"/>
      <c r="AF472" s="55"/>
      <c r="AG472" s="55"/>
      <c r="AH472" s="55"/>
      <c r="AI472" s="55"/>
      <c r="AJ472" s="55"/>
      <c r="AK472" s="55"/>
      <c r="AL472" s="55"/>
      <c r="AM472" s="55"/>
      <c r="AN472" s="55"/>
    </row>
    <row r="473" spans="1:40" ht="14" x14ac:dyDescent="0.35">
      <c r="A473" s="55" t="str">
        <f t="shared" si="0"/>
        <v/>
      </c>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5"/>
      <c r="AE473" s="55"/>
      <c r="AF473" s="55"/>
      <c r="AG473" s="55"/>
      <c r="AH473" s="55"/>
      <c r="AI473" s="55"/>
      <c r="AJ473" s="55"/>
      <c r="AK473" s="55"/>
      <c r="AL473" s="55"/>
      <c r="AM473" s="55"/>
      <c r="AN473" s="55"/>
    </row>
    <row r="474" spans="1:40" ht="14" x14ac:dyDescent="0.35">
      <c r="A474" s="55" t="str">
        <f t="shared" si="0"/>
        <v/>
      </c>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5"/>
      <c r="AE474" s="55"/>
      <c r="AF474" s="55"/>
      <c r="AG474" s="55"/>
      <c r="AH474" s="55"/>
      <c r="AI474" s="55"/>
      <c r="AJ474" s="55"/>
      <c r="AK474" s="55"/>
      <c r="AL474" s="55"/>
      <c r="AM474" s="55"/>
      <c r="AN474" s="55"/>
    </row>
    <row r="475" spans="1:40" ht="14" x14ac:dyDescent="0.35">
      <c r="A475" s="55" t="str">
        <f t="shared" si="0"/>
        <v/>
      </c>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c r="AB475" s="55"/>
      <c r="AC475" s="55"/>
      <c r="AD475" s="55"/>
      <c r="AE475" s="55"/>
      <c r="AF475" s="55"/>
      <c r="AG475" s="55"/>
      <c r="AH475" s="55"/>
      <c r="AI475" s="55"/>
      <c r="AJ475" s="55"/>
      <c r="AK475" s="55"/>
      <c r="AL475" s="55"/>
      <c r="AM475" s="55"/>
      <c r="AN475" s="55"/>
    </row>
    <row r="476" spans="1:40" ht="14" x14ac:dyDescent="0.35">
      <c r="A476" s="55" t="str">
        <f t="shared" si="0"/>
        <v/>
      </c>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5"/>
      <c r="AE476" s="55"/>
      <c r="AF476" s="55"/>
      <c r="AG476" s="55"/>
      <c r="AH476" s="55"/>
      <c r="AI476" s="55"/>
      <c r="AJ476" s="55"/>
      <c r="AK476" s="55"/>
      <c r="AL476" s="55"/>
      <c r="AM476" s="55"/>
      <c r="AN476" s="55"/>
    </row>
    <row r="477" spans="1:40" ht="14" x14ac:dyDescent="0.35">
      <c r="A477" s="55" t="str">
        <f t="shared" si="0"/>
        <v/>
      </c>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c r="AG477" s="55"/>
      <c r="AH477" s="55"/>
      <c r="AI477" s="55"/>
      <c r="AJ477" s="55"/>
      <c r="AK477" s="55"/>
      <c r="AL477" s="55"/>
      <c r="AM477" s="55"/>
      <c r="AN477" s="55"/>
    </row>
    <row r="478" spans="1:40" ht="14" x14ac:dyDescent="0.35">
      <c r="A478" s="55" t="str">
        <f t="shared" si="0"/>
        <v/>
      </c>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5"/>
      <c r="AE478" s="55"/>
      <c r="AF478" s="55"/>
      <c r="AG478" s="55"/>
      <c r="AH478" s="55"/>
      <c r="AI478" s="55"/>
      <c r="AJ478" s="55"/>
      <c r="AK478" s="55"/>
      <c r="AL478" s="55"/>
      <c r="AM478" s="55"/>
      <c r="AN478" s="55"/>
    </row>
    <row r="479" spans="1:40" ht="14" x14ac:dyDescent="0.35">
      <c r="A479" s="55" t="str">
        <f t="shared" si="0"/>
        <v/>
      </c>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5"/>
      <c r="AE479" s="55"/>
      <c r="AF479" s="55"/>
      <c r="AG479" s="55"/>
      <c r="AH479" s="55"/>
      <c r="AI479" s="55"/>
      <c r="AJ479" s="55"/>
      <c r="AK479" s="55"/>
      <c r="AL479" s="55"/>
      <c r="AM479" s="55"/>
      <c r="AN479" s="55"/>
    </row>
    <row r="480" spans="1:40" ht="14" x14ac:dyDescent="0.35">
      <c r="A480" s="55" t="str">
        <f t="shared" si="0"/>
        <v/>
      </c>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5"/>
      <c r="AE480" s="55"/>
      <c r="AF480" s="55"/>
      <c r="AG480" s="55"/>
      <c r="AH480" s="55"/>
      <c r="AI480" s="55"/>
      <c r="AJ480" s="55"/>
      <c r="AK480" s="55"/>
      <c r="AL480" s="55"/>
      <c r="AM480" s="55"/>
      <c r="AN480" s="55"/>
    </row>
    <row r="481" spans="1:40" ht="14" x14ac:dyDescent="0.35">
      <c r="A481" s="55" t="str">
        <f t="shared" si="0"/>
        <v/>
      </c>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5"/>
      <c r="AE481" s="55"/>
      <c r="AF481" s="55"/>
      <c r="AG481" s="55"/>
      <c r="AH481" s="55"/>
      <c r="AI481" s="55"/>
      <c r="AJ481" s="55"/>
      <c r="AK481" s="55"/>
      <c r="AL481" s="55"/>
      <c r="AM481" s="55"/>
      <c r="AN481" s="55"/>
    </row>
    <row r="482" spans="1:40" ht="14" x14ac:dyDescent="0.35">
      <c r="A482" s="55" t="str">
        <f t="shared" si="0"/>
        <v/>
      </c>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5"/>
      <c r="AE482" s="55"/>
      <c r="AF482" s="55"/>
      <c r="AG482" s="55"/>
      <c r="AH482" s="55"/>
      <c r="AI482" s="55"/>
      <c r="AJ482" s="55"/>
      <c r="AK482" s="55"/>
      <c r="AL482" s="55"/>
      <c r="AM482" s="55"/>
      <c r="AN482" s="55"/>
    </row>
    <row r="483" spans="1:40" ht="14" x14ac:dyDescent="0.35">
      <c r="A483" s="55" t="str">
        <f t="shared" si="0"/>
        <v/>
      </c>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5"/>
      <c r="AE483" s="55"/>
      <c r="AF483" s="55"/>
      <c r="AG483" s="55"/>
      <c r="AH483" s="55"/>
      <c r="AI483" s="55"/>
      <c r="AJ483" s="55"/>
      <c r="AK483" s="55"/>
      <c r="AL483" s="55"/>
      <c r="AM483" s="55"/>
      <c r="AN483" s="55"/>
    </row>
    <row r="484" spans="1:40" ht="14" x14ac:dyDescent="0.35">
      <c r="A484" s="55" t="str">
        <f t="shared" si="0"/>
        <v/>
      </c>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5"/>
      <c r="AE484" s="55"/>
      <c r="AF484" s="55"/>
      <c r="AG484" s="55"/>
      <c r="AH484" s="55"/>
      <c r="AI484" s="55"/>
      <c r="AJ484" s="55"/>
      <c r="AK484" s="55"/>
      <c r="AL484" s="55"/>
      <c r="AM484" s="55"/>
      <c r="AN484" s="55"/>
    </row>
    <row r="485" spans="1:40" ht="14" x14ac:dyDescent="0.35">
      <c r="A485" s="55" t="str">
        <f t="shared" si="0"/>
        <v/>
      </c>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5"/>
      <c r="AE485" s="55"/>
      <c r="AF485" s="55"/>
      <c r="AG485" s="55"/>
      <c r="AH485" s="55"/>
      <c r="AI485" s="55"/>
      <c r="AJ485" s="55"/>
      <c r="AK485" s="55"/>
      <c r="AL485" s="55"/>
      <c r="AM485" s="55"/>
      <c r="AN485" s="55"/>
    </row>
    <row r="486" spans="1:40" ht="14" x14ac:dyDescent="0.35">
      <c r="A486" s="55" t="str">
        <f t="shared" si="0"/>
        <v/>
      </c>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5"/>
      <c r="AE486" s="55"/>
      <c r="AF486" s="55"/>
      <c r="AG486" s="55"/>
      <c r="AH486" s="55"/>
      <c r="AI486" s="55"/>
      <c r="AJ486" s="55"/>
      <c r="AK486" s="55"/>
      <c r="AL486" s="55"/>
      <c r="AM486" s="55"/>
      <c r="AN486" s="55"/>
    </row>
    <row r="487" spans="1:40" ht="14" x14ac:dyDescent="0.35">
      <c r="A487" s="55" t="str">
        <f t="shared" si="0"/>
        <v/>
      </c>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c r="AM487" s="55"/>
      <c r="AN487" s="55"/>
    </row>
    <row r="488" spans="1:40" ht="14" x14ac:dyDescent="0.35">
      <c r="A488" s="55" t="str">
        <f t="shared" si="0"/>
        <v/>
      </c>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5"/>
      <c r="AE488" s="55"/>
      <c r="AF488" s="55"/>
      <c r="AG488" s="55"/>
      <c r="AH488" s="55"/>
      <c r="AI488" s="55"/>
      <c r="AJ488" s="55"/>
      <c r="AK488" s="55"/>
      <c r="AL488" s="55"/>
      <c r="AM488" s="55"/>
      <c r="AN488" s="55"/>
    </row>
    <row r="489" spans="1:40" ht="14" x14ac:dyDescent="0.35">
      <c r="A489" s="55" t="str">
        <f t="shared" si="0"/>
        <v/>
      </c>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5"/>
      <c r="AE489" s="55"/>
      <c r="AF489" s="55"/>
      <c r="AG489" s="55"/>
      <c r="AH489" s="55"/>
      <c r="AI489" s="55"/>
      <c r="AJ489" s="55"/>
      <c r="AK489" s="55"/>
      <c r="AL489" s="55"/>
      <c r="AM489" s="55"/>
      <c r="AN489" s="55"/>
    </row>
    <row r="490" spans="1:40" ht="14" x14ac:dyDescent="0.35">
      <c r="A490" s="55" t="str">
        <f t="shared" si="0"/>
        <v/>
      </c>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5"/>
      <c r="AE490" s="55"/>
      <c r="AF490" s="55"/>
      <c r="AG490" s="55"/>
      <c r="AH490" s="55"/>
      <c r="AI490" s="55"/>
      <c r="AJ490" s="55"/>
      <c r="AK490" s="55"/>
      <c r="AL490" s="55"/>
      <c r="AM490" s="55"/>
      <c r="AN490" s="55"/>
    </row>
    <row r="491" spans="1:40" ht="14" x14ac:dyDescent="0.35">
      <c r="A491" s="55" t="str">
        <f t="shared" si="0"/>
        <v/>
      </c>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5"/>
      <c r="AE491" s="55"/>
      <c r="AF491" s="55"/>
      <c r="AG491" s="55"/>
      <c r="AH491" s="55"/>
      <c r="AI491" s="55"/>
      <c r="AJ491" s="55"/>
      <c r="AK491" s="55"/>
      <c r="AL491" s="55"/>
      <c r="AM491" s="55"/>
      <c r="AN491" s="55"/>
    </row>
    <row r="492" spans="1:40" ht="14" x14ac:dyDescent="0.35">
      <c r="A492" s="55" t="str">
        <f t="shared" si="0"/>
        <v/>
      </c>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5"/>
      <c r="AE492" s="55"/>
      <c r="AF492" s="55"/>
      <c r="AG492" s="55"/>
      <c r="AH492" s="55"/>
      <c r="AI492" s="55"/>
      <c r="AJ492" s="55"/>
      <c r="AK492" s="55"/>
      <c r="AL492" s="55"/>
      <c r="AM492" s="55"/>
      <c r="AN492" s="55"/>
    </row>
    <row r="493" spans="1:40" ht="14" x14ac:dyDescent="0.35">
      <c r="A493" s="55" t="str">
        <f t="shared" si="0"/>
        <v/>
      </c>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5"/>
      <c r="AE493" s="55"/>
      <c r="AF493" s="55"/>
      <c r="AG493" s="55"/>
      <c r="AH493" s="55"/>
      <c r="AI493" s="55"/>
      <c r="AJ493" s="55"/>
      <c r="AK493" s="55"/>
      <c r="AL493" s="55"/>
      <c r="AM493" s="55"/>
      <c r="AN493" s="55"/>
    </row>
    <row r="494" spans="1:40" ht="14" x14ac:dyDescent="0.35">
      <c r="A494" s="55" t="str">
        <f t="shared" si="0"/>
        <v/>
      </c>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5"/>
      <c r="AE494" s="55"/>
      <c r="AF494" s="55"/>
      <c r="AG494" s="55"/>
      <c r="AH494" s="55"/>
      <c r="AI494" s="55"/>
      <c r="AJ494" s="55"/>
      <c r="AK494" s="55"/>
      <c r="AL494" s="55"/>
      <c r="AM494" s="55"/>
      <c r="AN494" s="55"/>
    </row>
    <row r="495" spans="1:40" ht="14" x14ac:dyDescent="0.35">
      <c r="A495" s="55" t="str">
        <f t="shared" si="0"/>
        <v/>
      </c>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5"/>
      <c r="AE495" s="55"/>
      <c r="AF495" s="55"/>
      <c r="AG495" s="55"/>
      <c r="AH495" s="55"/>
      <c r="AI495" s="55"/>
      <c r="AJ495" s="55"/>
      <c r="AK495" s="55"/>
      <c r="AL495" s="55"/>
      <c r="AM495" s="55"/>
      <c r="AN495" s="55"/>
    </row>
    <row r="496" spans="1:40" ht="14" x14ac:dyDescent="0.35">
      <c r="A496" s="55" t="str">
        <f t="shared" si="0"/>
        <v/>
      </c>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c r="AA496" s="55"/>
      <c r="AB496" s="55"/>
      <c r="AC496" s="55"/>
      <c r="AD496" s="55"/>
      <c r="AE496" s="55"/>
      <c r="AF496" s="55"/>
      <c r="AG496" s="55"/>
      <c r="AH496" s="55"/>
      <c r="AI496" s="55"/>
      <c r="AJ496" s="55"/>
      <c r="AK496" s="55"/>
      <c r="AL496" s="55"/>
      <c r="AM496" s="55"/>
      <c r="AN496" s="55"/>
    </row>
    <row r="497" spans="1:40" ht="14" x14ac:dyDescent="0.35">
      <c r="A497" s="55" t="str">
        <f t="shared" si="0"/>
        <v/>
      </c>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c r="AC497" s="55"/>
      <c r="AD497" s="55"/>
      <c r="AE497" s="55"/>
      <c r="AF497" s="55"/>
      <c r="AG497" s="55"/>
      <c r="AH497" s="55"/>
      <c r="AI497" s="55"/>
      <c r="AJ497" s="55"/>
      <c r="AK497" s="55"/>
      <c r="AL497" s="55"/>
      <c r="AM497" s="55"/>
      <c r="AN497" s="55"/>
    </row>
    <row r="498" spans="1:40" ht="14" x14ac:dyDescent="0.35">
      <c r="A498" s="55" t="str">
        <f t="shared" si="0"/>
        <v/>
      </c>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55"/>
      <c r="AD498" s="55"/>
      <c r="AE498" s="55"/>
      <c r="AF498" s="55"/>
      <c r="AG498" s="55"/>
      <c r="AH498" s="55"/>
      <c r="AI498" s="55"/>
      <c r="AJ498" s="55"/>
      <c r="AK498" s="55"/>
      <c r="AL498" s="55"/>
      <c r="AM498" s="55"/>
      <c r="AN498" s="55"/>
    </row>
    <row r="499" spans="1:40" ht="14" x14ac:dyDescent="0.35">
      <c r="A499" s="55" t="str">
        <f t="shared" si="0"/>
        <v/>
      </c>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c r="AC499" s="55"/>
      <c r="AD499" s="55"/>
      <c r="AE499" s="55"/>
      <c r="AF499" s="55"/>
      <c r="AG499" s="55"/>
      <c r="AH499" s="55"/>
      <c r="AI499" s="55"/>
      <c r="AJ499" s="55"/>
      <c r="AK499" s="55"/>
      <c r="AL499" s="55"/>
      <c r="AM499" s="55"/>
      <c r="AN499" s="55"/>
    </row>
    <row r="500" spans="1:40" ht="14" x14ac:dyDescent="0.35">
      <c r="A500" s="55" t="str">
        <f t="shared" si="0"/>
        <v/>
      </c>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c r="AB500" s="55"/>
      <c r="AC500" s="55"/>
      <c r="AD500" s="55"/>
      <c r="AE500" s="55"/>
      <c r="AF500" s="55"/>
      <c r="AG500" s="55"/>
      <c r="AH500" s="55"/>
      <c r="AI500" s="55"/>
      <c r="AJ500" s="55"/>
      <c r="AK500" s="55"/>
      <c r="AL500" s="55"/>
      <c r="AM500" s="55"/>
      <c r="AN500" s="55"/>
    </row>
    <row r="501" spans="1:40" ht="14" x14ac:dyDescent="0.35">
      <c r="A501" s="55" t="str">
        <f t="shared" si="0"/>
        <v/>
      </c>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5"/>
      <c r="AE501" s="55"/>
      <c r="AF501" s="55"/>
      <c r="AG501" s="55"/>
      <c r="AH501" s="55"/>
      <c r="AI501" s="55"/>
      <c r="AJ501" s="55"/>
      <c r="AK501" s="55"/>
      <c r="AL501" s="55"/>
      <c r="AM501" s="55"/>
      <c r="AN501" s="55"/>
    </row>
    <row r="502" spans="1:40" ht="14" x14ac:dyDescent="0.35">
      <c r="A502" s="55" t="str">
        <f t="shared" si="0"/>
        <v/>
      </c>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c r="AA502" s="55"/>
      <c r="AB502" s="55"/>
      <c r="AC502" s="55"/>
      <c r="AD502" s="55"/>
      <c r="AE502" s="55"/>
      <c r="AF502" s="55"/>
      <c r="AG502" s="55"/>
      <c r="AH502" s="55"/>
      <c r="AI502" s="55"/>
      <c r="AJ502" s="55"/>
      <c r="AK502" s="55"/>
      <c r="AL502" s="55"/>
      <c r="AM502" s="55"/>
      <c r="AN502" s="55"/>
    </row>
    <row r="503" spans="1:40" ht="14" x14ac:dyDescent="0.35">
      <c r="A503" s="55" t="str">
        <f t="shared" si="0"/>
        <v/>
      </c>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c r="AB503" s="55"/>
      <c r="AC503" s="55"/>
      <c r="AD503" s="55"/>
      <c r="AE503" s="55"/>
      <c r="AF503" s="55"/>
      <c r="AG503" s="55"/>
      <c r="AH503" s="55"/>
      <c r="AI503" s="55"/>
      <c r="AJ503" s="55"/>
      <c r="AK503" s="55"/>
      <c r="AL503" s="55"/>
      <c r="AM503" s="55"/>
      <c r="AN503" s="55"/>
    </row>
    <row r="504" spans="1:40" ht="14" x14ac:dyDescent="0.35">
      <c r="A504" s="55" t="str">
        <f t="shared" si="0"/>
        <v/>
      </c>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c r="AC504" s="55"/>
      <c r="AD504" s="55"/>
      <c r="AE504" s="55"/>
      <c r="AF504" s="55"/>
      <c r="AG504" s="55"/>
      <c r="AH504" s="55"/>
      <c r="AI504" s="55"/>
      <c r="AJ504" s="55"/>
      <c r="AK504" s="55"/>
      <c r="AL504" s="55"/>
      <c r="AM504" s="55"/>
      <c r="AN504" s="55"/>
    </row>
    <row r="505" spans="1:40" ht="14" x14ac:dyDescent="0.35">
      <c r="A505" s="55" t="str">
        <f t="shared" si="0"/>
        <v/>
      </c>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55"/>
      <c r="AD505" s="55"/>
      <c r="AE505" s="55"/>
      <c r="AF505" s="55"/>
      <c r="AG505" s="55"/>
      <c r="AH505" s="55"/>
      <c r="AI505" s="55"/>
      <c r="AJ505" s="55"/>
      <c r="AK505" s="55"/>
      <c r="AL505" s="55"/>
      <c r="AM505" s="55"/>
      <c r="AN505" s="55"/>
    </row>
    <row r="506" spans="1:40" ht="14" x14ac:dyDescent="0.35">
      <c r="A506" s="55" t="str">
        <f t="shared" si="0"/>
        <v/>
      </c>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5"/>
      <c r="AE506" s="55"/>
      <c r="AF506" s="55"/>
      <c r="AG506" s="55"/>
      <c r="AH506" s="55"/>
      <c r="AI506" s="55"/>
      <c r="AJ506" s="55"/>
      <c r="AK506" s="55"/>
      <c r="AL506" s="55"/>
      <c r="AM506" s="55"/>
      <c r="AN506" s="55"/>
    </row>
    <row r="507" spans="1:40" ht="14" x14ac:dyDescent="0.35">
      <c r="A507" s="55" t="str">
        <f t="shared" si="0"/>
        <v/>
      </c>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c r="AA507" s="55"/>
      <c r="AB507" s="55"/>
      <c r="AC507" s="55"/>
      <c r="AD507" s="55"/>
      <c r="AE507" s="55"/>
      <c r="AF507" s="55"/>
      <c r="AG507" s="55"/>
      <c r="AH507" s="55"/>
      <c r="AI507" s="55"/>
      <c r="AJ507" s="55"/>
      <c r="AK507" s="55"/>
      <c r="AL507" s="55"/>
      <c r="AM507" s="55"/>
      <c r="AN507" s="55"/>
    </row>
    <row r="508" spans="1:40" ht="14" x14ac:dyDescent="0.35">
      <c r="A508" s="55" t="str">
        <f t="shared" si="0"/>
        <v/>
      </c>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c r="AB508" s="55"/>
      <c r="AC508" s="55"/>
      <c r="AD508" s="55"/>
      <c r="AE508" s="55"/>
      <c r="AF508" s="55"/>
      <c r="AG508" s="55"/>
      <c r="AH508" s="55"/>
      <c r="AI508" s="55"/>
      <c r="AJ508" s="55"/>
      <c r="AK508" s="55"/>
      <c r="AL508" s="55"/>
      <c r="AM508" s="55"/>
      <c r="AN508" s="55"/>
    </row>
    <row r="509" spans="1:40" ht="14" x14ac:dyDescent="0.35">
      <c r="A509" s="55" t="str">
        <f t="shared" si="0"/>
        <v/>
      </c>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c r="AA509" s="55"/>
      <c r="AB509" s="55"/>
      <c r="AC509" s="55"/>
      <c r="AD509" s="55"/>
      <c r="AE509" s="55"/>
      <c r="AF509" s="55"/>
      <c r="AG509" s="55"/>
      <c r="AH509" s="55"/>
      <c r="AI509" s="55"/>
      <c r="AJ509" s="55"/>
      <c r="AK509" s="55"/>
      <c r="AL509" s="55"/>
      <c r="AM509" s="55"/>
      <c r="AN509" s="55"/>
    </row>
    <row r="510" spans="1:40" ht="14" x14ac:dyDescent="0.35">
      <c r="A510" s="55" t="str">
        <f t="shared" si="0"/>
        <v/>
      </c>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c r="AA510" s="55"/>
      <c r="AB510" s="55"/>
      <c r="AC510" s="55"/>
      <c r="AD510" s="55"/>
      <c r="AE510" s="55"/>
      <c r="AF510" s="55"/>
      <c r="AG510" s="55"/>
      <c r="AH510" s="55"/>
      <c r="AI510" s="55"/>
      <c r="AJ510" s="55"/>
      <c r="AK510" s="55"/>
      <c r="AL510" s="55"/>
      <c r="AM510" s="55"/>
      <c r="AN510" s="55"/>
    </row>
    <row r="511" spans="1:40" ht="14" x14ac:dyDescent="0.35">
      <c r="A511" s="55" t="str">
        <f t="shared" si="0"/>
        <v/>
      </c>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c r="AA511" s="55"/>
      <c r="AB511" s="55"/>
      <c r="AC511" s="55"/>
      <c r="AD511" s="55"/>
      <c r="AE511" s="55"/>
      <c r="AF511" s="55"/>
      <c r="AG511" s="55"/>
      <c r="AH511" s="55"/>
      <c r="AI511" s="55"/>
      <c r="AJ511" s="55"/>
      <c r="AK511" s="55"/>
      <c r="AL511" s="55"/>
      <c r="AM511" s="55"/>
      <c r="AN511" s="55"/>
    </row>
    <row r="512" spans="1:40" ht="14" x14ac:dyDescent="0.35">
      <c r="A512" s="55" t="str">
        <f t="shared" si="0"/>
        <v/>
      </c>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c r="AA512" s="55"/>
      <c r="AB512" s="55"/>
      <c r="AC512" s="55"/>
      <c r="AD512" s="55"/>
      <c r="AE512" s="55"/>
      <c r="AF512" s="55"/>
      <c r="AG512" s="55"/>
      <c r="AH512" s="55"/>
      <c r="AI512" s="55"/>
      <c r="AJ512" s="55"/>
      <c r="AK512" s="55"/>
      <c r="AL512" s="55"/>
      <c r="AM512" s="55"/>
      <c r="AN512" s="55"/>
    </row>
    <row r="513" spans="1:40" ht="14" x14ac:dyDescent="0.35">
      <c r="A513" s="55" t="str">
        <f t="shared" si="0"/>
        <v/>
      </c>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c r="AA513" s="55"/>
      <c r="AB513" s="55"/>
      <c r="AC513" s="55"/>
      <c r="AD513" s="55"/>
      <c r="AE513" s="55"/>
      <c r="AF513" s="55"/>
      <c r="AG513" s="55"/>
      <c r="AH513" s="55"/>
      <c r="AI513" s="55"/>
      <c r="AJ513" s="55"/>
      <c r="AK513" s="55"/>
      <c r="AL513" s="55"/>
      <c r="AM513" s="55"/>
      <c r="AN513" s="55"/>
    </row>
    <row r="514" spans="1:40" ht="14" x14ac:dyDescent="0.35">
      <c r="A514" s="55" t="str">
        <f t="shared" si="0"/>
        <v/>
      </c>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c r="AA514" s="55"/>
      <c r="AB514" s="55"/>
      <c r="AC514" s="55"/>
      <c r="AD514" s="55"/>
      <c r="AE514" s="55"/>
      <c r="AF514" s="55"/>
      <c r="AG514" s="55"/>
      <c r="AH514" s="55"/>
      <c r="AI514" s="55"/>
      <c r="AJ514" s="55"/>
      <c r="AK514" s="55"/>
      <c r="AL514" s="55"/>
      <c r="AM514" s="55"/>
      <c r="AN514" s="55"/>
    </row>
    <row r="515" spans="1:40" ht="14" x14ac:dyDescent="0.35">
      <c r="A515" s="55" t="str">
        <f t="shared" si="0"/>
        <v/>
      </c>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c r="AA515" s="55"/>
      <c r="AB515" s="55"/>
      <c r="AC515" s="55"/>
      <c r="AD515" s="55"/>
      <c r="AE515" s="55"/>
      <c r="AF515" s="55"/>
      <c r="AG515" s="55"/>
      <c r="AH515" s="55"/>
      <c r="AI515" s="55"/>
      <c r="AJ515" s="55"/>
      <c r="AK515" s="55"/>
      <c r="AL515" s="55"/>
      <c r="AM515" s="55"/>
      <c r="AN515" s="55"/>
    </row>
    <row r="516" spans="1:40" ht="14" x14ac:dyDescent="0.35">
      <c r="A516" s="55" t="str">
        <f t="shared" si="0"/>
        <v/>
      </c>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c r="AA516" s="55"/>
      <c r="AB516" s="55"/>
      <c r="AC516" s="55"/>
      <c r="AD516" s="55"/>
      <c r="AE516" s="55"/>
      <c r="AF516" s="55"/>
      <c r="AG516" s="55"/>
      <c r="AH516" s="55"/>
      <c r="AI516" s="55"/>
      <c r="AJ516" s="55"/>
      <c r="AK516" s="55"/>
      <c r="AL516" s="55"/>
      <c r="AM516" s="55"/>
      <c r="AN516" s="55"/>
    </row>
    <row r="517" spans="1:40" ht="14" x14ac:dyDescent="0.35">
      <c r="A517" s="55" t="str">
        <f t="shared" si="0"/>
        <v/>
      </c>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c r="AA517" s="55"/>
      <c r="AB517" s="55"/>
      <c r="AC517" s="55"/>
      <c r="AD517" s="55"/>
      <c r="AE517" s="55"/>
      <c r="AF517" s="55"/>
      <c r="AG517" s="55"/>
      <c r="AH517" s="55"/>
      <c r="AI517" s="55"/>
      <c r="AJ517" s="55"/>
      <c r="AK517" s="55"/>
      <c r="AL517" s="55"/>
      <c r="AM517" s="55"/>
      <c r="AN517" s="55"/>
    </row>
    <row r="518" spans="1:40" ht="14" x14ac:dyDescent="0.35">
      <c r="A518" s="55" t="str">
        <f t="shared" si="0"/>
        <v/>
      </c>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c r="AA518" s="55"/>
      <c r="AB518" s="55"/>
      <c r="AC518" s="55"/>
      <c r="AD518" s="55"/>
      <c r="AE518" s="55"/>
      <c r="AF518" s="55"/>
      <c r="AG518" s="55"/>
      <c r="AH518" s="55"/>
      <c r="AI518" s="55"/>
      <c r="AJ518" s="55"/>
      <c r="AK518" s="55"/>
      <c r="AL518" s="55"/>
      <c r="AM518" s="55"/>
      <c r="AN518" s="55"/>
    </row>
    <row r="519" spans="1:40" ht="14" x14ac:dyDescent="0.35">
      <c r="A519" s="55" t="str">
        <f t="shared" si="0"/>
        <v/>
      </c>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c r="AA519" s="55"/>
      <c r="AB519" s="55"/>
      <c r="AC519" s="55"/>
      <c r="AD519" s="55"/>
      <c r="AE519" s="55"/>
      <c r="AF519" s="55"/>
      <c r="AG519" s="55"/>
      <c r="AH519" s="55"/>
      <c r="AI519" s="55"/>
      <c r="AJ519" s="55"/>
      <c r="AK519" s="55"/>
      <c r="AL519" s="55"/>
      <c r="AM519" s="55"/>
      <c r="AN519" s="55"/>
    </row>
    <row r="520" spans="1:40" ht="14" x14ac:dyDescent="0.35">
      <c r="A520" s="55" t="str">
        <f t="shared" si="0"/>
        <v/>
      </c>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c r="AA520" s="55"/>
      <c r="AB520" s="55"/>
      <c r="AC520" s="55"/>
      <c r="AD520" s="55"/>
      <c r="AE520" s="55"/>
      <c r="AF520" s="55"/>
      <c r="AG520" s="55"/>
      <c r="AH520" s="55"/>
      <c r="AI520" s="55"/>
      <c r="AJ520" s="55"/>
      <c r="AK520" s="55"/>
      <c r="AL520" s="55"/>
      <c r="AM520" s="55"/>
      <c r="AN520" s="55"/>
    </row>
    <row r="521" spans="1:40" ht="14" x14ac:dyDescent="0.35">
      <c r="A521" s="55" t="str">
        <f t="shared" si="0"/>
        <v/>
      </c>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c r="AA521" s="55"/>
      <c r="AB521" s="55"/>
      <c r="AC521" s="55"/>
      <c r="AD521" s="55"/>
      <c r="AE521" s="55"/>
      <c r="AF521" s="55"/>
      <c r="AG521" s="55"/>
      <c r="AH521" s="55"/>
      <c r="AI521" s="55"/>
      <c r="AJ521" s="55"/>
      <c r="AK521" s="55"/>
      <c r="AL521" s="55"/>
      <c r="AM521" s="55"/>
      <c r="AN521" s="55"/>
    </row>
    <row r="522" spans="1:40" ht="14" x14ac:dyDescent="0.35">
      <c r="A522" s="55" t="str">
        <f t="shared" si="0"/>
        <v/>
      </c>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c r="AA522" s="55"/>
      <c r="AB522" s="55"/>
      <c r="AC522" s="55"/>
      <c r="AD522" s="55"/>
      <c r="AE522" s="55"/>
      <c r="AF522" s="55"/>
      <c r="AG522" s="55"/>
      <c r="AH522" s="55"/>
      <c r="AI522" s="55"/>
      <c r="AJ522" s="55"/>
      <c r="AK522" s="55"/>
      <c r="AL522" s="55"/>
      <c r="AM522" s="55"/>
      <c r="AN522" s="55"/>
    </row>
    <row r="523" spans="1:40" ht="14" x14ac:dyDescent="0.35">
      <c r="A523" s="55" t="str">
        <f t="shared" si="0"/>
        <v/>
      </c>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c r="AA523" s="55"/>
      <c r="AB523" s="55"/>
      <c r="AC523" s="55"/>
      <c r="AD523" s="55"/>
      <c r="AE523" s="55"/>
      <c r="AF523" s="55"/>
      <c r="AG523" s="55"/>
      <c r="AH523" s="55"/>
      <c r="AI523" s="55"/>
      <c r="AJ523" s="55"/>
      <c r="AK523" s="55"/>
      <c r="AL523" s="55"/>
      <c r="AM523" s="55"/>
      <c r="AN523" s="55"/>
    </row>
    <row r="524" spans="1:40" ht="14" x14ac:dyDescent="0.35">
      <c r="A524" s="55" t="str">
        <f t="shared" si="0"/>
        <v/>
      </c>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c r="AA524" s="55"/>
      <c r="AB524" s="55"/>
      <c r="AC524" s="55"/>
      <c r="AD524" s="55"/>
      <c r="AE524" s="55"/>
      <c r="AF524" s="55"/>
      <c r="AG524" s="55"/>
      <c r="AH524" s="55"/>
      <c r="AI524" s="55"/>
      <c r="AJ524" s="55"/>
      <c r="AK524" s="55"/>
      <c r="AL524" s="55"/>
      <c r="AM524" s="55"/>
      <c r="AN524" s="55"/>
    </row>
    <row r="525" spans="1:40" ht="14" x14ac:dyDescent="0.35">
      <c r="A525" s="55" t="str">
        <f t="shared" si="0"/>
        <v/>
      </c>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c r="AA525" s="55"/>
      <c r="AB525" s="55"/>
      <c r="AC525" s="55"/>
      <c r="AD525" s="55"/>
      <c r="AE525" s="55"/>
      <c r="AF525" s="55"/>
      <c r="AG525" s="55"/>
      <c r="AH525" s="55"/>
      <c r="AI525" s="55"/>
      <c r="AJ525" s="55"/>
      <c r="AK525" s="55"/>
      <c r="AL525" s="55"/>
      <c r="AM525" s="55"/>
      <c r="AN525" s="55"/>
    </row>
    <row r="526" spans="1:40" ht="14" x14ac:dyDescent="0.35">
      <c r="A526" s="55" t="str">
        <f t="shared" si="0"/>
        <v/>
      </c>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c r="AA526" s="55"/>
      <c r="AB526" s="55"/>
      <c r="AC526" s="55"/>
      <c r="AD526" s="55"/>
      <c r="AE526" s="55"/>
      <c r="AF526" s="55"/>
      <c r="AG526" s="55"/>
      <c r="AH526" s="55"/>
      <c r="AI526" s="55"/>
      <c r="AJ526" s="55"/>
      <c r="AK526" s="55"/>
      <c r="AL526" s="55"/>
      <c r="AM526" s="55"/>
      <c r="AN526" s="55"/>
    </row>
    <row r="527" spans="1:40" ht="14" x14ac:dyDescent="0.35">
      <c r="A527" s="55" t="str">
        <f t="shared" si="0"/>
        <v/>
      </c>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c r="AA527" s="55"/>
      <c r="AB527" s="55"/>
      <c r="AC527" s="55"/>
      <c r="AD527" s="55"/>
      <c r="AE527" s="55"/>
      <c r="AF527" s="55"/>
      <c r="AG527" s="55"/>
      <c r="AH527" s="55"/>
      <c r="AI527" s="55"/>
      <c r="AJ527" s="55"/>
      <c r="AK527" s="55"/>
      <c r="AL527" s="55"/>
      <c r="AM527" s="55"/>
      <c r="AN527" s="55"/>
    </row>
    <row r="528" spans="1:40" ht="14" x14ac:dyDescent="0.35">
      <c r="A528" s="55" t="str">
        <f t="shared" si="0"/>
        <v/>
      </c>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c r="AA528" s="55"/>
      <c r="AB528" s="55"/>
      <c r="AC528" s="55"/>
      <c r="AD528" s="55"/>
      <c r="AE528" s="55"/>
      <c r="AF528" s="55"/>
      <c r="AG528" s="55"/>
      <c r="AH528" s="55"/>
      <c r="AI528" s="55"/>
      <c r="AJ528" s="55"/>
      <c r="AK528" s="55"/>
      <c r="AL528" s="55"/>
      <c r="AM528" s="55"/>
      <c r="AN528" s="55"/>
    </row>
    <row r="529" spans="1:40" ht="14" x14ac:dyDescent="0.35">
      <c r="A529" s="55" t="str">
        <f t="shared" si="0"/>
        <v/>
      </c>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c r="AA529" s="55"/>
      <c r="AB529" s="55"/>
      <c r="AC529" s="55"/>
      <c r="AD529" s="55"/>
      <c r="AE529" s="55"/>
      <c r="AF529" s="55"/>
      <c r="AG529" s="55"/>
      <c r="AH529" s="55"/>
      <c r="AI529" s="55"/>
      <c r="AJ529" s="55"/>
      <c r="AK529" s="55"/>
      <c r="AL529" s="55"/>
      <c r="AM529" s="55"/>
      <c r="AN529" s="55"/>
    </row>
    <row r="530" spans="1:40" ht="14" x14ac:dyDescent="0.35">
      <c r="A530" s="55" t="str">
        <f t="shared" si="0"/>
        <v/>
      </c>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c r="AB530" s="55"/>
      <c r="AC530" s="55"/>
      <c r="AD530" s="55"/>
      <c r="AE530" s="55"/>
      <c r="AF530" s="55"/>
      <c r="AG530" s="55"/>
      <c r="AH530" s="55"/>
      <c r="AI530" s="55"/>
      <c r="AJ530" s="55"/>
      <c r="AK530" s="55"/>
      <c r="AL530" s="55"/>
      <c r="AM530" s="55"/>
      <c r="AN530" s="55"/>
    </row>
    <row r="531" spans="1:40" ht="14" x14ac:dyDescent="0.35">
      <c r="A531" s="55" t="str">
        <f t="shared" si="0"/>
        <v/>
      </c>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c r="AA531" s="55"/>
      <c r="AB531" s="55"/>
      <c r="AC531" s="55"/>
      <c r="AD531" s="55"/>
      <c r="AE531" s="55"/>
      <c r="AF531" s="55"/>
      <c r="AG531" s="55"/>
      <c r="AH531" s="55"/>
      <c r="AI531" s="55"/>
      <c r="AJ531" s="55"/>
      <c r="AK531" s="55"/>
      <c r="AL531" s="55"/>
      <c r="AM531" s="55"/>
      <c r="AN531" s="55"/>
    </row>
    <row r="532" spans="1:40" ht="14" x14ac:dyDescent="0.35">
      <c r="A532" s="55" t="str">
        <f t="shared" si="0"/>
        <v/>
      </c>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c r="AA532" s="55"/>
      <c r="AB532" s="55"/>
      <c r="AC532" s="55"/>
      <c r="AD532" s="55"/>
      <c r="AE532" s="55"/>
      <c r="AF532" s="55"/>
      <c r="AG532" s="55"/>
      <c r="AH532" s="55"/>
      <c r="AI532" s="55"/>
      <c r="AJ532" s="55"/>
      <c r="AK532" s="55"/>
      <c r="AL532" s="55"/>
      <c r="AM532" s="55"/>
      <c r="AN532" s="55"/>
    </row>
    <row r="533" spans="1:40" ht="14" x14ac:dyDescent="0.35">
      <c r="A533" s="55" t="str">
        <f t="shared" si="0"/>
        <v/>
      </c>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c r="AB533" s="55"/>
      <c r="AC533" s="55"/>
      <c r="AD533" s="55"/>
      <c r="AE533" s="55"/>
      <c r="AF533" s="55"/>
      <c r="AG533" s="55"/>
      <c r="AH533" s="55"/>
      <c r="AI533" s="55"/>
      <c r="AJ533" s="55"/>
      <c r="AK533" s="55"/>
      <c r="AL533" s="55"/>
      <c r="AM533" s="55"/>
      <c r="AN533" s="55"/>
    </row>
    <row r="534" spans="1:40" ht="14" x14ac:dyDescent="0.35">
      <c r="A534" s="55" t="str">
        <f t="shared" si="0"/>
        <v/>
      </c>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5"/>
      <c r="AE534" s="55"/>
      <c r="AF534" s="55"/>
      <c r="AG534" s="55"/>
      <c r="AH534" s="55"/>
      <c r="AI534" s="55"/>
      <c r="AJ534" s="55"/>
      <c r="AK534" s="55"/>
      <c r="AL534" s="55"/>
      <c r="AM534" s="55"/>
      <c r="AN534" s="55"/>
    </row>
    <row r="535" spans="1:40" ht="14" x14ac:dyDescent="0.35">
      <c r="A535" s="55" t="str">
        <f t="shared" si="0"/>
        <v/>
      </c>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c r="AA535" s="55"/>
      <c r="AB535" s="55"/>
      <c r="AC535" s="55"/>
      <c r="AD535" s="55"/>
      <c r="AE535" s="55"/>
      <c r="AF535" s="55"/>
      <c r="AG535" s="55"/>
      <c r="AH535" s="55"/>
      <c r="AI535" s="55"/>
      <c r="AJ535" s="55"/>
      <c r="AK535" s="55"/>
      <c r="AL535" s="55"/>
      <c r="AM535" s="55"/>
      <c r="AN535" s="55"/>
    </row>
    <row r="536" spans="1:40" ht="14" x14ac:dyDescent="0.35">
      <c r="A536" s="55" t="str">
        <f t="shared" si="0"/>
        <v/>
      </c>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c r="AA536" s="55"/>
      <c r="AB536" s="55"/>
      <c r="AC536" s="55"/>
      <c r="AD536" s="55"/>
      <c r="AE536" s="55"/>
      <c r="AF536" s="55"/>
      <c r="AG536" s="55"/>
      <c r="AH536" s="55"/>
      <c r="AI536" s="55"/>
      <c r="AJ536" s="55"/>
      <c r="AK536" s="55"/>
      <c r="AL536" s="55"/>
      <c r="AM536" s="55"/>
      <c r="AN536" s="55"/>
    </row>
    <row r="537" spans="1:40" ht="14" x14ac:dyDescent="0.35">
      <c r="A537" s="55" t="str">
        <f t="shared" si="0"/>
        <v/>
      </c>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c r="AA537" s="55"/>
      <c r="AB537" s="55"/>
      <c r="AC537" s="55"/>
      <c r="AD537" s="55"/>
      <c r="AE537" s="55"/>
      <c r="AF537" s="55"/>
      <c r="AG537" s="55"/>
      <c r="AH537" s="55"/>
      <c r="AI537" s="55"/>
      <c r="AJ537" s="55"/>
      <c r="AK537" s="55"/>
      <c r="AL537" s="55"/>
      <c r="AM537" s="55"/>
      <c r="AN537" s="55"/>
    </row>
    <row r="538" spans="1:40" ht="14" x14ac:dyDescent="0.35">
      <c r="A538" s="55" t="str">
        <f t="shared" si="0"/>
        <v/>
      </c>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c r="AB538" s="55"/>
      <c r="AC538" s="55"/>
      <c r="AD538" s="55"/>
      <c r="AE538" s="55"/>
      <c r="AF538" s="55"/>
      <c r="AG538" s="55"/>
      <c r="AH538" s="55"/>
      <c r="AI538" s="55"/>
      <c r="AJ538" s="55"/>
      <c r="AK538" s="55"/>
      <c r="AL538" s="55"/>
      <c r="AM538" s="55"/>
      <c r="AN538" s="55"/>
    </row>
    <row r="539" spans="1:40" ht="14" x14ac:dyDescent="0.35">
      <c r="A539" s="55" t="str">
        <f t="shared" si="0"/>
        <v/>
      </c>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c r="AA539" s="55"/>
      <c r="AB539" s="55"/>
      <c r="AC539" s="55"/>
      <c r="AD539" s="55"/>
      <c r="AE539" s="55"/>
      <c r="AF539" s="55"/>
      <c r="AG539" s="55"/>
      <c r="AH539" s="55"/>
      <c r="AI539" s="55"/>
      <c r="AJ539" s="55"/>
      <c r="AK539" s="55"/>
      <c r="AL539" s="55"/>
      <c r="AM539" s="55"/>
      <c r="AN539" s="55"/>
    </row>
    <row r="540" spans="1:40" ht="14" x14ac:dyDescent="0.35">
      <c r="A540" s="55" t="str">
        <f t="shared" si="0"/>
        <v/>
      </c>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c r="AA540" s="55"/>
      <c r="AB540" s="55"/>
      <c r="AC540" s="55"/>
      <c r="AD540" s="55"/>
      <c r="AE540" s="55"/>
      <c r="AF540" s="55"/>
      <c r="AG540" s="55"/>
      <c r="AH540" s="55"/>
      <c r="AI540" s="55"/>
      <c r="AJ540" s="55"/>
      <c r="AK540" s="55"/>
      <c r="AL540" s="55"/>
      <c r="AM540" s="55"/>
      <c r="AN540" s="55"/>
    </row>
    <row r="541" spans="1:40" ht="14" x14ac:dyDescent="0.35">
      <c r="A541" s="55" t="str">
        <f t="shared" si="0"/>
        <v/>
      </c>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c r="AA541" s="55"/>
      <c r="AB541" s="55"/>
      <c r="AC541" s="55"/>
      <c r="AD541" s="55"/>
      <c r="AE541" s="55"/>
      <c r="AF541" s="55"/>
      <c r="AG541" s="55"/>
      <c r="AH541" s="55"/>
      <c r="AI541" s="55"/>
      <c r="AJ541" s="55"/>
      <c r="AK541" s="55"/>
      <c r="AL541" s="55"/>
      <c r="AM541" s="55"/>
      <c r="AN541" s="55"/>
    </row>
    <row r="542" spans="1:40" ht="14" x14ac:dyDescent="0.35">
      <c r="A542" s="55" t="str">
        <f t="shared" si="0"/>
        <v/>
      </c>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c r="AA542" s="55"/>
      <c r="AB542" s="55"/>
      <c r="AC542" s="55"/>
      <c r="AD542" s="55"/>
      <c r="AE542" s="55"/>
      <c r="AF542" s="55"/>
      <c r="AG542" s="55"/>
      <c r="AH542" s="55"/>
      <c r="AI542" s="55"/>
      <c r="AJ542" s="55"/>
      <c r="AK542" s="55"/>
      <c r="AL542" s="55"/>
      <c r="AM542" s="55"/>
      <c r="AN542" s="55"/>
    </row>
    <row r="543" spans="1:40" ht="14" x14ac:dyDescent="0.35">
      <c r="A543" s="55" t="str">
        <f t="shared" si="0"/>
        <v/>
      </c>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c r="AA543" s="55"/>
      <c r="AB543" s="55"/>
      <c r="AC543" s="55"/>
      <c r="AD543" s="55"/>
      <c r="AE543" s="55"/>
      <c r="AF543" s="55"/>
      <c r="AG543" s="55"/>
      <c r="AH543" s="55"/>
      <c r="AI543" s="55"/>
      <c r="AJ543" s="55"/>
      <c r="AK543" s="55"/>
      <c r="AL543" s="55"/>
      <c r="AM543" s="55"/>
      <c r="AN543" s="55"/>
    </row>
    <row r="544" spans="1:40" ht="14" x14ac:dyDescent="0.35">
      <c r="A544" s="55" t="str">
        <f t="shared" si="0"/>
        <v/>
      </c>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c r="AA544" s="55"/>
      <c r="AB544" s="55"/>
      <c r="AC544" s="55"/>
      <c r="AD544" s="55"/>
      <c r="AE544" s="55"/>
      <c r="AF544" s="55"/>
      <c r="AG544" s="55"/>
      <c r="AH544" s="55"/>
      <c r="AI544" s="55"/>
      <c r="AJ544" s="55"/>
      <c r="AK544" s="55"/>
      <c r="AL544" s="55"/>
      <c r="AM544" s="55"/>
      <c r="AN544" s="55"/>
    </row>
    <row r="545" spans="1:40" ht="14" x14ac:dyDescent="0.35">
      <c r="A545" s="55" t="str">
        <f t="shared" si="0"/>
        <v/>
      </c>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c r="AC545" s="55"/>
      <c r="AD545" s="55"/>
      <c r="AE545" s="55"/>
      <c r="AF545" s="55"/>
      <c r="AG545" s="55"/>
      <c r="AH545" s="55"/>
      <c r="AI545" s="55"/>
      <c r="AJ545" s="55"/>
      <c r="AK545" s="55"/>
      <c r="AL545" s="55"/>
      <c r="AM545" s="55"/>
      <c r="AN545" s="55"/>
    </row>
    <row r="546" spans="1:40" ht="14" x14ac:dyDescent="0.35">
      <c r="A546" s="55" t="str">
        <f t="shared" si="0"/>
        <v/>
      </c>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C546" s="55"/>
      <c r="AD546" s="55"/>
      <c r="AE546" s="55"/>
      <c r="AF546" s="55"/>
      <c r="AG546" s="55"/>
      <c r="AH546" s="55"/>
      <c r="AI546" s="55"/>
      <c r="AJ546" s="55"/>
      <c r="AK546" s="55"/>
      <c r="AL546" s="55"/>
      <c r="AM546" s="55"/>
      <c r="AN546" s="55"/>
    </row>
    <row r="547" spans="1:40" ht="14" x14ac:dyDescent="0.35">
      <c r="A547" s="55" t="str">
        <f t="shared" si="0"/>
        <v/>
      </c>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c r="AA547" s="55"/>
      <c r="AB547" s="55"/>
      <c r="AC547" s="55"/>
      <c r="AD547" s="55"/>
      <c r="AE547" s="55"/>
      <c r="AF547" s="55"/>
      <c r="AG547" s="55"/>
      <c r="AH547" s="55"/>
      <c r="AI547" s="55"/>
      <c r="AJ547" s="55"/>
      <c r="AK547" s="55"/>
      <c r="AL547" s="55"/>
      <c r="AM547" s="55"/>
      <c r="AN547" s="55"/>
    </row>
    <row r="548" spans="1:40" ht="14" x14ac:dyDescent="0.35">
      <c r="A548" s="55" t="str">
        <f t="shared" si="0"/>
        <v/>
      </c>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c r="AA548" s="55"/>
      <c r="AB548" s="55"/>
      <c r="AC548" s="55"/>
      <c r="AD548" s="55"/>
      <c r="AE548" s="55"/>
      <c r="AF548" s="55"/>
      <c r="AG548" s="55"/>
      <c r="AH548" s="55"/>
      <c r="AI548" s="55"/>
      <c r="AJ548" s="55"/>
      <c r="AK548" s="55"/>
      <c r="AL548" s="55"/>
      <c r="AM548" s="55"/>
      <c r="AN548" s="55"/>
    </row>
    <row r="549" spans="1:40" ht="14" x14ac:dyDescent="0.35">
      <c r="A549" s="55" t="str">
        <f t="shared" si="0"/>
        <v/>
      </c>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c r="AA549" s="55"/>
      <c r="AB549" s="55"/>
      <c r="AC549" s="55"/>
      <c r="AD549" s="55"/>
      <c r="AE549" s="55"/>
      <c r="AF549" s="55"/>
      <c r="AG549" s="55"/>
      <c r="AH549" s="55"/>
      <c r="AI549" s="55"/>
      <c r="AJ549" s="55"/>
      <c r="AK549" s="55"/>
      <c r="AL549" s="55"/>
      <c r="AM549" s="55"/>
      <c r="AN549" s="55"/>
    </row>
    <row r="550" spans="1:40" ht="14" x14ac:dyDescent="0.35">
      <c r="A550" s="55" t="str">
        <f t="shared" si="0"/>
        <v/>
      </c>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c r="AA550" s="55"/>
      <c r="AB550" s="55"/>
      <c r="AC550" s="55"/>
      <c r="AD550" s="55"/>
      <c r="AE550" s="55"/>
      <c r="AF550" s="55"/>
      <c r="AG550" s="55"/>
      <c r="AH550" s="55"/>
      <c r="AI550" s="55"/>
      <c r="AJ550" s="55"/>
      <c r="AK550" s="55"/>
      <c r="AL550" s="55"/>
      <c r="AM550" s="55"/>
      <c r="AN550" s="55"/>
    </row>
    <row r="551" spans="1:40" ht="14" x14ac:dyDescent="0.35">
      <c r="A551" s="55" t="str">
        <f t="shared" si="0"/>
        <v/>
      </c>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c r="AA551" s="55"/>
      <c r="AB551" s="55"/>
      <c r="AC551" s="55"/>
      <c r="AD551" s="55"/>
      <c r="AE551" s="55"/>
      <c r="AF551" s="55"/>
      <c r="AG551" s="55"/>
      <c r="AH551" s="55"/>
      <c r="AI551" s="55"/>
      <c r="AJ551" s="55"/>
      <c r="AK551" s="55"/>
      <c r="AL551" s="55"/>
      <c r="AM551" s="55"/>
      <c r="AN551" s="55"/>
    </row>
    <row r="552" spans="1:40" ht="14" x14ac:dyDescent="0.35">
      <c r="A552" s="55" t="str">
        <f t="shared" si="0"/>
        <v/>
      </c>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c r="AA552" s="55"/>
      <c r="AB552" s="55"/>
      <c r="AC552" s="55"/>
      <c r="AD552" s="55"/>
      <c r="AE552" s="55"/>
      <c r="AF552" s="55"/>
      <c r="AG552" s="55"/>
      <c r="AH552" s="55"/>
      <c r="AI552" s="55"/>
      <c r="AJ552" s="55"/>
      <c r="AK552" s="55"/>
      <c r="AL552" s="55"/>
      <c r="AM552" s="55"/>
      <c r="AN552" s="55"/>
    </row>
    <row r="553" spans="1:40" ht="14" x14ac:dyDescent="0.35">
      <c r="A553" s="55" t="str">
        <f t="shared" si="0"/>
        <v/>
      </c>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c r="AA553" s="55"/>
      <c r="AB553" s="55"/>
      <c r="AC553" s="55"/>
      <c r="AD553" s="55"/>
      <c r="AE553" s="55"/>
      <c r="AF553" s="55"/>
      <c r="AG553" s="55"/>
      <c r="AH553" s="55"/>
      <c r="AI553" s="55"/>
      <c r="AJ553" s="55"/>
      <c r="AK553" s="55"/>
      <c r="AL553" s="55"/>
      <c r="AM553" s="55"/>
      <c r="AN553" s="55"/>
    </row>
    <row r="554" spans="1:40" ht="14" x14ac:dyDescent="0.35">
      <c r="A554" s="55" t="str">
        <f t="shared" si="0"/>
        <v/>
      </c>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c r="AA554" s="55"/>
      <c r="AB554" s="55"/>
      <c r="AC554" s="55"/>
      <c r="AD554" s="55"/>
      <c r="AE554" s="55"/>
      <c r="AF554" s="55"/>
      <c r="AG554" s="55"/>
      <c r="AH554" s="55"/>
      <c r="AI554" s="55"/>
      <c r="AJ554" s="55"/>
      <c r="AK554" s="55"/>
      <c r="AL554" s="55"/>
      <c r="AM554" s="55"/>
      <c r="AN554" s="55"/>
    </row>
    <row r="555" spans="1:40" ht="14" x14ac:dyDescent="0.35">
      <c r="A555" s="55" t="str">
        <f t="shared" si="0"/>
        <v/>
      </c>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c r="AA555" s="55"/>
      <c r="AB555" s="55"/>
      <c r="AC555" s="55"/>
      <c r="AD555" s="55"/>
      <c r="AE555" s="55"/>
      <c r="AF555" s="55"/>
      <c r="AG555" s="55"/>
      <c r="AH555" s="55"/>
      <c r="AI555" s="55"/>
      <c r="AJ555" s="55"/>
      <c r="AK555" s="55"/>
      <c r="AL555" s="55"/>
      <c r="AM555" s="55"/>
      <c r="AN555" s="55"/>
    </row>
    <row r="556" spans="1:40" ht="14" x14ac:dyDescent="0.35">
      <c r="A556" s="55" t="str">
        <f t="shared" si="0"/>
        <v/>
      </c>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c r="AA556" s="55"/>
      <c r="AB556" s="55"/>
      <c r="AC556" s="55"/>
      <c r="AD556" s="55"/>
      <c r="AE556" s="55"/>
      <c r="AF556" s="55"/>
      <c r="AG556" s="55"/>
      <c r="AH556" s="55"/>
      <c r="AI556" s="55"/>
      <c r="AJ556" s="55"/>
      <c r="AK556" s="55"/>
      <c r="AL556" s="55"/>
      <c r="AM556" s="55"/>
      <c r="AN556" s="55"/>
    </row>
    <row r="557" spans="1:40" ht="14" x14ac:dyDescent="0.35">
      <c r="A557" s="55" t="str">
        <f t="shared" si="0"/>
        <v/>
      </c>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c r="AA557" s="55"/>
      <c r="AB557" s="55"/>
      <c r="AC557" s="55"/>
      <c r="AD557" s="55"/>
      <c r="AE557" s="55"/>
      <c r="AF557" s="55"/>
      <c r="AG557" s="55"/>
      <c r="AH557" s="55"/>
      <c r="AI557" s="55"/>
      <c r="AJ557" s="55"/>
      <c r="AK557" s="55"/>
      <c r="AL557" s="55"/>
      <c r="AM557" s="55"/>
      <c r="AN557" s="55"/>
    </row>
    <row r="558" spans="1:40" ht="14" x14ac:dyDescent="0.35">
      <c r="A558" s="55" t="str">
        <f t="shared" si="0"/>
        <v/>
      </c>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c r="AA558" s="55"/>
      <c r="AB558" s="55"/>
      <c r="AC558" s="55"/>
      <c r="AD558" s="55"/>
      <c r="AE558" s="55"/>
      <c r="AF558" s="55"/>
      <c r="AG558" s="55"/>
      <c r="AH558" s="55"/>
      <c r="AI558" s="55"/>
      <c r="AJ558" s="55"/>
      <c r="AK558" s="55"/>
      <c r="AL558" s="55"/>
      <c r="AM558" s="55"/>
      <c r="AN558" s="55"/>
    </row>
    <row r="559" spans="1:40" ht="14" x14ac:dyDescent="0.35">
      <c r="A559" s="55" t="str">
        <f t="shared" si="0"/>
        <v/>
      </c>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5"/>
      <c r="AE559" s="55"/>
      <c r="AF559" s="55"/>
      <c r="AG559" s="55"/>
      <c r="AH559" s="55"/>
      <c r="AI559" s="55"/>
      <c r="AJ559" s="55"/>
      <c r="AK559" s="55"/>
      <c r="AL559" s="55"/>
      <c r="AM559" s="55"/>
      <c r="AN559" s="55"/>
    </row>
    <row r="560" spans="1:40" ht="14" x14ac:dyDescent="0.35">
      <c r="A560" s="55" t="str">
        <f t="shared" si="0"/>
        <v/>
      </c>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c r="AA560" s="55"/>
      <c r="AB560" s="55"/>
      <c r="AC560" s="55"/>
      <c r="AD560" s="55"/>
      <c r="AE560" s="55"/>
      <c r="AF560" s="55"/>
      <c r="AG560" s="55"/>
      <c r="AH560" s="55"/>
      <c r="AI560" s="55"/>
      <c r="AJ560" s="55"/>
      <c r="AK560" s="55"/>
      <c r="AL560" s="55"/>
      <c r="AM560" s="55"/>
      <c r="AN560" s="55"/>
    </row>
    <row r="561" spans="1:40" ht="14" x14ac:dyDescent="0.35">
      <c r="A561" s="55" t="str">
        <f t="shared" si="0"/>
        <v/>
      </c>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c r="AA561" s="55"/>
      <c r="AB561" s="55"/>
      <c r="AC561" s="55"/>
      <c r="AD561" s="55"/>
      <c r="AE561" s="55"/>
      <c r="AF561" s="55"/>
      <c r="AG561" s="55"/>
      <c r="AH561" s="55"/>
      <c r="AI561" s="55"/>
      <c r="AJ561" s="55"/>
      <c r="AK561" s="55"/>
      <c r="AL561" s="55"/>
      <c r="AM561" s="55"/>
      <c r="AN561" s="55"/>
    </row>
    <row r="562" spans="1:40" ht="14" x14ac:dyDescent="0.35">
      <c r="A562" s="55" t="str">
        <f t="shared" si="0"/>
        <v/>
      </c>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55"/>
      <c r="AF562" s="55"/>
      <c r="AG562" s="55"/>
      <c r="AH562" s="55"/>
      <c r="AI562" s="55"/>
      <c r="AJ562" s="55"/>
      <c r="AK562" s="55"/>
      <c r="AL562" s="55"/>
      <c r="AM562" s="55"/>
      <c r="AN562" s="55"/>
    </row>
    <row r="563" spans="1:40" ht="14" x14ac:dyDescent="0.35">
      <c r="A563" s="55" t="str">
        <f t="shared" si="0"/>
        <v/>
      </c>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c r="AA563" s="55"/>
      <c r="AB563" s="55"/>
      <c r="AC563" s="55"/>
      <c r="AD563" s="55"/>
      <c r="AE563" s="55"/>
      <c r="AF563" s="55"/>
      <c r="AG563" s="55"/>
      <c r="AH563" s="55"/>
      <c r="AI563" s="55"/>
      <c r="AJ563" s="55"/>
      <c r="AK563" s="55"/>
      <c r="AL563" s="55"/>
      <c r="AM563" s="55"/>
      <c r="AN563" s="55"/>
    </row>
    <row r="564" spans="1:40" ht="14" x14ac:dyDescent="0.35">
      <c r="A564" s="55" t="str">
        <f t="shared" si="0"/>
        <v/>
      </c>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c r="AA564" s="55"/>
      <c r="AB564" s="55"/>
      <c r="AC564" s="55"/>
      <c r="AD564" s="55"/>
      <c r="AE564" s="55"/>
      <c r="AF564" s="55"/>
      <c r="AG564" s="55"/>
      <c r="AH564" s="55"/>
      <c r="AI564" s="55"/>
      <c r="AJ564" s="55"/>
      <c r="AK564" s="55"/>
      <c r="AL564" s="55"/>
      <c r="AM564" s="55"/>
      <c r="AN564" s="55"/>
    </row>
    <row r="565" spans="1:40" ht="14" x14ac:dyDescent="0.35">
      <c r="A565" s="55" t="str">
        <f t="shared" si="0"/>
        <v/>
      </c>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c r="AA565" s="55"/>
      <c r="AB565" s="55"/>
      <c r="AC565" s="55"/>
      <c r="AD565" s="55"/>
      <c r="AE565" s="55"/>
      <c r="AF565" s="55"/>
      <c r="AG565" s="55"/>
      <c r="AH565" s="55"/>
      <c r="AI565" s="55"/>
      <c r="AJ565" s="55"/>
      <c r="AK565" s="55"/>
      <c r="AL565" s="55"/>
      <c r="AM565" s="55"/>
      <c r="AN565" s="55"/>
    </row>
    <row r="566" spans="1:40" ht="14" x14ac:dyDescent="0.35">
      <c r="A566" s="55" t="str">
        <f t="shared" si="0"/>
        <v/>
      </c>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c r="AA566" s="55"/>
      <c r="AB566" s="55"/>
      <c r="AC566" s="55"/>
      <c r="AD566" s="55"/>
      <c r="AE566" s="55"/>
      <c r="AF566" s="55"/>
      <c r="AG566" s="55"/>
      <c r="AH566" s="55"/>
      <c r="AI566" s="55"/>
      <c r="AJ566" s="55"/>
      <c r="AK566" s="55"/>
      <c r="AL566" s="55"/>
      <c r="AM566" s="55"/>
      <c r="AN566" s="55"/>
    </row>
    <row r="567" spans="1:40" ht="14" x14ac:dyDescent="0.35">
      <c r="A567" s="55" t="str">
        <f t="shared" si="0"/>
        <v/>
      </c>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5"/>
      <c r="AE567" s="55"/>
      <c r="AF567" s="55"/>
      <c r="AG567" s="55"/>
      <c r="AH567" s="55"/>
      <c r="AI567" s="55"/>
      <c r="AJ567" s="55"/>
      <c r="AK567" s="55"/>
      <c r="AL567" s="55"/>
      <c r="AM567" s="55"/>
      <c r="AN567" s="55"/>
    </row>
    <row r="568" spans="1:40" ht="14" x14ac:dyDescent="0.35">
      <c r="A568" s="55" t="str">
        <f t="shared" si="0"/>
        <v/>
      </c>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c r="AA568" s="55"/>
      <c r="AB568" s="55"/>
      <c r="AC568" s="55"/>
      <c r="AD568" s="55"/>
      <c r="AE568" s="55"/>
      <c r="AF568" s="55"/>
      <c r="AG568" s="55"/>
      <c r="AH568" s="55"/>
      <c r="AI568" s="55"/>
      <c r="AJ568" s="55"/>
      <c r="AK568" s="55"/>
      <c r="AL568" s="55"/>
      <c r="AM568" s="55"/>
      <c r="AN568" s="55"/>
    </row>
    <row r="569" spans="1:40" ht="14" x14ac:dyDescent="0.35">
      <c r="A569" s="55" t="str">
        <f t="shared" si="0"/>
        <v/>
      </c>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c r="AA569" s="55"/>
      <c r="AB569" s="55"/>
      <c r="AC569" s="55"/>
      <c r="AD569" s="55"/>
      <c r="AE569" s="55"/>
      <c r="AF569" s="55"/>
      <c r="AG569" s="55"/>
      <c r="AH569" s="55"/>
      <c r="AI569" s="55"/>
      <c r="AJ569" s="55"/>
      <c r="AK569" s="55"/>
      <c r="AL569" s="55"/>
      <c r="AM569" s="55"/>
      <c r="AN569" s="55"/>
    </row>
    <row r="570" spans="1:40" ht="14" x14ac:dyDescent="0.35">
      <c r="A570" s="55" t="str">
        <f t="shared" si="0"/>
        <v/>
      </c>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5"/>
      <c r="AE570" s="55"/>
      <c r="AF570" s="55"/>
      <c r="AG570" s="55"/>
      <c r="AH570" s="55"/>
      <c r="AI570" s="55"/>
      <c r="AJ570" s="55"/>
      <c r="AK570" s="55"/>
      <c r="AL570" s="55"/>
      <c r="AM570" s="55"/>
      <c r="AN570" s="55"/>
    </row>
    <row r="571" spans="1:40" ht="14" x14ac:dyDescent="0.35">
      <c r="A571" s="55" t="str">
        <f t="shared" si="0"/>
        <v/>
      </c>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c r="AA571" s="55"/>
      <c r="AB571" s="55"/>
      <c r="AC571" s="55"/>
      <c r="AD571" s="55"/>
      <c r="AE571" s="55"/>
      <c r="AF571" s="55"/>
      <c r="AG571" s="55"/>
      <c r="AH571" s="55"/>
      <c r="AI571" s="55"/>
      <c r="AJ571" s="55"/>
      <c r="AK571" s="55"/>
      <c r="AL571" s="55"/>
      <c r="AM571" s="55"/>
      <c r="AN571" s="55"/>
    </row>
    <row r="572" spans="1:40" ht="14" x14ac:dyDescent="0.35">
      <c r="A572" s="55" t="str">
        <f t="shared" si="0"/>
        <v/>
      </c>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c r="AA572" s="55"/>
      <c r="AB572" s="55"/>
      <c r="AC572" s="55"/>
      <c r="AD572" s="55"/>
      <c r="AE572" s="55"/>
      <c r="AF572" s="55"/>
      <c r="AG572" s="55"/>
      <c r="AH572" s="55"/>
      <c r="AI572" s="55"/>
      <c r="AJ572" s="55"/>
      <c r="AK572" s="55"/>
      <c r="AL572" s="55"/>
      <c r="AM572" s="55"/>
      <c r="AN572" s="55"/>
    </row>
    <row r="573" spans="1:40" ht="14" x14ac:dyDescent="0.35">
      <c r="A573" s="55" t="str">
        <f t="shared" si="0"/>
        <v/>
      </c>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c r="AC573" s="55"/>
      <c r="AD573" s="55"/>
      <c r="AE573" s="55"/>
      <c r="AF573" s="55"/>
      <c r="AG573" s="55"/>
      <c r="AH573" s="55"/>
      <c r="AI573" s="55"/>
      <c r="AJ573" s="55"/>
      <c r="AK573" s="55"/>
      <c r="AL573" s="55"/>
      <c r="AM573" s="55"/>
      <c r="AN573" s="55"/>
    </row>
    <row r="574" spans="1:40" ht="14" x14ac:dyDescent="0.35">
      <c r="A574" s="55" t="str">
        <f t="shared" si="0"/>
        <v/>
      </c>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c r="AA574" s="55"/>
      <c r="AB574" s="55"/>
      <c r="AC574" s="55"/>
      <c r="AD574" s="55"/>
      <c r="AE574" s="55"/>
      <c r="AF574" s="55"/>
      <c r="AG574" s="55"/>
      <c r="AH574" s="55"/>
      <c r="AI574" s="55"/>
      <c r="AJ574" s="55"/>
      <c r="AK574" s="55"/>
      <c r="AL574" s="55"/>
      <c r="AM574" s="55"/>
      <c r="AN574" s="55"/>
    </row>
    <row r="575" spans="1:40" ht="14" x14ac:dyDescent="0.35">
      <c r="A575" s="55" t="str">
        <f t="shared" si="0"/>
        <v/>
      </c>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c r="AA575" s="55"/>
      <c r="AB575" s="55"/>
      <c r="AC575" s="55"/>
      <c r="AD575" s="55"/>
      <c r="AE575" s="55"/>
      <c r="AF575" s="55"/>
      <c r="AG575" s="55"/>
      <c r="AH575" s="55"/>
      <c r="AI575" s="55"/>
      <c r="AJ575" s="55"/>
      <c r="AK575" s="55"/>
      <c r="AL575" s="55"/>
      <c r="AM575" s="55"/>
      <c r="AN575" s="55"/>
    </row>
    <row r="576" spans="1:40" ht="14" x14ac:dyDescent="0.35">
      <c r="A576" s="55" t="str">
        <f t="shared" si="0"/>
        <v/>
      </c>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c r="AA576" s="55"/>
      <c r="AB576" s="55"/>
      <c r="AC576" s="55"/>
      <c r="AD576" s="55"/>
      <c r="AE576" s="55"/>
      <c r="AF576" s="55"/>
      <c r="AG576" s="55"/>
      <c r="AH576" s="55"/>
      <c r="AI576" s="55"/>
      <c r="AJ576" s="55"/>
      <c r="AK576" s="55"/>
      <c r="AL576" s="55"/>
      <c r="AM576" s="55"/>
      <c r="AN576" s="55"/>
    </row>
    <row r="577" spans="1:40" ht="14" x14ac:dyDescent="0.35">
      <c r="A577" s="55" t="str">
        <f t="shared" si="0"/>
        <v/>
      </c>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c r="AA577" s="55"/>
      <c r="AB577" s="55"/>
      <c r="AC577" s="55"/>
      <c r="AD577" s="55"/>
      <c r="AE577" s="55"/>
      <c r="AF577" s="55"/>
      <c r="AG577" s="55"/>
      <c r="AH577" s="55"/>
      <c r="AI577" s="55"/>
      <c r="AJ577" s="55"/>
      <c r="AK577" s="55"/>
      <c r="AL577" s="55"/>
      <c r="AM577" s="55"/>
      <c r="AN577" s="55"/>
    </row>
    <row r="578" spans="1:40" ht="14" x14ac:dyDescent="0.35">
      <c r="A578" s="55" t="str">
        <f t="shared" si="0"/>
        <v/>
      </c>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c r="AA578" s="55"/>
      <c r="AB578" s="55"/>
      <c r="AC578" s="55"/>
      <c r="AD578" s="55"/>
      <c r="AE578" s="55"/>
      <c r="AF578" s="55"/>
      <c r="AG578" s="55"/>
      <c r="AH578" s="55"/>
      <c r="AI578" s="55"/>
      <c r="AJ578" s="55"/>
      <c r="AK578" s="55"/>
      <c r="AL578" s="55"/>
      <c r="AM578" s="55"/>
      <c r="AN578" s="55"/>
    </row>
    <row r="579" spans="1:40" ht="14" x14ac:dyDescent="0.35">
      <c r="A579" s="55" t="str">
        <f t="shared" si="0"/>
        <v/>
      </c>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c r="AA579" s="55"/>
      <c r="AB579" s="55"/>
      <c r="AC579" s="55"/>
      <c r="AD579" s="55"/>
      <c r="AE579" s="55"/>
      <c r="AF579" s="55"/>
      <c r="AG579" s="55"/>
      <c r="AH579" s="55"/>
      <c r="AI579" s="55"/>
      <c r="AJ579" s="55"/>
      <c r="AK579" s="55"/>
      <c r="AL579" s="55"/>
      <c r="AM579" s="55"/>
      <c r="AN579" s="55"/>
    </row>
    <row r="580" spans="1:40" ht="14" x14ac:dyDescent="0.35">
      <c r="A580" s="55" t="str">
        <f t="shared" si="0"/>
        <v/>
      </c>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c r="AA580" s="55"/>
      <c r="AB580" s="55"/>
      <c r="AC580" s="55"/>
      <c r="AD580" s="55"/>
      <c r="AE580" s="55"/>
      <c r="AF580" s="55"/>
      <c r="AG580" s="55"/>
      <c r="AH580" s="55"/>
      <c r="AI580" s="55"/>
      <c r="AJ580" s="55"/>
      <c r="AK580" s="55"/>
      <c r="AL580" s="55"/>
      <c r="AM580" s="55"/>
      <c r="AN580" s="55"/>
    </row>
    <row r="581" spans="1:40" ht="14" x14ac:dyDescent="0.35">
      <c r="A581" s="55" t="str">
        <f t="shared" si="0"/>
        <v/>
      </c>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c r="AA581" s="55"/>
      <c r="AB581" s="55"/>
      <c r="AC581" s="55"/>
      <c r="AD581" s="55"/>
      <c r="AE581" s="55"/>
      <c r="AF581" s="55"/>
      <c r="AG581" s="55"/>
      <c r="AH581" s="55"/>
      <c r="AI581" s="55"/>
      <c r="AJ581" s="55"/>
      <c r="AK581" s="55"/>
      <c r="AL581" s="55"/>
      <c r="AM581" s="55"/>
      <c r="AN581" s="55"/>
    </row>
    <row r="582" spans="1:40" ht="14" x14ac:dyDescent="0.35">
      <c r="A582" s="55" t="str">
        <f t="shared" si="0"/>
        <v/>
      </c>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c r="AA582" s="55"/>
      <c r="AB582" s="55"/>
      <c r="AC582" s="55"/>
      <c r="AD582" s="55"/>
      <c r="AE582" s="55"/>
      <c r="AF582" s="55"/>
      <c r="AG582" s="55"/>
      <c r="AH582" s="55"/>
      <c r="AI582" s="55"/>
      <c r="AJ582" s="55"/>
      <c r="AK582" s="55"/>
      <c r="AL582" s="55"/>
      <c r="AM582" s="55"/>
      <c r="AN582" s="55"/>
    </row>
    <row r="583" spans="1:40" ht="14" x14ac:dyDescent="0.35">
      <c r="A583" s="55" t="str">
        <f t="shared" si="0"/>
        <v/>
      </c>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c r="AA583" s="55"/>
      <c r="AB583" s="55"/>
      <c r="AC583" s="55"/>
      <c r="AD583" s="55"/>
      <c r="AE583" s="55"/>
      <c r="AF583" s="55"/>
      <c r="AG583" s="55"/>
      <c r="AH583" s="55"/>
      <c r="AI583" s="55"/>
      <c r="AJ583" s="55"/>
      <c r="AK583" s="55"/>
      <c r="AL583" s="55"/>
      <c r="AM583" s="55"/>
      <c r="AN583" s="55"/>
    </row>
    <row r="584" spans="1:40" ht="14" x14ac:dyDescent="0.35">
      <c r="A584" s="55" t="str">
        <f t="shared" si="0"/>
        <v/>
      </c>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c r="AA584" s="55"/>
      <c r="AB584" s="55"/>
      <c r="AC584" s="55"/>
      <c r="AD584" s="55"/>
      <c r="AE584" s="55"/>
      <c r="AF584" s="55"/>
      <c r="AG584" s="55"/>
      <c r="AH584" s="55"/>
      <c r="AI584" s="55"/>
      <c r="AJ584" s="55"/>
      <c r="AK584" s="55"/>
      <c r="AL584" s="55"/>
      <c r="AM584" s="55"/>
      <c r="AN584" s="55"/>
    </row>
    <row r="585" spans="1:40" ht="14" x14ac:dyDescent="0.35">
      <c r="A585" s="55" t="str">
        <f t="shared" si="0"/>
        <v/>
      </c>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c r="AA585" s="55"/>
      <c r="AB585" s="55"/>
      <c r="AC585" s="55"/>
      <c r="AD585" s="55"/>
      <c r="AE585" s="55"/>
      <c r="AF585" s="55"/>
      <c r="AG585" s="55"/>
      <c r="AH585" s="55"/>
      <c r="AI585" s="55"/>
      <c r="AJ585" s="55"/>
      <c r="AK585" s="55"/>
      <c r="AL585" s="55"/>
      <c r="AM585" s="55"/>
      <c r="AN585" s="55"/>
    </row>
    <row r="586" spans="1:40" ht="14" x14ac:dyDescent="0.35">
      <c r="A586" s="55" t="str">
        <f t="shared" si="0"/>
        <v/>
      </c>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c r="AA586" s="55"/>
      <c r="AB586" s="55"/>
      <c r="AC586" s="55"/>
      <c r="AD586" s="55"/>
      <c r="AE586" s="55"/>
      <c r="AF586" s="55"/>
      <c r="AG586" s="55"/>
      <c r="AH586" s="55"/>
      <c r="AI586" s="55"/>
      <c r="AJ586" s="55"/>
      <c r="AK586" s="55"/>
      <c r="AL586" s="55"/>
      <c r="AM586" s="55"/>
      <c r="AN586" s="55"/>
    </row>
    <row r="587" spans="1:40" ht="14" x14ac:dyDescent="0.35">
      <c r="A587" s="55" t="str">
        <f t="shared" si="0"/>
        <v/>
      </c>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c r="AA587" s="55"/>
      <c r="AB587" s="55"/>
      <c r="AC587" s="55"/>
      <c r="AD587" s="55"/>
      <c r="AE587" s="55"/>
      <c r="AF587" s="55"/>
      <c r="AG587" s="55"/>
      <c r="AH587" s="55"/>
      <c r="AI587" s="55"/>
      <c r="AJ587" s="55"/>
      <c r="AK587" s="55"/>
      <c r="AL587" s="55"/>
      <c r="AM587" s="55"/>
      <c r="AN587" s="55"/>
    </row>
    <row r="588" spans="1:40" ht="14" x14ac:dyDescent="0.35">
      <c r="A588" s="55" t="str">
        <f t="shared" si="0"/>
        <v/>
      </c>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c r="AA588" s="55"/>
      <c r="AB588" s="55"/>
      <c r="AC588" s="55"/>
      <c r="AD588" s="55"/>
      <c r="AE588" s="55"/>
      <c r="AF588" s="55"/>
      <c r="AG588" s="55"/>
      <c r="AH588" s="55"/>
      <c r="AI588" s="55"/>
      <c r="AJ588" s="55"/>
      <c r="AK588" s="55"/>
      <c r="AL588" s="55"/>
      <c r="AM588" s="55"/>
      <c r="AN588" s="55"/>
    </row>
    <row r="589" spans="1:40" ht="14" x14ac:dyDescent="0.35">
      <c r="A589" s="55" t="str">
        <f t="shared" si="0"/>
        <v/>
      </c>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c r="AA589" s="55"/>
      <c r="AB589" s="55"/>
      <c r="AC589" s="55"/>
      <c r="AD589" s="55"/>
      <c r="AE589" s="55"/>
      <c r="AF589" s="55"/>
      <c r="AG589" s="55"/>
      <c r="AH589" s="55"/>
      <c r="AI589" s="55"/>
      <c r="AJ589" s="55"/>
      <c r="AK589" s="55"/>
      <c r="AL589" s="55"/>
      <c r="AM589" s="55"/>
      <c r="AN589" s="55"/>
    </row>
    <row r="590" spans="1:40" ht="14" x14ac:dyDescent="0.35">
      <c r="A590" s="55" t="str">
        <f t="shared" si="0"/>
        <v/>
      </c>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c r="AA590" s="55"/>
      <c r="AB590" s="55"/>
      <c r="AC590" s="55"/>
      <c r="AD590" s="55"/>
      <c r="AE590" s="55"/>
      <c r="AF590" s="55"/>
      <c r="AG590" s="55"/>
      <c r="AH590" s="55"/>
      <c r="AI590" s="55"/>
      <c r="AJ590" s="55"/>
      <c r="AK590" s="55"/>
      <c r="AL590" s="55"/>
      <c r="AM590" s="55"/>
      <c r="AN590" s="55"/>
    </row>
    <row r="591" spans="1:40" ht="14" x14ac:dyDescent="0.35">
      <c r="A591" s="55" t="str">
        <f t="shared" si="0"/>
        <v/>
      </c>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c r="AA591" s="55"/>
      <c r="AB591" s="55"/>
      <c r="AC591" s="55"/>
      <c r="AD591" s="55"/>
      <c r="AE591" s="55"/>
      <c r="AF591" s="55"/>
      <c r="AG591" s="55"/>
      <c r="AH591" s="55"/>
      <c r="AI591" s="55"/>
      <c r="AJ591" s="55"/>
      <c r="AK591" s="55"/>
      <c r="AL591" s="55"/>
      <c r="AM591" s="55"/>
      <c r="AN591" s="55"/>
    </row>
    <row r="592" spans="1:40" ht="14" x14ac:dyDescent="0.35">
      <c r="A592" s="55" t="str">
        <f t="shared" si="0"/>
        <v/>
      </c>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c r="AA592" s="55"/>
      <c r="AB592" s="55"/>
      <c r="AC592" s="55"/>
      <c r="AD592" s="55"/>
      <c r="AE592" s="55"/>
      <c r="AF592" s="55"/>
      <c r="AG592" s="55"/>
      <c r="AH592" s="55"/>
      <c r="AI592" s="55"/>
      <c r="AJ592" s="55"/>
      <c r="AK592" s="55"/>
      <c r="AL592" s="55"/>
      <c r="AM592" s="55"/>
      <c r="AN592" s="55"/>
    </row>
    <row r="593" spans="1:40" ht="14" x14ac:dyDescent="0.35">
      <c r="A593" s="55" t="str">
        <f t="shared" si="0"/>
        <v/>
      </c>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c r="AA593" s="55"/>
      <c r="AB593" s="55"/>
      <c r="AC593" s="55"/>
      <c r="AD593" s="55"/>
      <c r="AE593" s="55"/>
      <c r="AF593" s="55"/>
      <c r="AG593" s="55"/>
      <c r="AH593" s="55"/>
      <c r="AI593" s="55"/>
      <c r="AJ593" s="55"/>
      <c r="AK593" s="55"/>
      <c r="AL593" s="55"/>
      <c r="AM593" s="55"/>
      <c r="AN593" s="55"/>
    </row>
    <row r="594" spans="1:40" ht="14" x14ac:dyDescent="0.35">
      <c r="A594" s="55" t="str">
        <f t="shared" si="0"/>
        <v/>
      </c>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c r="AA594" s="55"/>
      <c r="AB594" s="55"/>
      <c r="AC594" s="55"/>
      <c r="AD594" s="55"/>
      <c r="AE594" s="55"/>
      <c r="AF594" s="55"/>
      <c r="AG594" s="55"/>
      <c r="AH594" s="55"/>
      <c r="AI594" s="55"/>
      <c r="AJ594" s="55"/>
      <c r="AK594" s="55"/>
      <c r="AL594" s="55"/>
      <c r="AM594" s="55"/>
      <c r="AN594" s="55"/>
    </row>
    <row r="595" spans="1:40" ht="14" x14ac:dyDescent="0.35">
      <c r="A595" s="55" t="str">
        <f t="shared" si="0"/>
        <v/>
      </c>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c r="AA595" s="55"/>
      <c r="AB595" s="55"/>
      <c r="AC595" s="55"/>
      <c r="AD595" s="55"/>
      <c r="AE595" s="55"/>
      <c r="AF595" s="55"/>
      <c r="AG595" s="55"/>
      <c r="AH595" s="55"/>
      <c r="AI595" s="55"/>
      <c r="AJ595" s="55"/>
      <c r="AK595" s="55"/>
      <c r="AL595" s="55"/>
      <c r="AM595" s="55"/>
      <c r="AN595" s="55"/>
    </row>
    <row r="596" spans="1:40" ht="14" x14ac:dyDescent="0.35">
      <c r="A596" s="55" t="str">
        <f t="shared" si="0"/>
        <v/>
      </c>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c r="AA596" s="55"/>
      <c r="AB596" s="55"/>
      <c r="AC596" s="55"/>
      <c r="AD596" s="55"/>
      <c r="AE596" s="55"/>
      <c r="AF596" s="55"/>
      <c r="AG596" s="55"/>
      <c r="AH596" s="55"/>
      <c r="AI596" s="55"/>
      <c r="AJ596" s="55"/>
      <c r="AK596" s="55"/>
      <c r="AL596" s="55"/>
      <c r="AM596" s="55"/>
      <c r="AN596" s="55"/>
    </row>
    <row r="597" spans="1:40" ht="14" x14ac:dyDescent="0.35">
      <c r="A597" s="55" t="str">
        <f t="shared" si="0"/>
        <v/>
      </c>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c r="AA597" s="55"/>
      <c r="AB597" s="55"/>
      <c r="AC597" s="55"/>
      <c r="AD597" s="55"/>
      <c r="AE597" s="55"/>
      <c r="AF597" s="55"/>
      <c r="AG597" s="55"/>
      <c r="AH597" s="55"/>
      <c r="AI597" s="55"/>
      <c r="AJ597" s="55"/>
      <c r="AK597" s="55"/>
      <c r="AL597" s="55"/>
      <c r="AM597" s="55"/>
      <c r="AN597" s="55"/>
    </row>
    <row r="598" spans="1:40" ht="14" x14ac:dyDescent="0.35">
      <c r="A598" s="55" t="str">
        <f t="shared" si="0"/>
        <v/>
      </c>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c r="AA598" s="55"/>
      <c r="AB598" s="55"/>
      <c r="AC598" s="55"/>
      <c r="AD598" s="55"/>
      <c r="AE598" s="55"/>
      <c r="AF598" s="55"/>
      <c r="AG598" s="55"/>
      <c r="AH598" s="55"/>
      <c r="AI598" s="55"/>
      <c r="AJ598" s="55"/>
      <c r="AK598" s="55"/>
      <c r="AL598" s="55"/>
      <c r="AM598" s="55"/>
      <c r="AN598" s="55"/>
    </row>
    <row r="599" spans="1:40" ht="14" x14ac:dyDescent="0.35">
      <c r="A599" s="55" t="str">
        <f t="shared" si="0"/>
        <v/>
      </c>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c r="AA599" s="55"/>
      <c r="AB599" s="55"/>
      <c r="AC599" s="55"/>
      <c r="AD599" s="55"/>
      <c r="AE599" s="55"/>
      <c r="AF599" s="55"/>
      <c r="AG599" s="55"/>
      <c r="AH599" s="55"/>
      <c r="AI599" s="55"/>
      <c r="AJ599" s="55"/>
      <c r="AK599" s="55"/>
      <c r="AL599" s="55"/>
      <c r="AM599" s="55"/>
      <c r="AN599" s="55"/>
    </row>
    <row r="600" spans="1:40" ht="14" x14ac:dyDescent="0.35">
      <c r="A600" s="55" t="str">
        <f t="shared" si="0"/>
        <v/>
      </c>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c r="AA600" s="55"/>
      <c r="AB600" s="55"/>
      <c r="AC600" s="55"/>
      <c r="AD600" s="55"/>
      <c r="AE600" s="55"/>
      <c r="AF600" s="55"/>
      <c r="AG600" s="55"/>
      <c r="AH600" s="55"/>
      <c r="AI600" s="55"/>
      <c r="AJ600" s="55"/>
      <c r="AK600" s="55"/>
      <c r="AL600" s="55"/>
      <c r="AM600" s="55"/>
      <c r="AN600" s="55"/>
    </row>
    <row r="601" spans="1:40" ht="14" x14ac:dyDescent="0.35">
      <c r="A601" s="55" t="str">
        <f t="shared" si="0"/>
        <v/>
      </c>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c r="AA601" s="55"/>
      <c r="AB601" s="55"/>
      <c r="AC601" s="55"/>
      <c r="AD601" s="55"/>
      <c r="AE601" s="55"/>
      <c r="AF601" s="55"/>
      <c r="AG601" s="55"/>
      <c r="AH601" s="55"/>
      <c r="AI601" s="55"/>
      <c r="AJ601" s="55"/>
      <c r="AK601" s="55"/>
      <c r="AL601" s="55"/>
      <c r="AM601" s="55"/>
      <c r="AN601" s="55"/>
    </row>
    <row r="602" spans="1:40" ht="14" x14ac:dyDescent="0.35">
      <c r="A602" s="55" t="str">
        <f t="shared" si="0"/>
        <v/>
      </c>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c r="AA602" s="55"/>
      <c r="AB602" s="55"/>
      <c r="AC602" s="55"/>
      <c r="AD602" s="55"/>
      <c r="AE602" s="55"/>
      <c r="AF602" s="55"/>
      <c r="AG602" s="55"/>
      <c r="AH602" s="55"/>
      <c r="AI602" s="55"/>
      <c r="AJ602" s="55"/>
      <c r="AK602" s="55"/>
      <c r="AL602" s="55"/>
      <c r="AM602" s="55"/>
      <c r="AN602" s="55"/>
    </row>
    <row r="603" spans="1:40" ht="14" x14ac:dyDescent="0.35">
      <c r="A603" s="55" t="str">
        <f t="shared" si="0"/>
        <v/>
      </c>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c r="AA603" s="55"/>
      <c r="AB603" s="55"/>
      <c r="AC603" s="55"/>
      <c r="AD603" s="55"/>
      <c r="AE603" s="55"/>
      <c r="AF603" s="55"/>
      <c r="AG603" s="55"/>
      <c r="AH603" s="55"/>
      <c r="AI603" s="55"/>
      <c r="AJ603" s="55"/>
      <c r="AK603" s="55"/>
      <c r="AL603" s="55"/>
      <c r="AM603" s="55"/>
      <c r="AN603" s="55"/>
    </row>
    <row r="604" spans="1:40" ht="14" x14ac:dyDescent="0.35">
      <c r="A604" s="55" t="str">
        <f t="shared" si="0"/>
        <v/>
      </c>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c r="AA604" s="55"/>
      <c r="AB604" s="55"/>
      <c r="AC604" s="55"/>
      <c r="AD604" s="55"/>
      <c r="AE604" s="55"/>
      <c r="AF604" s="55"/>
      <c r="AG604" s="55"/>
      <c r="AH604" s="55"/>
      <c r="AI604" s="55"/>
      <c r="AJ604" s="55"/>
      <c r="AK604" s="55"/>
      <c r="AL604" s="55"/>
      <c r="AM604" s="55"/>
      <c r="AN604" s="55"/>
    </row>
    <row r="605" spans="1:40" ht="14" x14ac:dyDescent="0.35">
      <c r="A605" s="55" t="str">
        <f t="shared" si="0"/>
        <v/>
      </c>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c r="AA605" s="55"/>
      <c r="AB605" s="55"/>
      <c r="AC605" s="55"/>
      <c r="AD605" s="55"/>
      <c r="AE605" s="55"/>
      <c r="AF605" s="55"/>
      <c r="AG605" s="55"/>
      <c r="AH605" s="55"/>
      <c r="AI605" s="55"/>
      <c r="AJ605" s="55"/>
      <c r="AK605" s="55"/>
      <c r="AL605" s="55"/>
      <c r="AM605" s="55"/>
      <c r="AN605" s="55"/>
    </row>
    <row r="606" spans="1:40" ht="14" x14ac:dyDescent="0.35">
      <c r="A606" s="55" t="str">
        <f t="shared" si="0"/>
        <v/>
      </c>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c r="AA606" s="55"/>
      <c r="AB606" s="55"/>
      <c r="AC606" s="55"/>
      <c r="AD606" s="55"/>
      <c r="AE606" s="55"/>
      <c r="AF606" s="55"/>
      <c r="AG606" s="55"/>
      <c r="AH606" s="55"/>
      <c r="AI606" s="55"/>
      <c r="AJ606" s="55"/>
      <c r="AK606" s="55"/>
      <c r="AL606" s="55"/>
      <c r="AM606" s="55"/>
      <c r="AN606" s="55"/>
    </row>
    <row r="607" spans="1:40" ht="14" x14ac:dyDescent="0.35">
      <c r="A607" s="55" t="str">
        <f t="shared" si="0"/>
        <v/>
      </c>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c r="AA607" s="55"/>
      <c r="AB607" s="55"/>
      <c r="AC607" s="55"/>
      <c r="AD607" s="55"/>
      <c r="AE607" s="55"/>
      <c r="AF607" s="55"/>
      <c r="AG607" s="55"/>
      <c r="AH607" s="55"/>
      <c r="AI607" s="55"/>
      <c r="AJ607" s="55"/>
      <c r="AK607" s="55"/>
      <c r="AL607" s="55"/>
      <c r="AM607" s="55"/>
      <c r="AN607" s="55"/>
    </row>
    <row r="608" spans="1:40" ht="14" x14ac:dyDescent="0.35">
      <c r="A608" s="55" t="str">
        <f t="shared" si="0"/>
        <v/>
      </c>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c r="AA608" s="55"/>
      <c r="AB608" s="55"/>
      <c r="AC608" s="55"/>
      <c r="AD608" s="55"/>
      <c r="AE608" s="55"/>
      <c r="AF608" s="55"/>
      <c r="AG608" s="55"/>
      <c r="AH608" s="55"/>
      <c r="AI608" s="55"/>
      <c r="AJ608" s="55"/>
      <c r="AK608" s="55"/>
      <c r="AL608" s="55"/>
      <c r="AM608" s="55"/>
      <c r="AN608" s="55"/>
    </row>
    <row r="609" spans="1:40" ht="14" x14ac:dyDescent="0.35">
      <c r="A609" s="55" t="str">
        <f t="shared" si="0"/>
        <v/>
      </c>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c r="AA609" s="55"/>
      <c r="AB609" s="55"/>
      <c r="AC609" s="55"/>
      <c r="AD609" s="55"/>
      <c r="AE609" s="55"/>
      <c r="AF609" s="55"/>
      <c r="AG609" s="55"/>
      <c r="AH609" s="55"/>
      <c r="AI609" s="55"/>
      <c r="AJ609" s="55"/>
      <c r="AK609" s="55"/>
      <c r="AL609" s="55"/>
      <c r="AM609" s="55"/>
      <c r="AN609" s="55"/>
    </row>
    <row r="610" spans="1:40" ht="14" x14ac:dyDescent="0.35">
      <c r="A610" s="55" t="str">
        <f t="shared" si="0"/>
        <v/>
      </c>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c r="AA610" s="55"/>
      <c r="AB610" s="55"/>
      <c r="AC610" s="55"/>
      <c r="AD610" s="55"/>
      <c r="AE610" s="55"/>
      <c r="AF610" s="55"/>
      <c r="AG610" s="55"/>
      <c r="AH610" s="55"/>
      <c r="AI610" s="55"/>
      <c r="AJ610" s="55"/>
      <c r="AK610" s="55"/>
      <c r="AL610" s="55"/>
      <c r="AM610" s="55"/>
      <c r="AN610" s="55"/>
    </row>
    <row r="611" spans="1:40" ht="14" x14ac:dyDescent="0.35">
      <c r="A611" s="55" t="str">
        <f t="shared" si="0"/>
        <v/>
      </c>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c r="AA611" s="55"/>
      <c r="AB611" s="55"/>
      <c r="AC611" s="55"/>
      <c r="AD611" s="55"/>
      <c r="AE611" s="55"/>
      <c r="AF611" s="55"/>
      <c r="AG611" s="55"/>
      <c r="AH611" s="55"/>
      <c r="AI611" s="55"/>
      <c r="AJ611" s="55"/>
      <c r="AK611" s="55"/>
      <c r="AL611" s="55"/>
      <c r="AM611" s="55"/>
      <c r="AN611" s="55"/>
    </row>
    <row r="612" spans="1:40" ht="14" x14ac:dyDescent="0.35">
      <c r="A612" s="55" t="str">
        <f t="shared" si="0"/>
        <v/>
      </c>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c r="AA612" s="55"/>
      <c r="AB612" s="55"/>
      <c r="AC612" s="55"/>
      <c r="AD612" s="55"/>
      <c r="AE612" s="55"/>
      <c r="AF612" s="55"/>
      <c r="AG612" s="55"/>
      <c r="AH612" s="55"/>
      <c r="AI612" s="55"/>
      <c r="AJ612" s="55"/>
      <c r="AK612" s="55"/>
      <c r="AL612" s="55"/>
      <c r="AM612" s="55"/>
      <c r="AN612" s="55"/>
    </row>
    <row r="613" spans="1:40" ht="14" x14ac:dyDescent="0.35">
      <c r="A613" s="55" t="str">
        <f t="shared" si="0"/>
        <v/>
      </c>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c r="AA613" s="55"/>
      <c r="AB613" s="55"/>
      <c r="AC613" s="55"/>
      <c r="AD613" s="55"/>
      <c r="AE613" s="55"/>
      <c r="AF613" s="55"/>
      <c r="AG613" s="55"/>
      <c r="AH613" s="55"/>
      <c r="AI613" s="55"/>
      <c r="AJ613" s="55"/>
      <c r="AK613" s="55"/>
      <c r="AL613" s="55"/>
      <c r="AM613" s="55"/>
      <c r="AN613" s="55"/>
    </row>
    <row r="614" spans="1:40" ht="14" x14ac:dyDescent="0.35">
      <c r="A614" s="55" t="str">
        <f t="shared" si="0"/>
        <v/>
      </c>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c r="AA614" s="55"/>
      <c r="AB614" s="55"/>
      <c r="AC614" s="55"/>
      <c r="AD614" s="55"/>
      <c r="AE614" s="55"/>
      <c r="AF614" s="55"/>
      <c r="AG614" s="55"/>
      <c r="AH614" s="55"/>
      <c r="AI614" s="55"/>
      <c r="AJ614" s="55"/>
      <c r="AK614" s="55"/>
      <c r="AL614" s="55"/>
      <c r="AM614" s="55"/>
      <c r="AN614" s="55"/>
    </row>
    <row r="615" spans="1:40" ht="14" x14ac:dyDescent="0.35">
      <c r="A615" s="55" t="str">
        <f t="shared" si="0"/>
        <v/>
      </c>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c r="AA615" s="55"/>
      <c r="AB615" s="55"/>
      <c r="AC615" s="55"/>
      <c r="AD615" s="55"/>
      <c r="AE615" s="55"/>
      <c r="AF615" s="55"/>
      <c r="AG615" s="55"/>
      <c r="AH615" s="55"/>
      <c r="AI615" s="55"/>
      <c r="AJ615" s="55"/>
      <c r="AK615" s="55"/>
      <c r="AL615" s="55"/>
      <c r="AM615" s="55"/>
      <c r="AN615" s="55"/>
    </row>
    <row r="616" spans="1:40" ht="14" x14ac:dyDescent="0.35">
      <c r="A616" s="55" t="str">
        <f t="shared" si="0"/>
        <v/>
      </c>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c r="AA616" s="55"/>
      <c r="AB616" s="55"/>
      <c r="AC616" s="55"/>
      <c r="AD616" s="55"/>
      <c r="AE616" s="55"/>
      <c r="AF616" s="55"/>
      <c r="AG616" s="55"/>
      <c r="AH616" s="55"/>
      <c r="AI616" s="55"/>
      <c r="AJ616" s="55"/>
      <c r="AK616" s="55"/>
      <c r="AL616" s="55"/>
      <c r="AM616" s="55"/>
      <c r="AN616" s="55"/>
    </row>
    <row r="617" spans="1:40" ht="14" x14ac:dyDescent="0.35">
      <c r="A617" s="55" t="str">
        <f t="shared" si="0"/>
        <v/>
      </c>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c r="AA617" s="55"/>
      <c r="AB617" s="55"/>
      <c r="AC617" s="55"/>
      <c r="AD617" s="55"/>
      <c r="AE617" s="55"/>
      <c r="AF617" s="55"/>
      <c r="AG617" s="55"/>
      <c r="AH617" s="55"/>
      <c r="AI617" s="55"/>
      <c r="AJ617" s="55"/>
      <c r="AK617" s="55"/>
      <c r="AL617" s="55"/>
      <c r="AM617" s="55"/>
      <c r="AN617" s="55"/>
    </row>
    <row r="618" spans="1:40" ht="14" x14ac:dyDescent="0.35">
      <c r="A618" s="55" t="str">
        <f t="shared" si="0"/>
        <v/>
      </c>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c r="AA618" s="55"/>
      <c r="AB618" s="55"/>
      <c r="AC618" s="55"/>
      <c r="AD618" s="55"/>
      <c r="AE618" s="55"/>
      <c r="AF618" s="55"/>
      <c r="AG618" s="55"/>
      <c r="AH618" s="55"/>
      <c r="AI618" s="55"/>
      <c r="AJ618" s="55"/>
      <c r="AK618" s="55"/>
      <c r="AL618" s="55"/>
      <c r="AM618" s="55"/>
      <c r="AN618" s="55"/>
    </row>
    <row r="619" spans="1:40" ht="14" x14ac:dyDescent="0.35">
      <c r="A619" s="55" t="str">
        <f t="shared" si="0"/>
        <v/>
      </c>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c r="AA619" s="55"/>
      <c r="AB619" s="55"/>
      <c r="AC619" s="55"/>
      <c r="AD619" s="55"/>
      <c r="AE619" s="55"/>
      <c r="AF619" s="55"/>
      <c r="AG619" s="55"/>
      <c r="AH619" s="55"/>
      <c r="AI619" s="55"/>
      <c r="AJ619" s="55"/>
      <c r="AK619" s="55"/>
      <c r="AL619" s="55"/>
      <c r="AM619" s="55"/>
      <c r="AN619" s="55"/>
    </row>
    <row r="620" spans="1:40" ht="14" x14ac:dyDescent="0.35">
      <c r="A620" s="55" t="str">
        <f t="shared" si="0"/>
        <v/>
      </c>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c r="AA620" s="55"/>
      <c r="AB620" s="55"/>
      <c r="AC620" s="55"/>
      <c r="AD620" s="55"/>
      <c r="AE620" s="55"/>
      <c r="AF620" s="55"/>
      <c r="AG620" s="55"/>
      <c r="AH620" s="55"/>
      <c r="AI620" s="55"/>
      <c r="AJ620" s="55"/>
      <c r="AK620" s="55"/>
      <c r="AL620" s="55"/>
      <c r="AM620" s="55"/>
      <c r="AN620" s="55"/>
    </row>
    <row r="621" spans="1:40" ht="14" x14ac:dyDescent="0.35">
      <c r="A621" s="55" t="str">
        <f t="shared" si="0"/>
        <v/>
      </c>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c r="AA621" s="55"/>
      <c r="AB621" s="55"/>
      <c r="AC621" s="55"/>
      <c r="AD621" s="55"/>
      <c r="AE621" s="55"/>
      <c r="AF621" s="55"/>
      <c r="AG621" s="55"/>
      <c r="AH621" s="55"/>
      <c r="AI621" s="55"/>
      <c r="AJ621" s="55"/>
      <c r="AK621" s="55"/>
      <c r="AL621" s="55"/>
      <c r="AM621" s="55"/>
      <c r="AN621" s="55"/>
    </row>
    <row r="622" spans="1:40" ht="14" x14ac:dyDescent="0.35">
      <c r="A622" s="55" t="str">
        <f t="shared" si="0"/>
        <v/>
      </c>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c r="AA622" s="55"/>
      <c r="AB622" s="55"/>
      <c r="AC622" s="55"/>
      <c r="AD622" s="55"/>
      <c r="AE622" s="55"/>
      <c r="AF622" s="55"/>
      <c r="AG622" s="55"/>
      <c r="AH622" s="55"/>
      <c r="AI622" s="55"/>
      <c r="AJ622" s="55"/>
      <c r="AK622" s="55"/>
      <c r="AL622" s="55"/>
      <c r="AM622" s="55"/>
      <c r="AN622" s="55"/>
    </row>
    <row r="623" spans="1:40" ht="14" x14ac:dyDescent="0.35">
      <c r="A623" s="55" t="str">
        <f t="shared" si="0"/>
        <v/>
      </c>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c r="AA623" s="55"/>
      <c r="AB623" s="55"/>
      <c r="AC623" s="55"/>
      <c r="AD623" s="55"/>
      <c r="AE623" s="55"/>
      <c r="AF623" s="55"/>
      <c r="AG623" s="55"/>
      <c r="AH623" s="55"/>
      <c r="AI623" s="55"/>
      <c r="AJ623" s="55"/>
      <c r="AK623" s="55"/>
      <c r="AL623" s="55"/>
      <c r="AM623" s="55"/>
      <c r="AN623" s="55"/>
    </row>
    <row r="624" spans="1:40" ht="14" x14ac:dyDescent="0.35">
      <c r="A624" s="55" t="str">
        <f t="shared" si="0"/>
        <v/>
      </c>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c r="AA624" s="55"/>
      <c r="AB624" s="55"/>
      <c r="AC624" s="55"/>
      <c r="AD624" s="55"/>
      <c r="AE624" s="55"/>
      <c r="AF624" s="55"/>
      <c r="AG624" s="55"/>
      <c r="AH624" s="55"/>
      <c r="AI624" s="55"/>
      <c r="AJ624" s="55"/>
      <c r="AK624" s="55"/>
      <c r="AL624" s="55"/>
      <c r="AM624" s="55"/>
      <c r="AN624" s="55"/>
    </row>
    <row r="625" spans="1:40" ht="14" x14ac:dyDescent="0.35">
      <c r="A625" s="55" t="str">
        <f t="shared" si="0"/>
        <v/>
      </c>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c r="AA625" s="55"/>
      <c r="AB625" s="55"/>
      <c r="AC625" s="55"/>
      <c r="AD625" s="55"/>
      <c r="AE625" s="55"/>
      <c r="AF625" s="55"/>
      <c r="AG625" s="55"/>
      <c r="AH625" s="55"/>
      <c r="AI625" s="55"/>
      <c r="AJ625" s="55"/>
      <c r="AK625" s="55"/>
      <c r="AL625" s="55"/>
      <c r="AM625" s="55"/>
      <c r="AN625" s="55"/>
    </row>
    <row r="626" spans="1:40" ht="14" x14ac:dyDescent="0.35">
      <c r="A626" s="55" t="str">
        <f t="shared" si="0"/>
        <v/>
      </c>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c r="AA626" s="55"/>
      <c r="AB626" s="55"/>
      <c r="AC626" s="55"/>
      <c r="AD626" s="55"/>
      <c r="AE626" s="55"/>
      <c r="AF626" s="55"/>
      <c r="AG626" s="55"/>
      <c r="AH626" s="55"/>
      <c r="AI626" s="55"/>
      <c r="AJ626" s="55"/>
      <c r="AK626" s="55"/>
      <c r="AL626" s="55"/>
      <c r="AM626" s="55"/>
      <c r="AN626" s="55"/>
    </row>
    <row r="627" spans="1:40" ht="14" x14ac:dyDescent="0.35">
      <c r="A627" s="55" t="str">
        <f t="shared" si="0"/>
        <v/>
      </c>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c r="AA627" s="55"/>
      <c r="AB627" s="55"/>
      <c r="AC627" s="55"/>
      <c r="AD627" s="55"/>
      <c r="AE627" s="55"/>
      <c r="AF627" s="55"/>
      <c r="AG627" s="55"/>
      <c r="AH627" s="55"/>
      <c r="AI627" s="55"/>
      <c r="AJ627" s="55"/>
      <c r="AK627" s="55"/>
      <c r="AL627" s="55"/>
      <c r="AM627" s="55"/>
      <c r="AN627" s="55"/>
    </row>
    <row r="628" spans="1:40" ht="14" x14ac:dyDescent="0.35">
      <c r="A628" s="55" t="str">
        <f t="shared" si="0"/>
        <v/>
      </c>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c r="AA628" s="55"/>
      <c r="AB628" s="55"/>
      <c r="AC628" s="55"/>
      <c r="AD628" s="55"/>
      <c r="AE628" s="55"/>
      <c r="AF628" s="55"/>
      <c r="AG628" s="55"/>
      <c r="AH628" s="55"/>
      <c r="AI628" s="55"/>
      <c r="AJ628" s="55"/>
      <c r="AK628" s="55"/>
      <c r="AL628" s="55"/>
      <c r="AM628" s="55"/>
      <c r="AN628" s="55"/>
    </row>
    <row r="629" spans="1:40" ht="14" x14ac:dyDescent="0.35">
      <c r="A629" s="55" t="str">
        <f t="shared" si="0"/>
        <v/>
      </c>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c r="AA629" s="55"/>
      <c r="AB629" s="55"/>
      <c r="AC629" s="55"/>
      <c r="AD629" s="55"/>
      <c r="AE629" s="55"/>
      <c r="AF629" s="55"/>
      <c r="AG629" s="55"/>
      <c r="AH629" s="55"/>
      <c r="AI629" s="55"/>
      <c r="AJ629" s="55"/>
      <c r="AK629" s="55"/>
      <c r="AL629" s="55"/>
      <c r="AM629" s="55"/>
      <c r="AN629" s="55"/>
    </row>
    <row r="630" spans="1:40" ht="14" x14ac:dyDescent="0.35">
      <c r="A630" s="55" t="str">
        <f t="shared" si="0"/>
        <v/>
      </c>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c r="AA630" s="55"/>
      <c r="AB630" s="55"/>
      <c r="AC630" s="55"/>
      <c r="AD630" s="55"/>
      <c r="AE630" s="55"/>
      <c r="AF630" s="55"/>
      <c r="AG630" s="55"/>
      <c r="AH630" s="55"/>
      <c r="AI630" s="55"/>
      <c r="AJ630" s="55"/>
      <c r="AK630" s="55"/>
      <c r="AL630" s="55"/>
      <c r="AM630" s="55"/>
      <c r="AN630" s="55"/>
    </row>
    <row r="631" spans="1:40" ht="14" x14ac:dyDescent="0.35">
      <c r="A631" s="55" t="str">
        <f t="shared" si="0"/>
        <v/>
      </c>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c r="AA631" s="55"/>
      <c r="AB631" s="55"/>
      <c r="AC631" s="55"/>
      <c r="AD631" s="55"/>
      <c r="AE631" s="55"/>
      <c r="AF631" s="55"/>
      <c r="AG631" s="55"/>
      <c r="AH631" s="55"/>
      <c r="AI631" s="55"/>
      <c r="AJ631" s="55"/>
      <c r="AK631" s="55"/>
      <c r="AL631" s="55"/>
      <c r="AM631" s="55"/>
      <c r="AN631" s="55"/>
    </row>
    <row r="632" spans="1:40" ht="14" x14ac:dyDescent="0.35">
      <c r="A632" s="55" t="str">
        <f t="shared" si="0"/>
        <v/>
      </c>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c r="AA632" s="55"/>
      <c r="AB632" s="55"/>
      <c r="AC632" s="55"/>
      <c r="AD632" s="55"/>
      <c r="AE632" s="55"/>
      <c r="AF632" s="55"/>
      <c r="AG632" s="55"/>
      <c r="AH632" s="55"/>
      <c r="AI632" s="55"/>
      <c r="AJ632" s="55"/>
      <c r="AK632" s="55"/>
      <c r="AL632" s="55"/>
      <c r="AM632" s="55"/>
      <c r="AN632" s="55"/>
    </row>
    <row r="633" spans="1:40" ht="14" x14ac:dyDescent="0.35">
      <c r="A633" s="55" t="str">
        <f t="shared" si="0"/>
        <v/>
      </c>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c r="AA633" s="55"/>
      <c r="AB633" s="55"/>
      <c r="AC633" s="55"/>
      <c r="AD633" s="55"/>
      <c r="AE633" s="55"/>
      <c r="AF633" s="55"/>
      <c r="AG633" s="55"/>
      <c r="AH633" s="55"/>
      <c r="AI633" s="55"/>
      <c r="AJ633" s="55"/>
      <c r="AK633" s="55"/>
      <c r="AL633" s="55"/>
      <c r="AM633" s="55"/>
      <c r="AN633" s="55"/>
    </row>
    <row r="634" spans="1:40" ht="14" x14ac:dyDescent="0.35">
      <c r="A634" s="55" t="str">
        <f t="shared" si="0"/>
        <v/>
      </c>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c r="AA634" s="55"/>
      <c r="AB634" s="55"/>
      <c r="AC634" s="55"/>
      <c r="AD634" s="55"/>
      <c r="AE634" s="55"/>
      <c r="AF634" s="55"/>
      <c r="AG634" s="55"/>
      <c r="AH634" s="55"/>
      <c r="AI634" s="55"/>
      <c r="AJ634" s="55"/>
      <c r="AK634" s="55"/>
      <c r="AL634" s="55"/>
      <c r="AM634" s="55"/>
      <c r="AN634" s="55"/>
    </row>
    <row r="635" spans="1:40" ht="14" x14ac:dyDescent="0.35">
      <c r="A635" s="55" t="str">
        <f t="shared" si="0"/>
        <v/>
      </c>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c r="AA635" s="55"/>
      <c r="AB635" s="55"/>
      <c r="AC635" s="55"/>
      <c r="AD635" s="55"/>
      <c r="AE635" s="55"/>
      <c r="AF635" s="55"/>
      <c r="AG635" s="55"/>
      <c r="AH635" s="55"/>
      <c r="AI635" s="55"/>
      <c r="AJ635" s="55"/>
      <c r="AK635" s="55"/>
      <c r="AL635" s="55"/>
      <c r="AM635" s="55"/>
      <c r="AN635" s="55"/>
    </row>
    <row r="636" spans="1:40" ht="14" x14ac:dyDescent="0.35">
      <c r="A636" s="55" t="str">
        <f t="shared" si="0"/>
        <v/>
      </c>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c r="AA636" s="55"/>
      <c r="AB636" s="55"/>
      <c r="AC636" s="55"/>
      <c r="AD636" s="55"/>
      <c r="AE636" s="55"/>
      <c r="AF636" s="55"/>
      <c r="AG636" s="55"/>
      <c r="AH636" s="55"/>
      <c r="AI636" s="55"/>
      <c r="AJ636" s="55"/>
      <c r="AK636" s="55"/>
      <c r="AL636" s="55"/>
      <c r="AM636" s="55"/>
      <c r="AN636" s="55"/>
    </row>
    <row r="637" spans="1:40" ht="14" x14ac:dyDescent="0.35">
      <c r="A637" s="55" t="str">
        <f t="shared" si="0"/>
        <v/>
      </c>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c r="AA637" s="55"/>
      <c r="AB637" s="55"/>
      <c r="AC637" s="55"/>
      <c r="AD637" s="55"/>
      <c r="AE637" s="55"/>
      <c r="AF637" s="55"/>
      <c r="AG637" s="55"/>
      <c r="AH637" s="55"/>
      <c r="AI637" s="55"/>
      <c r="AJ637" s="55"/>
      <c r="AK637" s="55"/>
      <c r="AL637" s="55"/>
      <c r="AM637" s="55"/>
      <c r="AN637" s="55"/>
    </row>
    <row r="638" spans="1:40" ht="14" x14ac:dyDescent="0.35">
      <c r="A638" s="55" t="str">
        <f t="shared" si="0"/>
        <v/>
      </c>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c r="AA638" s="55"/>
      <c r="AB638" s="55"/>
      <c r="AC638" s="55"/>
      <c r="AD638" s="55"/>
      <c r="AE638" s="55"/>
      <c r="AF638" s="55"/>
      <c r="AG638" s="55"/>
      <c r="AH638" s="55"/>
      <c r="AI638" s="55"/>
      <c r="AJ638" s="55"/>
      <c r="AK638" s="55"/>
      <c r="AL638" s="55"/>
      <c r="AM638" s="55"/>
      <c r="AN638" s="55"/>
    </row>
    <row r="639" spans="1:40" ht="14" x14ac:dyDescent="0.35">
      <c r="A639" s="55" t="str">
        <f t="shared" si="0"/>
        <v/>
      </c>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c r="AA639" s="55"/>
      <c r="AB639" s="55"/>
      <c r="AC639" s="55"/>
      <c r="AD639" s="55"/>
      <c r="AE639" s="55"/>
      <c r="AF639" s="55"/>
      <c r="AG639" s="55"/>
      <c r="AH639" s="55"/>
      <c r="AI639" s="55"/>
      <c r="AJ639" s="55"/>
      <c r="AK639" s="55"/>
      <c r="AL639" s="55"/>
      <c r="AM639" s="55"/>
      <c r="AN639" s="55"/>
    </row>
    <row r="640" spans="1:40" ht="14" x14ac:dyDescent="0.35">
      <c r="A640" s="55" t="str">
        <f t="shared" si="0"/>
        <v/>
      </c>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c r="AA640" s="55"/>
      <c r="AB640" s="55"/>
      <c r="AC640" s="55"/>
      <c r="AD640" s="55"/>
      <c r="AE640" s="55"/>
      <c r="AF640" s="55"/>
      <c r="AG640" s="55"/>
      <c r="AH640" s="55"/>
      <c r="AI640" s="55"/>
      <c r="AJ640" s="55"/>
      <c r="AK640" s="55"/>
      <c r="AL640" s="55"/>
      <c r="AM640" s="55"/>
      <c r="AN640" s="55"/>
    </row>
    <row r="641" spans="1:40" ht="14" x14ac:dyDescent="0.35">
      <c r="A641" s="55" t="str">
        <f t="shared" si="0"/>
        <v/>
      </c>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c r="AA641" s="55"/>
      <c r="AB641" s="55"/>
      <c r="AC641" s="55"/>
      <c r="AD641" s="55"/>
      <c r="AE641" s="55"/>
      <c r="AF641" s="55"/>
      <c r="AG641" s="55"/>
      <c r="AH641" s="55"/>
      <c r="AI641" s="55"/>
      <c r="AJ641" s="55"/>
      <c r="AK641" s="55"/>
      <c r="AL641" s="55"/>
      <c r="AM641" s="55"/>
      <c r="AN641" s="55"/>
    </row>
    <row r="642" spans="1:40" ht="14" x14ac:dyDescent="0.35">
      <c r="A642" s="55" t="str">
        <f t="shared" si="0"/>
        <v/>
      </c>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c r="AA642" s="55"/>
      <c r="AB642" s="55"/>
      <c r="AC642" s="55"/>
      <c r="AD642" s="55"/>
      <c r="AE642" s="55"/>
      <c r="AF642" s="55"/>
      <c r="AG642" s="55"/>
      <c r="AH642" s="55"/>
      <c r="AI642" s="55"/>
      <c r="AJ642" s="55"/>
      <c r="AK642" s="55"/>
      <c r="AL642" s="55"/>
      <c r="AM642" s="55"/>
      <c r="AN642" s="55"/>
    </row>
    <row r="643" spans="1:40" ht="14" x14ac:dyDescent="0.35">
      <c r="A643" s="55" t="str">
        <f t="shared" si="0"/>
        <v/>
      </c>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c r="AA643" s="55"/>
      <c r="AB643" s="55"/>
      <c r="AC643" s="55"/>
      <c r="AD643" s="55"/>
      <c r="AE643" s="55"/>
      <c r="AF643" s="55"/>
      <c r="AG643" s="55"/>
      <c r="AH643" s="55"/>
      <c r="AI643" s="55"/>
      <c r="AJ643" s="55"/>
      <c r="AK643" s="55"/>
      <c r="AL643" s="55"/>
      <c r="AM643" s="55"/>
      <c r="AN643" s="55"/>
    </row>
    <row r="644" spans="1:40" ht="14" x14ac:dyDescent="0.35">
      <c r="A644" s="55" t="str">
        <f t="shared" si="0"/>
        <v/>
      </c>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c r="AA644" s="55"/>
      <c r="AB644" s="55"/>
      <c r="AC644" s="55"/>
      <c r="AD644" s="55"/>
      <c r="AE644" s="55"/>
      <c r="AF644" s="55"/>
      <c r="AG644" s="55"/>
      <c r="AH644" s="55"/>
      <c r="AI644" s="55"/>
      <c r="AJ644" s="55"/>
      <c r="AK644" s="55"/>
      <c r="AL644" s="55"/>
      <c r="AM644" s="55"/>
      <c r="AN644" s="55"/>
    </row>
    <row r="645" spans="1:40" ht="14" x14ac:dyDescent="0.35">
      <c r="A645" s="55" t="str">
        <f t="shared" si="0"/>
        <v/>
      </c>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c r="AA645" s="55"/>
      <c r="AB645" s="55"/>
      <c r="AC645" s="55"/>
      <c r="AD645" s="55"/>
      <c r="AE645" s="55"/>
      <c r="AF645" s="55"/>
      <c r="AG645" s="55"/>
      <c r="AH645" s="55"/>
      <c r="AI645" s="55"/>
      <c r="AJ645" s="55"/>
      <c r="AK645" s="55"/>
      <c r="AL645" s="55"/>
      <c r="AM645" s="55"/>
      <c r="AN645" s="55"/>
    </row>
    <row r="646" spans="1:40" ht="14" x14ac:dyDescent="0.35">
      <c r="A646" s="55" t="str">
        <f t="shared" si="0"/>
        <v/>
      </c>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c r="AA646" s="55"/>
      <c r="AB646" s="55"/>
      <c r="AC646" s="55"/>
      <c r="AD646" s="55"/>
      <c r="AE646" s="55"/>
      <c r="AF646" s="55"/>
      <c r="AG646" s="55"/>
      <c r="AH646" s="55"/>
      <c r="AI646" s="55"/>
      <c r="AJ646" s="55"/>
      <c r="AK646" s="55"/>
      <c r="AL646" s="55"/>
      <c r="AM646" s="55"/>
      <c r="AN646" s="55"/>
    </row>
    <row r="647" spans="1:40" ht="14" x14ac:dyDescent="0.35">
      <c r="A647" s="55" t="str">
        <f t="shared" si="0"/>
        <v/>
      </c>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c r="AA647" s="55"/>
      <c r="AB647" s="55"/>
      <c r="AC647" s="55"/>
      <c r="AD647" s="55"/>
      <c r="AE647" s="55"/>
      <c r="AF647" s="55"/>
      <c r="AG647" s="55"/>
      <c r="AH647" s="55"/>
      <c r="AI647" s="55"/>
      <c r="AJ647" s="55"/>
      <c r="AK647" s="55"/>
      <c r="AL647" s="55"/>
      <c r="AM647" s="55"/>
      <c r="AN647" s="55"/>
    </row>
    <row r="648" spans="1:40" ht="14" x14ac:dyDescent="0.35">
      <c r="A648" s="55" t="str">
        <f t="shared" si="0"/>
        <v/>
      </c>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c r="AA648" s="55"/>
      <c r="AB648" s="55"/>
      <c r="AC648" s="55"/>
      <c r="AD648" s="55"/>
      <c r="AE648" s="55"/>
      <c r="AF648" s="55"/>
      <c r="AG648" s="55"/>
      <c r="AH648" s="55"/>
      <c r="AI648" s="55"/>
      <c r="AJ648" s="55"/>
      <c r="AK648" s="55"/>
      <c r="AL648" s="55"/>
      <c r="AM648" s="55"/>
      <c r="AN648" s="55"/>
    </row>
    <row r="649" spans="1:40" ht="14" x14ac:dyDescent="0.35">
      <c r="A649" s="55" t="str">
        <f t="shared" si="0"/>
        <v/>
      </c>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c r="AA649" s="55"/>
      <c r="AB649" s="55"/>
      <c r="AC649" s="55"/>
      <c r="AD649" s="55"/>
      <c r="AE649" s="55"/>
      <c r="AF649" s="55"/>
      <c r="AG649" s="55"/>
      <c r="AH649" s="55"/>
      <c r="AI649" s="55"/>
      <c r="AJ649" s="55"/>
      <c r="AK649" s="55"/>
      <c r="AL649" s="55"/>
      <c r="AM649" s="55"/>
      <c r="AN649" s="55"/>
    </row>
    <row r="650" spans="1:40" ht="14" x14ac:dyDescent="0.35">
      <c r="A650" s="55" t="str">
        <f t="shared" si="0"/>
        <v/>
      </c>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c r="AA650" s="55"/>
      <c r="AB650" s="55"/>
      <c r="AC650" s="55"/>
      <c r="AD650" s="55"/>
      <c r="AE650" s="55"/>
      <c r="AF650" s="55"/>
      <c r="AG650" s="55"/>
      <c r="AH650" s="55"/>
      <c r="AI650" s="55"/>
      <c r="AJ650" s="55"/>
      <c r="AK650" s="55"/>
      <c r="AL650" s="55"/>
      <c r="AM650" s="55"/>
      <c r="AN650" s="55"/>
    </row>
    <row r="651" spans="1:40" ht="14" x14ac:dyDescent="0.35">
      <c r="A651" s="55" t="str">
        <f t="shared" si="0"/>
        <v/>
      </c>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c r="AA651" s="55"/>
      <c r="AB651" s="55"/>
      <c r="AC651" s="55"/>
      <c r="AD651" s="55"/>
      <c r="AE651" s="55"/>
      <c r="AF651" s="55"/>
      <c r="AG651" s="55"/>
      <c r="AH651" s="55"/>
      <c r="AI651" s="55"/>
      <c r="AJ651" s="55"/>
      <c r="AK651" s="55"/>
      <c r="AL651" s="55"/>
      <c r="AM651" s="55"/>
      <c r="AN651" s="55"/>
    </row>
    <row r="652" spans="1:40" ht="14" x14ac:dyDescent="0.35">
      <c r="A652" s="55" t="str">
        <f t="shared" si="0"/>
        <v/>
      </c>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c r="AA652" s="55"/>
      <c r="AB652" s="55"/>
      <c r="AC652" s="55"/>
      <c r="AD652" s="55"/>
      <c r="AE652" s="55"/>
      <c r="AF652" s="55"/>
      <c r="AG652" s="55"/>
      <c r="AH652" s="55"/>
      <c r="AI652" s="55"/>
      <c r="AJ652" s="55"/>
      <c r="AK652" s="55"/>
      <c r="AL652" s="55"/>
      <c r="AM652" s="55"/>
      <c r="AN652" s="55"/>
    </row>
    <row r="653" spans="1:40" ht="14" x14ac:dyDescent="0.35">
      <c r="A653" s="55" t="str">
        <f t="shared" si="0"/>
        <v/>
      </c>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c r="AA653" s="55"/>
      <c r="AB653" s="55"/>
      <c r="AC653" s="55"/>
      <c r="AD653" s="55"/>
      <c r="AE653" s="55"/>
      <c r="AF653" s="55"/>
      <c r="AG653" s="55"/>
      <c r="AH653" s="55"/>
      <c r="AI653" s="55"/>
      <c r="AJ653" s="55"/>
      <c r="AK653" s="55"/>
      <c r="AL653" s="55"/>
      <c r="AM653" s="55"/>
      <c r="AN653" s="55"/>
    </row>
    <row r="654" spans="1:40" ht="14" x14ac:dyDescent="0.35">
      <c r="A654" s="55" t="str">
        <f t="shared" si="0"/>
        <v/>
      </c>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c r="AA654" s="55"/>
      <c r="AB654" s="55"/>
      <c r="AC654" s="55"/>
      <c r="AD654" s="55"/>
      <c r="AE654" s="55"/>
      <c r="AF654" s="55"/>
      <c r="AG654" s="55"/>
      <c r="AH654" s="55"/>
      <c r="AI654" s="55"/>
      <c r="AJ654" s="55"/>
      <c r="AK654" s="55"/>
      <c r="AL654" s="55"/>
      <c r="AM654" s="55"/>
      <c r="AN654" s="55"/>
    </row>
    <row r="655" spans="1:40" ht="14" x14ac:dyDescent="0.35">
      <c r="A655" s="55" t="str">
        <f t="shared" si="0"/>
        <v/>
      </c>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c r="AA655" s="55"/>
      <c r="AB655" s="55"/>
      <c r="AC655" s="55"/>
      <c r="AD655" s="55"/>
      <c r="AE655" s="55"/>
      <c r="AF655" s="55"/>
      <c r="AG655" s="55"/>
      <c r="AH655" s="55"/>
      <c r="AI655" s="55"/>
      <c r="AJ655" s="55"/>
      <c r="AK655" s="55"/>
      <c r="AL655" s="55"/>
      <c r="AM655" s="55"/>
      <c r="AN655" s="55"/>
    </row>
    <row r="656" spans="1:40" ht="14" x14ac:dyDescent="0.35">
      <c r="A656" s="55" t="str">
        <f t="shared" si="0"/>
        <v/>
      </c>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c r="AA656" s="55"/>
      <c r="AB656" s="55"/>
      <c r="AC656" s="55"/>
      <c r="AD656" s="55"/>
      <c r="AE656" s="55"/>
      <c r="AF656" s="55"/>
      <c r="AG656" s="55"/>
      <c r="AH656" s="55"/>
      <c r="AI656" s="55"/>
      <c r="AJ656" s="55"/>
      <c r="AK656" s="55"/>
      <c r="AL656" s="55"/>
      <c r="AM656" s="55"/>
      <c r="AN656" s="55"/>
    </row>
    <row r="657" spans="1:40" ht="14" x14ac:dyDescent="0.35">
      <c r="A657" s="55" t="str">
        <f t="shared" si="0"/>
        <v/>
      </c>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c r="AA657" s="55"/>
      <c r="AB657" s="55"/>
      <c r="AC657" s="55"/>
      <c r="AD657" s="55"/>
      <c r="AE657" s="55"/>
      <c r="AF657" s="55"/>
      <c r="AG657" s="55"/>
      <c r="AH657" s="55"/>
      <c r="AI657" s="55"/>
      <c r="AJ657" s="55"/>
      <c r="AK657" s="55"/>
      <c r="AL657" s="55"/>
      <c r="AM657" s="55"/>
      <c r="AN657" s="55"/>
    </row>
    <row r="658" spans="1:40" ht="14" x14ac:dyDescent="0.35">
      <c r="A658" s="55" t="str">
        <f t="shared" si="0"/>
        <v/>
      </c>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c r="AA658" s="55"/>
      <c r="AB658" s="55"/>
      <c r="AC658" s="55"/>
      <c r="AD658" s="55"/>
      <c r="AE658" s="55"/>
      <c r="AF658" s="55"/>
      <c r="AG658" s="55"/>
      <c r="AH658" s="55"/>
      <c r="AI658" s="55"/>
      <c r="AJ658" s="55"/>
      <c r="AK658" s="55"/>
      <c r="AL658" s="55"/>
      <c r="AM658" s="55"/>
      <c r="AN658" s="55"/>
    </row>
    <row r="659" spans="1:40" ht="14" x14ac:dyDescent="0.35">
      <c r="A659" s="55" t="str">
        <f t="shared" si="0"/>
        <v/>
      </c>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c r="AA659" s="55"/>
      <c r="AB659" s="55"/>
      <c r="AC659" s="55"/>
      <c r="AD659" s="55"/>
      <c r="AE659" s="55"/>
      <c r="AF659" s="55"/>
      <c r="AG659" s="55"/>
      <c r="AH659" s="55"/>
      <c r="AI659" s="55"/>
      <c r="AJ659" s="55"/>
      <c r="AK659" s="55"/>
      <c r="AL659" s="55"/>
      <c r="AM659" s="55"/>
      <c r="AN659" s="55"/>
    </row>
    <row r="660" spans="1:40" ht="14" x14ac:dyDescent="0.35">
      <c r="A660" s="55" t="str">
        <f t="shared" si="0"/>
        <v/>
      </c>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c r="AA660" s="55"/>
      <c r="AB660" s="55"/>
      <c r="AC660" s="55"/>
      <c r="AD660" s="55"/>
      <c r="AE660" s="55"/>
      <c r="AF660" s="55"/>
      <c r="AG660" s="55"/>
      <c r="AH660" s="55"/>
      <c r="AI660" s="55"/>
      <c r="AJ660" s="55"/>
      <c r="AK660" s="55"/>
      <c r="AL660" s="55"/>
      <c r="AM660" s="55"/>
      <c r="AN660" s="55"/>
    </row>
    <row r="661" spans="1:40" ht="14" x14ac:dyDescent="0.35">
      <c r="A661" s="55" t="str">
        <f t="shared" si="0"/>
        <v/>
      </c>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c r="AA661" s="55"/>
      <c r="AB661" s="55"/>
      <c r="AC661" s="55"/>
      <c r="AD661" s="55"/>
      <c r="AE661" s="55"/>
      <c r="AF661" s="55"/>
      <c r="AG661" s="55"/>
      <c r="AH661" s="55"/>
      <c r="AI661" s="55"/>
      <c r="AJ661" s="55"/>
      <c r="AK661" s="55"/>
      <c r="AL661" s="55"/>
      <c r="AM661" s="55"/>
      <c r="AN661" s="55"/>
    </row>
    <row r="662" spans="1:40" ht="14" x14ac:dyDescent="0.35">
      <c r="A662" s="55" t="str">
        <f t="shared" si="0"/>
        <v/>
      </c>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c r="AA662" s="55"/>
      <c r="AB662" s="55"/>
      <c r="AC662" s="55"/>
      <c r="AD662" s="55"/>
      <c r="AE662" s="55"/>
      <c r="AF662" s="55"/>
      <c r="AG662" s="55"/>
      <c r="AH662" s="55"/>
      <c r="AI662" s="55"/>
      <c r="AJ662" s="55"/>
      <c r="AK662" s="55"/>
      <c r="AL662" s="55"/>
      <c r="AM662" s="55"/>
      <c r="AN662" s="55"/>
    </row>
    <row r="663" spans="1:40" ht="14" x14ac:dyDescent="0.35">
      <c r="A663" s="55" t="str">
        <f t="shared" si="0"/>
        <v/>
      </c>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c r="AA663" s="55"/>
      <c r="AB663" s="55"/>
      <c r="AC663" s="55"/>
      <c r="AD663" s="55"/>
      <c r="AE663" s="55"/>
      <c r="AF663" s="55"/>
      <c r="AG663" s="55"/>
      <c r="AH663" s="55"/>
      <c r="AI663" s="55"/>
      <c r="AJ663" s="55"/>
      <c r="AK663" s="55"/>
      <c r="AL663" s="55"/>
      <c r="AM663" s="55"/>
      <c r="AN663" s="55"/>
    </row>
    <row r="664" spans="1:40" ht="14" x14ac:dyDescent="0.35">
      <c r="A664" s="55" t="str">
        <f t="shared" si="0"/>
        <v/>
      </c>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c r="AA664" s="55"/>
      <c r="AB664" s="55"/>
      <c r="AC664" s="55"/>
      <c r="AD664" s="55"/>
      <c r="AE664" s="55"/>
      <c r="AF664" s="55"/>
      <c r="AG664" s="55"/>
      <c r="AH664" s="55"/>
      <c r="AI664" s="55"/>
      <c r="AJ664" s="55"/>
      <c r="AK664" s="55"/>
      <c r="AL664" s="55"/>
      <c r="AM664" s="55"/>
      <c r="AN664" s="55"/>
    </row>
    <row r="665" spans="1:40" ht="14" x14ac:dyDescent="0.35">
      <c r="A665" s="55" t="str">
        <f t="shared" si="0"/>
        <v/>
      </c>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c r="AA665" s="55"/>
      <c r="AB665" s="55"/>
      <c r="AC665" s="55"/>
      <c r="AD665" s="55"/>
      <c r="AE665" s="55"/>
      <c r="AF665" s="55"/>
      <c r="AG665" s="55"/>
      <c r="AH665" s="55"/>
      <c r="AI665" s="55"/>
      <c r="AJ665" s="55"/>
      <c r="AK665" s="55"/>
      <c r="AL665" s="55"/>
      <c r="AM665" s="55"/>
      <c r="AN665" s="55"/>
    </row>
    <row r="666" spans="1:40" ht="14" x14ac:dyDescent="0.35">
      <c r="A666" s="55" t="str">
        <f t="shared" si="0"/>
        <v/>
      </c>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c r="AA666" s="55"/>
      <c r="AB666" s="55"/>
      <c r="AC666" s="55"/>
      <c r="AD666" s="55"/>
      <c r="AE666" s="55"/>
      <c r="AF666" s="55"/>
      <c r="AG666" s="55"/>
      <c r="AH666" s="55"/>
      <c r="AI666" s="55"/>
      <c r="AJ666" s="55"/>
      <c r="AK666" s="55"/>
      <c r="AL666" s="55"/>
      <c r="AM666" s="55"/>
      <c r="AN666" s="55"/>
    </row>
    <row r="667" spans="1:40" ht="14" x14ac:dyDescent="0.35">
      <c r="A667" s="55" t="str">
        <f t="shared" si="0"/>
        <v/>
      </c>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c r="AA667" s="55"/>
      <c r="AB667" s="55"/>
      <c r="AC667" s="55"/>
      <c r="AD667" s="55"/>
      <c r="AE667" s="55"/>
      <c r="AF667" s="55"/>
      <c r="AG667" s="55"/>
      <c r="AH667" s="55"/>
      <c r="AI667" s="55"/>
      <c r="AJ667" s="55"/>
      <c r="AK667" s="55"/>
      <c r="AL667" s="55"/>
      <c r="AM667" s="55"/>
      <c r="AN667" s="55"/>
    </row>
    <row r="668" spans="1:40" ht="14" x14ac:dyDescent="0.35">
      <c r="A668" s="55" t="str">
        <f t="shared" si="0"/>
        <v/>
      </c>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c r="AA668" s="55"/>
      <c r="AB668" s="55"/>
      <c r="AC668" s="55"/>
      <c r="AD668" s="55"/>
      <c r="AE668" s="55"/>
      <c r="AF668" s="55"/>
      <c r="AG668" s="55"/>
      <c r="AH668" s="55"/>
      <c r="AI668" s="55"/>
      <c r="AJ668" s="55"/>
      <c r="AK668" s="55"/>
      <c r="AL668" s="55"/>
      <c r="AM668" s="55"/>
      <c r="AN668" s="55"/>
    </row>
    <row r="669" spans="1:40" ht="14" x14ac:dyDescent="0.35">
      <c r="A669" s="55" t="str">
        <f t="shared" si="0"/>
        <v/>
      </c>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c r="AA669" s="55"/>
      <c r="AB669" s="55"/>
      <c r="AC669" s="55"/>
      <c r="AD669" s="55"/>
      <c r="AE669" s="55"/>
      <c r="AF669" s="55"/>
      <c r="AG669" s="55"/>
      <c r="AH669" s="55"/>
      <c r="AI669" s="55"/>
      <c r="AJ669" s="55"/>
      <c r="AK669" s="55"/>
      <c r="AL669" s="55"/>
      <c r="AM669" s="55"/>
      <c r="AN669" s="55"/>
    </row>
    <row r="670" spans="1:40" ht="14" x14ac:dyDescent="0.35">
      <c r="A670" s="55" t="str">
        <f t="shared" si="0"/>
        <v/>
      </c>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c r="AA670" s="55"/>
      <c r="AB670" s="55"/>
      <c r="AC670" s="55"/>
      <c r="AD670" s="55"/>
      <c r="AE670" s="55"/>
      <c r="AF670" s="55"/>
      <c r="AG670" s="55"/>
      <c r="AH670" s="55"/>
      <c r="AI670" s="55"/>
      <c r="AJ670" s="55"/>
      <c r="AK670" s="55"/>
      <c r="AL670" s="55"/>
      <c r="AM670" s="55"/>
      <c r="AN670" s="55"/>
    </row>
    <row r="671" spans="1:40" ht="14" x14ac:dyDescent="0.35">
      <c r="A671" s="55" t="str">
        <f t="shared" si="0"/>
        <v/>
      </c>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c r="AA671" s="55"/>
      <c r="AB671" s="55"/>
      <c r="AC671" s="55"/>
      <c r="AD671" s="55"/>
      <c r="AE671" s="55"/>
      <c r="AF671" s="55"/>
      <c r="AG671" s="55"/>
      <c r="AH671" s="55"/>
      <c r="AI671" s="55"/>
      <c r="AJ671" s="55"/>
      <c r="AK671" s="55"/>
      <c r="AL671" s="55"/>
      <c r="AM671" s="55"/>
      <c r="AN671" s="55"/>
    </row>
    <row r="672" spans="1:40" ht="14" x14ac:dyDescent="0.35">
      <c r="A672" s="55" t="str">
        <f t="shared" si="0"/>
        <v/>
      </c>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c r="AA672" s="55"/>
      <c r="AB672" s="55"/>
      <c r="AC672" s="55"/>
      <c r="AD672" s="55"/>
      <c r="AE672" s="55"/>
      <c r="AF672" s="55"/>
      <c r="AG672" s="55"/>
      <c r="AH672" s="55"/>
      <c r="AI672" s="55"/>
      <c r="AJ672" s="55"/>
      <c r="AK672" s="55"/>
      <c r="AL672" s="55"/>
      <c r="AM672" s="55"/>
      <c r="AN672" s="55"/>
    </row>
    <row r="673" spans="1:40" ht="14" x14ac:dyDescent="0.35">
      <c r="A673" s="55" t="str">
        <f t="shared" si="0"/>
        <v/>
      </c>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c r="AA673" s="55"/>
      <c r="AB673" s="55"/>
      <c r="AC673" s="55"/>
      <c r="AD673" s="55"/>
      <c r="AE673" s="55"/>
      <c r="AF673" s="55"/>
      <c r="AG673" s="55"/>
      <c r="AH673" s="55"/>
      <c r="AI673" s="55"/>
      <c r="AJ673" s="55"/>
      <c r="AK673" s="55"/>
      <c r="AL673" s="55"/>
      <c r="AM673" s="55"/>
      <c r="AN673" s="55"/>
    </row>
    <row r="674" spans="1:40" ht="14" x14ac:dyDescent="0.35">
      <c r="A674" s="55" t="str">
        <f t="shared" si="0"/>
        <v/>
      </c>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c r="AA674" s="55"/>
      <c r="AB674" s="55"/>
      <c r="AC674" s="55"/>
      <c r="AD674" s="55"/>
      <c r="AE674" s="55"/>
      <c r="AF674" s="55"/>
      <c r="AG674" s="55"/>
      <c r="AH674" s="55"/>
      <c r="AI674" s="55"/>
      <c r="AJ674" s="55"/>
      <c r="AK674" s="55"/>
      <c r="AL674" s="55"/>
      <c r="AM674" s="55"/>
      <c r="AN674" s="55"/>
    </row>
    <row r="675" spans="1:40" ht="14" x14ac:dyDescent="0.35">
      <c r="A675" s="55" t="str">
        <f t="shared" si="0"/>
        <v/>
      </c>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c r="AA675" s="55"/>
      <c r="AB675" s="55"/>
      <c r="AC675" s="55"/>
      <c r="AD675" s="55"/>
      <c r="AE675" s="55"/>
      <c r="AF675" s="55"/>
      <c r="AG675" s="55"/>
      <c r="AH675" s="55"/>
      <c r="AI675" s="55"/>
      <c r="AJ675" s="55"/>
      <c r="AK675" s="55"/>
      <c r="AL675" s="55"/>
      <c r="AM675" s="55"/>
      <c r="AN675" s="55"/>
    </row>
    <row r="676" spans="1:40" ht="14" x14ac:dyDescent="0.35">
      <c r="A676" s="55" t="str">
        <f t="shared" si="0"/>
        <v/>
      </c>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c r="AA676" s="55"/>
      <c r="AB676" s="55"/>
      <c r="AC676" s="55"/>
      <c r="AD676" s="55"/>
      <c r="AE676" s="55"/>
      <c r="AF676" s="55"/>
      <c r="AG676" s="55"/>
      <c r="AH676" s="55"/>
      <c r="AI676" s="55"/>
      <c r="AJ676" s="55"/>
      <c r="AK676" s="55"/>
      <c r="AL676" s="55"/>
      <c r="AM676" s="55"/>
      <c r="AN676" s="55"/>
    </row>
    <row r="677" spans="1:40" ht="14" x14ac:dyDescent="0.35">
      <c r="A677" s="55" t="str">
        <f t="shared" si="0"/>
        <v/>
      </c>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c r="AA677" s="55"/>
      <c r="AB677" s="55"/>
      <c r="AC677" s="55"/>
      <c r="AD677" s="55"/>
      <c r="AE677" s="55"/>
      <c r="AF677" s="55"/>
      <c r="AG677" s="55"/>
      <c r="AH677" s="55"/>
      <c r="AI677" s="55"/>
      <c r="AJ677" s="55"/>
      <c r="AK677" s="55"/>
      <c r="AL677" s="55"/>
      <c r="AM677" s="55"/>
      <c r="AN677" s="55"/>
    </row>
    <row r="678" spans="1:40" ht="14" x14ac:dyDescent="0.35">
      <c r="A678" s="55" t="str">
        <f t="shared" si="0"/>
        <v/>
      </c>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c r="AA678" s="55"/>
      <c r="AB678" s="55"/>
      <c r="AC678" s="55"/>
      <c r="AD678" s="55"/>
      <c r="AE678" s="55"/>
      <c r="AF678" s="55"/>
      <c r="AG678" s="55"/>
      <c r="AH678" s="55"/>
      <c r="AI678" s="55"/>
      <c r="AJ678" s="55"/>
      <c r="AK678" s="55"/>
      <c r="AL678" s="55"/>
      <c r="AM678" s="55"/>
      <c r="AN678" s="55"/>
    </row>
    <row r="679" spans="1:40" ht="14" x14ac:dyDescent="0.35">
      <c r="A679" s="55" t="str">
        <f t="shared" si="0"/>
        <v/>
      </c>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c r="AA679" s="55"/>
      <c r="AB679" s="55"/>
      <c r="AC679" s="55"/>
      <c r="AD679" s="55"/>
      <c r="AE679" s="55"/>
      <c r="AF679" s="55"/>
      <c r="AG679" s="55"/>
      <c r="AH679" s="55"/>
      <c r="AI679" s="55"/>
      <c r="AJ679" s="55"/>
      <c r="AK679" s="55"/>
      <c r="AL679" s="55"/>
      <c r="AM679" s="55"/>
      <c r="AN679" s="55"/>
    </row>
    <row r="680" spans="1:40" ht="14" x14ac:dyDescent="0.35">
      <c r="A680" s="55" t="str">
        <f t="shared" si="0"/>
        <v/>
      </c>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c r="AA680" s="55"/>
      <c r="AB680" s="55"/>
      <c r="AC680" s="55"/>
      <c r="AD680" s="55"/>
      <c r="AE680" s="55"/>
      <c r="AF680" s="55"/>
      <c r="AG680" s="55"/>
      <c r="AH680" s="55"/>
      <c r="AI680" s="55"/>
      <c r="AJ680" s="55"/>
      <c r="AK680" s="55"/>
      <c r="AL680" s="55"/>
      <c r="AM680" s="55"/>
      <c r="AN680" s="55"/>
    </row>
    <row r="681" spans="1:40" ht="14" x14ac:dyDescent="0.35">
      <c r="A681" s="55" t="str">
        <f t="shared" si="0"/>
        <v/>
      </c>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c r="AA681" s="55"/>
      <c r="AB681" s="55"/>
      <c r="AC681" s="55"/>
      <c r="AD681" s="55"/>
      <c r="AE681" s="55"/>
      <c r="AF681" s="55"/>
      <c r="AG681" s="55"/>
      <c r="AH681" s="55"/>
      <c r="AI681" s="55"/>
      <c r="AJ681" s="55"/>
      <c r="AK681" s="55"/>
      <c r="AL681" s="55"/>
      <c r="AM681" s="55"/>
      <c r="AN681" s="55"/>
    </row>
    <row r="682" spans="1:40" ht="14" x14ac:dyDescent="0.35">
      <c r="A682" s="55" t="str">
        <f t="shared" si="0"/>
        <v/>
      </c>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c r="AA682" s="55"/>
      <c r="AB682" s="55"/>
      <c r="AC682" s="55"/>
      <c r="AD682" s="55"/>
      <c r="AE682" s="55"/>
      <c r="AF682" s="55"/>
      <c r="AG682" s="55"/>
      <c r="AH682" s="55"/>
      <c r="AI682" s="55"/>
      <c r="AJ682" s="55"/>
      <c r="AK682" s="55"/>
      <c r="AL682" s="55"/>
      <c r="AM682" s="55"/>
      <c r="AN682" s="55"/>
    </row>
    <row r="683" spans="1:40" ht="14" x14ac:dyDescent="0.35">
      <c r="A683" s="55" t="str">
        <f t="shared" si="0"/>
        <v/>
      </c>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c r="AA683" s="55"/>
      <c r="AB683" s="55"/>
      <c r="AC683" s="55"/>
      <c r="AD683" s="55"/>
      <c r="AE683" s="55"/>
      <c r="AF683" s="55"/>
      <c r="AG683" s="55"/>
      <c r="AH683" s="55"/>
      <c r="AI683" s="55"/>
      <c r="AJ683" s="55"/>
      <c r="AK683" s="55"/>
      <c r="AL683" s="55"/>
      <c r="AM683" s="55"/>
      <c r="AN683" s="55"/>
    </row>
    <row r="684" spans="1:40" ht="14" x14ac:dyDescent="0.35">
      <c r="A684" s="55" t="str">
        <f t="shared" si="0"/>
        <v/>
      </c>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c r="AA684" s="55"/>
      <c r="AB684" s="55"/>
      <c r="AC684" s="55"/>
      <c r="AD684" s="55"/>
      <c r="AE684" s="55"/>
      <c r="AF684" s="55"/>
      <c r="AG684" s="55"/>
      <c r="AH684" s="55"/>
      <c r="AI684" s="55"/>
      <c r="AJ684" s="55"/>
      <c r="AK684" s="55"/>
      <c r="AL684" s="55"/>
      <c r="AM684" s="55"/>
      <c r="AN684" s="55"/>
    </row>
    <row r="685" spans="1:40" ht="14" x14ac:dyDescent="0.35">
      <c r="A685" s="55" t="str">
        <f t="shared" si="0"/>
        <v/>
      </c>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c r="AA685" s="55"/>
      <c r="AB685" s="55"/>
      <c r="AC685" s="55"/>
      <c r="AD685" s="55"/>
      <c r="AE685" s="55"/>
      <c r="AF685" s="55"/>
      <c r="AG685" s="55"/>
      <c r="AH685" s="55"/>
      <c r="AI685" s="55"/>
      <c r="AJ685" s="55"/>
      <c r="AK685" s="55"/>
      <c r="AL685" s="55"/>
      <c r="AM685" s="55"/>
      <c r="AN685" s="55"/>
    </row>
    <row r="686" spans="1:40" ht="14" x14ac:dyDescent="0.35">
      <c r="A686" s="55" t="str">
        <f t="shared" si="0"/>
        <v/>
      </c>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c r="AA686" s="55"/>
      <c r="AB686" s="55"/>
      <c r="AC686" s="55"/>
      <c r="AD686" s="55"/>
      <c r="AE686" s="55"/>
      <c r="AF686" s="55"/>
      <c r="AG686" s="55"/>
      <c r="AH686" s="55"/>
      <c r="AI686" s="55"/>
      <c r="AJ686" s="55"/>
      <c r="AK686" s="55"/>
      <c r="AL686" s="55"/>
      <c r="AM686" s="55"/>
      <c r="AN686" s="55"/>
    </row>
    <row r="687" spans="1:40" ht="14" x14ac:dyDescent="0.35">
      <c r="A687" s="55" t="str">
        <f t="shared" si="0"/>
        <v/>
      </c>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c r="AA687" s="55"/>
      <c r="AB687" s="55"/>
      <c r="AC687" s="55"/>
      <c r="AD687" s="55"/>
      <c r="AE687" s="55"/>
      <c r="AF687" s="55"/>
      <c r="AG687" s="55"/>
      <c r="AH687" s="55"/>
      <c r="AI687" s="55"/>
      <c r="AJ687" s="55"/>
      <c r="AK687" s="55"/>
      <c r="AL687" s="55"/>
      <c r="AM687" s="55"/>
      <c r="AN687" s="55"/>
    </row>
    <row r="688" spans="1:40" ht="14" x14ac:dyDescent="0.35">
      <c r="A688" s="55" t="str">
        <f t="shared" si="0"/>
        <v/>
      </c>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c r="AA688" s="55"/>
      <c r="AB688" s="55"/>
      <c r="AC688" s="55"/>
      <c r="AD688" s="55"/>
      <c r="AE688" s="55"/>
      <c r="AF688" s="55"/>
      <c r="AG688" s="55"/>
      <c r="AH688" s="55"/>
      <c r="AI688" s="55"/>
      <c r="AJ688" s="55"/>
      <c r="AK688" s="55"/>
      <c r="AL688" s="55"/>
      <c r="AM688" s="55"/>
      <c r="AN688" s="55"/>
    </row>
    <row r="689" spans="1:40" ht="14" x14ac:dyDescent="0.35">
      <c r="A689" s="55" t="str">
        <f t="shared" si="0"/>
        <v/>
      </c>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c r="AA689" s="55"/>
      <c r="AB689" s="55"/>
      <c r="AC689" s="55"/>
      <c r="AD689" s="55"/>
      <c r="AE689" s="55"/>
      <c r="AF689" s="55"/>
      <c r="AG689" s="55"/>
      <c r="AH689" s="55"/>
      <c r="AI689" s="55"/>
      <c r="AJ689" s="55"/>
      <c r="AK689" s="55"/>
      <c r="AL689" s="55"/>
      <c r="AM689" s="55"/>
      <c r="AN689" s="55"/>
    </row>
    <row r="690" spans="1:40" ht="14" x14ac:dyDescent="0.35">
      <c r="A690" s="55" t="str">
        <f t="shared" si="0"/>
        <v/>
      </c>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c r="AA690" s="55"/>
      <c r="AB690" s="55"/>
      <c r="AC690" s="55"/>
      <c r="AD690" s="55"/>
      <c r="AE690" s="55"/>
      <c r="AF690" s="55"/>
      <c r="AG690" s="55"/>
      <c r="AH690" s="55"/>
      <c r="AI690" s="55"/>
      <c r="AJ690" s="55"/>
      <c r="AK690" s="55"/>
      <c r="AL690" s="55"/>
      <c r="AM690" s="55"/>
      <c r="AN690" s="55"/>
    </row>
    <row r="691" spans="1:40" ht="14" x14ac:dyDescent="0.35">
      <c r="A691" s="55" t="str">
        <f t="shared" si="0"/>
        <v/>
      </c>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c r="AA691" s="55"/>
      <c r="AB691" s="55"/>
      <c r="AC691" s="55"/>
      <c r="AD691" s="55"/>
      <c r="AE691" s="55"/>
      <c r="AF691" s="55"/>
      <c r="AG691" s="55"/>
      <c r="AH691" s="55"/>
      <c r="AI691" s="55"/>
      <c r="AJ691" s="55"/>
      <c r="AK691" s="55"/>
      <c r="AL691" s="55"/>
      <c r="AM691" s="55"/>
      <c r="AN691" s="55"/>
    </row>
    <row r="692" spans="1:40" ht="14" x14ac:dyDescent="0.35">
      <c r="A692" s="55" t="str">
        <f t="shared" si="0"/>
        <v/>
      </c>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c r="AA692" s="55"/>
      <c r="AB692" s="55"/>
      <c r="AC692" s="55"/>
      <c r="AD692" s="55"/>
      <c r="AE692" s="55"/>
      <c r="AF692" s="55"/>
      <c r="AG692" s="55"/>
      <c r="AH692" s="55"/>
      <c r="AI692" s="55"/>
      <c r="AJ692" s="55"/>
      <c r="AK692" s="55"/>
      <c r="AL692" s="55"/>
      <c r="AM692" s="55"/>
      <c r="AN692" s="55"/>
    </row>
    <row r="693" spans="1:40" ht="14" x14ac:dyDescent="0.35">
      <c r="A693" s="55" t="str">
        <f t="shared" si="0"/>
        <v/>
      </c>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c r="AA693" s="55"/>
      <c r="AB693" s="55"/>
      <c r="AC693" s="55"/>
      <c r="AD693" s="55"/>
      <c r="AE693" s="55"/>
      <c r="AF693" s="55"/>
      <c r="AG693" s="55"/>
      <c r="AH693" s="55"/>
      <c r="AI693" s="55"/>
      <c r="AJ693" s="55"/>
      <c r="AK693" s="55"/>
      <c r="AL693" s="55"/>
      <c r="AM693" s="55"/>
      <c r="AN693" s="55"/>
    </row>
    <row r="694" spans="1:40" ht="14" x14ac:dyDescent="0.35">
      <c r="A694" s="55" t="str">
        <f t="shared" si="0"/>
        <v/>
      </c>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c r="AA694" s="55"/>
      <c r="AB694" s="55"/>
      <c r="AC694" s="55"/>
      <c r="AD694" s="55"/>
      <c r="AE694" s="55"/>
      <c r="AF694" s="55"/>
      <c r="AG694" s="55"/>
      <c r="AH694" s="55"/>
      <c r="AI694" s="55"/>
      <c r="AJ694" s="55"/>
      <c r="AK694" s="55"/>
      <c r="AL694" s="55"/>
      <c r="AM694" s="55"/>
      <c r="AN694" s="55"/>
    </row>
    <row r="695" spans="1:40" ht="14" x14ac:dyDescent="0.35">
      <c r="A695" s="55" t="str">
        <f t="shared" si="0"/>
        <v/>
      </c>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c r="AA695" s="55"/>
      <c r="AB695" s="55"/>
      <c r="AC695" s="55"/>
      <c r="AD695" s="55"/>
      <c r="AE695" s="55"/>
      <c r="AF695" s="55"/>
      <c r="AG695" s="55"/>
      <c r="AH695" s="55"/>
      <c r="AI695" s="55"/>
      <c r="AJ695" s="55"/>
      <c r="AK695" s="55"/>
      <c r="AL695" s="55"/>
      <c r="AM695" s="55"/>
      <c r="AN695" s="55"/>
    </row>
    <row r="696" spans="1:40" ht="14" x14ac:dyDescent="0.35">
      <c r="A696" s="55" t="str">
        <f t="shared" si="0"/>
        <v/>
      </c>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c r="AA696" s="55"/>
      <c r="AB696" s="55"/>
      <c r="AC696" s="55"/>
      <c r="AD696" s="55"/>
      <c r="AE696" s="55"/>
      <c r="AF696" s="55"/>
      <c r="AG696" s="55"/>
      <c r="AH696" s="55"/>
      <c r="AI696" s="55"/>
      <c r="AJ696" s="55"/>
      <c r="AK696" s="55"/>
      <c r="AL696" s="55"/>
      <c r="AM696" s="55"/>
      <c r="AN696" s="55"/>
    </row>
    <row r="697" spans="1:40" ht="14" x14ac:dyDescent="0.35">
      <c r="A697" s="55" t="str">
        <f t="shared" si="0"/>
        <v/>
      </c>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c r="AA697" s="55"/>
      <c r="AB697" s="55"/>
      <c r="AC697" s="55"/>
      <c r="AD697" s="55"/>
      <c r="AE697" s="55"/>
      <c r="AF697" s="55"/>
      <c r="AG697" s="55"/>
      <c r="AH697" s="55"/>
      <c r="AI697" s="55"/>
      <c r="AJ697" s="55"/>
      <c r="AK697" s="55"/>
      <c r="AL697" s="55"/>
      <c r="AM697" s="55"/>
      <c r="AN697" s="55"/>
    </row>
    <row r="698" spans="1:40" ht="14" x14ac:dyDescent="0.35">
      <c r="A698" s="55" t="str">
        <f t="shared" si="0"/>
        <v/>
      </c>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c r="AA698" s="55"/>
      <c r="AB698" s="55"/>
      <c r="AC698" s="55"/>
      <c r="AD698" s="55"/>
      <c r="AE698" s="55"/>
      <c r="AF698" s="55"/>
      <c r="AG698" s="55"/>
      <c r="AH698" s="55"/>
      <c r="AI698" s="55"/>
      <c r="AJ698" s="55"/>
      <c r="AK698" s="55"/>
      <c r="AL698" s="55"/>
      <c r="AM698" s="55"/>
      <c r="AN698" s="55"/>
    </row>
    <row r="699" spans="1:40" ht="14" x14ac:dyDescent="0.35">
      <c r="A699" s="55" t="str">
        <f t="shared" si="0"/>
        <v/>
      </c>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c r="AA699" s="55"/>
      <c r="AB699" s="55"/>
      <c r="AC699" s="55"/>
      <c r="AD699" s="55"/>
      <c r="AE699" s="55"/>
      <c r="AF699" s="55"/>
      <c r="AG699" s="55"/>
      <c r="AH699" s="55"/>
      <c r="AI699" s="55"/>
      <c r="AJ699" s="55"/>
      <c r="AK699" s="55"/>
      <c r="AL699" s="55"/>
      <c r="AM699" s="55"/>
      <c r="AN699" s="55"/>
    </row>
    <row r="700" spans="1:40" ht="14" x14ac:dyDescent="0.35">
      <c r="A700" s="55" t="str">
        <f t="shared" si="0"/>
        <v/>
      </c>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c r="AA700" s="55"/>
      <c r="AB700" s="55"/>
      <c r="AC700" s="55"/>
      <c r="AD700" s="55"/>
      <c r="AE700" s="55"/>
      <c r="AF700" s="55"/>
      <c r="AG700" s="55"/>
      <c r="AH700" s="55"/>
      <c r="AI700" s="55"/>
      <c r="AJ700" s="55"/>
      <c r="AK700" s="55"/>
      <c r="AL700" s="55"/>
      <c r="AM700" s="55"/>
      <c r="AN700" s="55"/>
    </row>
    <row r="701" spans="1:40" ht="14" x14ac:dyDescent="0.35">
      <c r="A701" s="55" t="str">
        <f t="shared" si="0"/>
        <v/>
      </c>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c r="AA701" s="55"/>
      <c r="AB701" s="55"/>
      <c r="AC701" s="55"/>
      <c r="AD701" s="55"/>
      <c r="AE701" s="55"/>
      <c r="AF701" s="55"/>
      <c r="AG701" s="55"/>
      <c r="AH701" s="55"/>
      <c r="AI701" s="55"/>
      <c r="AJ701" s="55"/>
      <c r="AK701" s="55"/>
      <c r="AL701" s="55"/>
      <c r="AM701" s="55"/>
      <c r="AN701" s="55"/>
    </row>
    <row r="702" spans="1:40" ht="14" x14ac:dyDescent="0.35">
      <c r="A702" s="55" t="str">
        <f t="shared" si="0"/>
        <v/>
      </c>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c r="AA702" s="55"/>
      <c r="AB702" s="55"/>
      <c r="AC702" s="55"/>
      <c r="AD702" s="55"/>
      <c r="AE702" s="55"/>
      <c r="AF702" s="55"/>
      <c r="AG702" s="55"/>
      <c r="AH702" s="55"/>
      <c r="AI702" s="55"/>
      <c r="AJ702" s="55"/>
      <c r="AK702" s="55"/>
      <c r="AL702" s="55"/>
      <c r="AM702" s="55"/>
      <c r="AN702" s="55"/>
    </row>
    <row r="703" spans="1:40" ht="14" x14ac:dyDescent="0.35">
      <c r="A703" s="55" t="str">
        <f t="shared" si="0"/>
        <v/>
      </c>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c r="AA703" s="55"/>
      <c r="AB703" s="55"/>
      <c r="AC703" s="55"/>
      <c r="AD703" s="55"/>
      <c r="AE703" s="55"/>
      <c r="AF703" s="55"/>
      <c r="AG703" s="55"/>
      <c r="AH703" s="55"/>
      <c r="AI703" s="55"/>
      <c r="AJ703" s="55"/>
      <c r="AK703" s="55"/>
      <c r="AL703" s="55"/>
      <c r="AM703" s="55"/>
      <c r="AN703" s="55"/>
    </row>
    <row r="704" spans="1:40" ht="14" x14ac:dyDescent="0.35">
      <c r="A704" s="55" t="str">
        <f t="shared" si="0"/>
        <v/>
      </c>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c r="AA704" s="55"/>
      <c r="AB704" s="55"/>
      <c r="AC704" s="55"/>
      <c r="AD704" s="55"/>
      <c r="AE704" s="55"/>
      <c r="AF704" s="55"/>
      <c r="AG704" s="55"/>
      <c r="AH704" s="55"/>
      <c r="AI704" s="55"/>
      <c r="AJ704" s="55"/>
      <c r="AK704" s="55"/>
      <c r="AL704" s="55"/>
      <c r="AM704" s="55"/>
      <c r="AN704" s="55"/>
    </row>
    <row r="705" spans="1:40" ht="14" x14ac:dyDescent="0.35">
      <c r="A705" s="55" t="str">
        <f t="shared" si="0"/>
        <v/>
      </c>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c r="AA705" s="55"/>
      <c r="AB705" s="55"/>
      <c r="AC705" s="55"/>
      <c r="AD705" s="55"/>
      <c r="AE705" s="55"/>
      <c r="AF705" s="55"/>
      <c r="AG705" s="55"/>
      <c r="AH705" s="55"/>
      <c r="AI705" s="55"/>
      <c r="AJ705" s="55"/>
      <c r="AK705" s="55"/>
      <c r="AL705" s="55"/>
      <c r="AM705" s="55"/>
      <c r="AN705" s="55"/>
    </row>
    <row r="706" spans="1:40" ht="14" x14ac:dyDescent="0.35">
      <c r="A706" s="55" t="str">
        <f t="shared" si="0"/>
        <v/>
      </c>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c r="AA706" s="55"/>
      <c r="AB706" s="55"/>
      <c r="AC706" s="55"/>
      <c r="AD706" s="55"/>
      <c r="AE706" s="55"/>
      <c r="AF706" s="55"/>
      <c r="AG706" s="55"/>
      <c r="AH706" s="55"/>
      <c r="AI706" s="55"/>
      <c r="AJ706" s="55"/>
      <c r="AK706" s="55"/>
      <c r="AL706" s="55"/>
      <c r="AM706" s="55"/>
      <c r="AN706" s="55"/>
    </row>
    <row r="707" spans="1:40" ht="14" x14ac:dyDescent="0.35">
      <c r="A707" s="55" t="str">
        <f t="shared" si="0"/>
        <v/>
      </c>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c r="AA707" s="55"/>
      <c r="AB707" s="55"/>
      <c r="AC707" s="55"/>
      <c r="AD707" s="55"/>
      <c r="AE707" s="55"/>
      <c r="AF707" s="55"/>
      <c r="AG707" s="55"/>
      <c r="AH707" s="55"/>
      <c r="AI707" s="55"/>
      <c r="AJ707" s="55"/>
      <c r="AK707" s="55"/>
      <c r="AL707" s="55"/>
      <c r="AM707" s="55"/>
      <c r="AN707" s="55"/>
    </row>
    <row r="708" spans="1:40" ht="14" x14ac:dyDescent="0.35">
      <c r="A708" s="55" t="str">
        <f t="shared" si="0"/>
        <v/>
      </c>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c r="AA708" s="55"/>
      <c r="AB708" s="55"/>
      <c r="AC708" s="55"/>
      <c r="AD708" s="55"/>
      <c r="AE708" s="55"/>
      <c r="AF708" s="55"/>
      <c r="AG708" s="55"/>
      <c r="AH708" s="55"/>
      <c r="AI708" s="55"/>
      <c r="AJ708" s="55"/>
      <c r="AK708" s="55"/>
      <c r="AL708" s="55"/>
      <c r="AM708" s="55"/>
      <c r="AN708" s="55"/>
    </row>
    <row r="709" spans="1:40" ht="14" x14ac:dyDescent="0.35">
      <c r="A709" s="55" t="str">
        <f t="shared" si="0"/>
        <v/>
      </c>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c r="AA709" s="55"/>
      <c r="AB709" s="55"/>
      <c r="AC709" s="55"/>
      <c r="AD709" s="55"/>
      <c r="AE709" s="55"/>
      <c r="AF709" s="55"/>
      <c r="AG709" s="55"/>
      <c r="AH709" s="55"/>
      <c r="AI709" s="55"/>
      <c r="AJ709" s="55"/>
      <c r="AK709" s="55"/>
      <c r="AL709" s="55"/>
      <c r="AM709" s="55"/>
      <c r="AN709" s="55"/>
    </row>
    <row r="710" spans="1:40" ht="14" x14ac:dyDescent="0.35">
      <c r="A710" s="55" t="str">
        <f t="shared" si="0"/>
        <v/>
      </c>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c r="AA710" s="55"/>
      <c r="AB710" s="55"/>
      <c r="AC710" s="55"/>
      <c r="AD710" s="55"/>
      <c r="AE710" s="55"/>
      <c r="AF710" s="55"/>
      <c r="AG710" s="55"/>
      <c r="AH710" s="55"/>
      <c r="AI710" s="55"/>
      <c r="AJ710" s="55"/>
      <c r="AK710" s="55"/>
      <c r="AL710" s="55"/>
      <c r="AM710" s="55"/>
      <c r="AN710" s="55"/>
    </row>
    <row r="711" spans="1:40" ht="14" x14ac:dyDescent="0.35">
      <c r="A711" s="55" t="str">
        <f t="shared" si="0"/>
        <v/>
      </c>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c r="AA711" s="55"/>
      <c r="AB711" s="55"/>
      <c r="AC711" s="55"/>
      <c r="AD711" s="55"/>
      <c r="AE711" s="55"/>
      <c r="AF711" s="55"/>
      <c r="AG711" s="55"/>
      <c r="AH711" s="55"/>
      <c r="AI711" s="55"/>
      <c r="AJ711" s="55"/>
      <c r="AK711" s="55"/>
      <c r="AL711" s="55"/>
      <c r="AM711" s="55"/>
      <c r="AN711" s="55"/>
    </row>
    <row r="712" spans="1:40" ht="14" x14ac:dyDescent="0.35">
      <c r="A712" s="55" t="str">
        <f t="shared" si="0"/>
        <v/>
      </c>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c r="AA712" s="55"/>
      <c r="AB712" s="55"/>
      <c r="AC712" s="55"/>
      <c r="AD712" s="55"/>
      <c r="AE712" s="55"/>
      <c r="AF712" s="55"/>
      <c r="AG712" s="55"/>
      <c r="AH712" s="55"/>
      <c r="AI712" s="55"/>
      <c r="AJ712" s="55"/>
      <c r="AK712" s="55"/>
      <c r="AL712" s="55"/>
      <c r="AM712" s="55"/>
      <c r="AN712" s="55"/>
    </row>
    <row r="713" spans="1:40" ht="14" x14ac:dyDescent="0.35">
      <c r="A713" s="55" t="str">
        <f t="shared" si="0"/>
        <v/>
      </c>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c r="AA713" s="55"/>
      <c r="AB713" s="55"/>
      <c r="AC713" s="55"/>
      <c r="AD713" s="55"/>
      <c r="AE713" s="55"/>
      <c r="AF713" s="55"/>
      <c r="AG713" s="55"/>
      <c r="AH713" s="55"/>
      <c r="AI713" s="55"/>
      <c r="AJ713" s="55"/>
      <c r="AK713" s="55"/>
      <c r="AL713" s="55"/>
      <c r="AM713" s="55"/>
      <c r="AN713" s="55"/>
    </row>
    <row r="714" spans="1:40" ht="14" x14ac:dyDescent="0.35">
      <c r="A714" s="55" t="str">
        <f t="shared" si="0"/>
        <v/>
      </c>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c r="AA714" s="55"/>
      <c r="AB714" s="55"/>
      <c r="AC714" s="55"/>
      <c r="AD714" s="55"/>
      <c r="AE714" s="55"/>
      <c r="AF714" s="55"/>
      <c r="AG714" s="55"/>
      <c r="AH714" s="55"/>
      <c r="AI714" s="55"/>
      <c r="AJ714" s="55"/>
      <c r="AK714" s="55"/>
      <c r="AL714" s="55"/>
      <c r="AM714" s="55"/>
      <c r="AN714" s="55"/>
    </row>
    <row r="715" spans="1:40" ht="14" x14ac:dyDescent="0.35">
      <c r="A715" s="55" t="str">
        <f t="shared" si="0"/>
        <v/>
      </c>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c r="AA715" s="55"/>
      <c r="AB715" s="55"/>
      <c r="AC715" s="55"/>
      <c r="AD715" s="55"/>
      <c r="AE715" s="55"/>
      <c r="AF715" s="55"/>
      <c r="AG715" s="55"/>
      <c r="AH715" s="55"/>
      <c r="AI715" s="55"/>
      <c r="AJ715" s="55"/>
      <c r="AK715" s="55"/>
      <c r="AL715" s="55"/>
      <c r="AM715" s="55"/>
      <c r="AN715" s="55"/>
    </row>
    <row r="716" spans="1:40" ht="14" x14ac:dyDescent="0.35">
      <c r="A716" s="55" t="str">
        <f t="shared" si="0"/>
        <v/>
      </c>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c r="AA716" s="55"/>
      <c r="AB716" s="55"/>
      <c r="AC716" s="55"/>
      <c r="AD716" s="55"/>
      <c r="AE716" s="55"/>
      <c r="AF716" s="55"/>
      <c r="AG716" s="55"/>
      <c r="AH716" s="55"/>
      <c r="AI716" s="55"/>
      <c r="AJ716" s="55"/>
      <c r="AK716" s="55"/>
      <c r="AL716" s="55"/>
      <c r="AM716" s="55"/>
      <c r="AN716" s="55"/>
    </row>
    <row r="717" spans="1:40" ht="14" x14ac:dyDescent="0.35">
      <c r="A717" s="55" t="str">
        <f t="shared" si="0"/>
        <v/>
      </c>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c r="AA717" s="55"/>
      <c r="AB717" s="55"/>
      <c r="AC717" s="55"/>
      <c r="AD717" s="55"/>
      <c r="AE717" s="55"/>
      <c r="AF717" s="55"/>
      <c r="AG717" s="55"/>
      <c r="AH717" s="55"/>
      <c r="AI717" s="55"/>
      <c r="AJ717" s="55"/>
      <c r="AK717" s="55"/>
      <c r="AL717" s="55"/>
      <c r="AM717" s="55"/>
      <c r="AN717" s="55"/>
    </row>
    <row r="718" spans="1:40" ht="14" x14ac:dyDescent="0.35">
      <c r="A718" s="55" t="str">
        <f t="shared" si="0"/>
        <v/>
      </c>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c r="AA718" s="55"/>
      <c r="AB718" s="55"/>
      <c r="AC718" s="55"/>
      <c r="AD718" s="55"/>
      <c r="AE718" s="55"/>
      <c r="AF718" s="55"/>
      <c r="AG718" s="55"/>
      <c r="AH718" s="55"/>
      <c r="AI718" s="55"/>
      <c r="AJ718" s="55"/>
      <c r="AK718" s="55"/>
      <c r="AL718" s="55"/>
      <c r="AM718" s="55"/>
      <c r="AN718" s="55"/>
    </row>
    <row r="719" spans="1:40" ht="14" x14ac:dyDescent="0.35">
      <c r="A719" s="55" t="str">
        <f t="shared" si="0"/>
        <v/>
      </c>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c r="AA719" s="55"/>
      <c r="AB719" s="55"/>
      <c r="AC719" s="55"/>
      <c r="AD719" s="55"/>
      <c r="AE719" s="55"/>
      <c r="AF719" s="55"/>
      <c r="AG719" s="55"/>
      <c r="AH719" s="55"/>
      <c r="AI719" s="55"/>
      <c r="AJ719" s="55"/>
      <c r="AK719" s="55"/>
      <c r="AL719" s="55"/>
      <c r="AM719" s="55"/>
      <c r="AN719" s="55"/>
    </row>
    <row r="720" spans="1:40" ht="14" x14ac:dyDescent="0.35">
      <c r="A720" s="55" t="str">
        <f t="shared" si="0"/>
        <v/>
      </c>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c r="AA720" s="55"/>
      <c r="AB720" s="55"/>
      <c r="AC720" s="55"/>
      <c r="AD720" s="55"/>
      <c r="AE720" s="55"/>
      <c r="AF720" s="55"/>
      <c r="AG720" s="55"/>
      <c r="AH720" s="55"/>
      <c r="AI720" s="55"/>
      <c r="AJ720" s="55"/>
      <c r="AK720" s="55"/>
      <c r="AL720" s="55"/>
      <c r="AM720" s="55"/>
      <c r="AN720" s="55"/>
    </row>
    <row r="721" spans="1:40" ht="14" x14ac:dyDescent="0.35">
      <c r="A721" s="55" t="str">
        <f t="shared" si="0"/>
        <v/>
      </c>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c r="AA721" s="55"/>
      <c r="AB721" s="55"/>
      <c r="AC721" s="55"/>
      <c r="AD721" s="55"/>
      <c r="AE721" s="55"/>
      <c r="AF721" s="55"/>
      <c r="AG721" s="55"/>
      <c r="AH721" s="55"/>
      <c r="AI721" s="55"/>
      <c r="AJ721" s="55"/>
      <c r="AK721" s="55"/>
      <c r="AL721" s="55"/>
      <c r="AM721" s="55"/>
      <c r="AN721" s="55"/>
    </row>
    <row r="722" spans="1:40" ht="14" x14ac:dyDescent="0.35">
      <c r="A722" s="55" t="str">
        <f t="shared" si="0"/>
        <v/>
      </c>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c r="AA722" s="55"/>
      <c r="AB722" s="55"/>
      <c r="AC722" s="55"/>
      <c r="AD722" s="55"/>
      <c r="AE722" s="55"/>
      <c r="AF722" s="55"/>
      <c r="AG722" s="55"/>
      <c r="AH722" s="55"/>
      <c r="AI722" s="55"/>
      <c r="AJ722" s="55"/>
      <c r="AK722" s="55"/>
      <c r="AL722" s="55"/>
      <c r="AM722" s="55"/>
      <c r="AN722" s="55"/>
    </row>
    <row r="723" spans="1:40" ht="14" x14ac:dyDescent="0.35">
      <c r="A723" s="55" t="str">
        <f t="shared" si="0"/>
        <v/>
      </c>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c r="AA723" s="55"/>
      <c r="AB723" s="55"/>
      <c r="AC723" s="55"/>
      <c r="AD723" s="55"/>
      <c r="AE723" s="55"/>
      <c r="AF723" s="55"/>
      <c r="AG723" s="55"/>
      <c r="AH723" s="55"/>
      <c r="AI723" s="55"/>
      <c r="AJ723" s="55"/>
      <c r="AK723" s="55"/>
      <c r="AL723" s="55"/>
      <c r="AM723" s="55"/>
      <c r="AN723" s="55"/>
    </row>
    <row r="724" spans="1:40" ht="14" x14ac:dyDescent="0.35">
      <c r="A724" s="55" t="str">
        <f t="shared" si="0"/>
        <v/>
      </c>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c r="AA724" s="55"/>
      <c r="AB724" s="55"/>
      <c r="AC724" s="55"/>
      <c r="AD724" s="55"/>
      <c r="AE724" s="55"/>
      <c r="AF724" s="55"/>
      <c r="AG724" s="55"/>
      <c r="AH724" s="55"/>
      <c r="AI724" s="55"/>
      <c r="AJ724" s="55"/>
      <c r="AK724" s="55"/>
      <c r="AL724" s="55"/>
      <c r="AM724" s="55"/>
      <c r="AN724" s="55"/>
    </row>
    <row r="725" spans="1:40" ht="14" x14ac:dyDescent="0.35">
      <c r="A725" s="55" t="str">
        <f t="shared" si="0"/>
        <v/>
      </c>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c r="AA725" s="55"/>
      <c r="AB725" s="55"/>
      <c r="AC725" s="55"/>
      <c r="AD725" s="55"/>
      <c r="AE725" s="55"/>
      <c r="AF725" s="55"/>
      <c r="AG725" s="55"/>
      <c r="AH725" s="55"/>
      <c r="AI725" s="55"/>
      <c r="AJ725" s="55"/>
      <c r="AK725" s="55"/>
      <c r="AL725" s="55"/>
      <c r="AM725" s="55"/>
      <c r="AN725" s="55"/>
    </row>
    <row r="726" spans="1:40" ht="14" x14ac:dyDescent="0.35">
      <c r="A726" s="55" t="str">
        <f t="shared" si="0"/>
        <v/>
      </c>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c r="AA726" s="55"/>
      <c r="AB726" s="55"/>
      <c r="AC726" s="55"/>
      <c r="AD726" s="55"/>
      <c r="AE726" s="55"/>
      <c r="AF726" s="55"/>
      <c r="AG726" s="55"/>
      <c r="AH726" s="55"/>
      <c r="AI726" s="55"/>
      <c r="AJ726" s="55"/>
      <c r="AK726" s="55"/>
      <c r="AL726" s="55"/>
      <c r="AM726" s="55"/>
      <c r="AN726" s="55"/>
    </row>
    <row r="727" spans="1:40" ht="14" x14ac:dyDescent="0.35">
      <c r="A727" s="55" t="str">
        <f t="shared" si="0"/>
        <v/>
      </c>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c r="AA727" s="55"/>
      <c r="AB727" s="55"/>
      <c r="AC727" s="55"/>
      <c r="AD727" s="55"/>
      <c r="AE727" s="55"/>
      <c r="AF727" s="55"/>
      <c r="AG727" s="55"/>
      <c r="AH727" s="55"/>
      <c r="AI727" s="55"/>
      <c r="AJ727" s="55"/>
      <c r="AK727" s="55"/>
      <c r="AL727" s="55"/>
      <c r="AM727" s="55"/>
      <c r="AN727" s="55"/>
    </row>
    <row r="728" spans="1:40" ht="14" x14ac:dyDescent="0.35">
      <c r="A728" s="55" t="str">
        <f t="shared" si="0"/>
        <v/>
      </c>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c r="AA728" s="55"/>
      <c r="AB728" s="55"/>
      <c r="AC728" s="55"/>
      <c r="AD728" s="55"/>
      <c r="AE728" s="55"/>
      <c r="AF728" s="55"/>
      <c r="AG728" s="55"/>
      <c r="AH728" s="55"/>
      <c r="AI728" s="55"/>
      <c r="AJ728" s="55"/>
      <c r="AK728" s="55"/>
      <c r="AL728" s="55"/>
      <c r="AM728" s="55"/>
      <c r="AN728" s="55"/>
    </row>
    <row r="729" spans="1:40" ht="14" x14ac:dyDescent="0.35">
      <c r="A729" s="55" t="str">
        <f t="shared" si="0"/>
        <v/>
      </c>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c r="AA729" s="55"/>
      <c r="AB729" s="55"/>
      <c r="AC729" s="55"/>
      <c r="AD729" s="55"/>
      <c r="AE729" s="55"/>
      <c r="AF729" s="55"/>
      <c r="AG729" s="55"/>
      <c r="AH729" s="55"/>
      <c r="AI729" s="55"/>
      <c r="AJ729" s="55"/>
      <c r="AK729" s="55"/>
      <c r="AL729" s="55"/>
      <c r="AM729" s="55"/>
      <c r="AN729" s="55"/>
    </row>
    <row r="730" spans="1:40" ht="14" x14ac:dyDescent="0.35">
      <c r="A730" s="55" t="str">
        <f t="shared" si="0"/>
        <v/>
      </c>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c r="AA730" s="55"/>
      <c r="AB730" s="55"/>
      <c r="AC730" s="55"/>
      <c r="AD730" s="55"/>
      <c r="AE730" s="55"/>
      <c r="AF730" s="55"/>
      <c r="AG730" s="55"/>
      <c r="AH730" s="55"/>
      <c r="AI730" s="55"/>
      <c r="AJ730" s="55"/>
      <c r="AK730" s="55"/>
      <c r="AL730" s="55"/>
      <c r="AM730" s="55"/>
      <c r="AN730" s="55"/>
    </row>
    <row r="731" spans="1:40" ht="14" x14ac:dyDescent="0.35">
      <c r="A731" s="55" t="str">
        <f t="shared" si="0"/>
        <v/>
      </c>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c r="AA731" s="55"/>
      <c r="AB731" s="55"/>
      <c r="AC731" s="55"/>
      <c r="AD731" s="55"/>
      <c r="AE731" s="55"/>
      <c r="AF731" s="55"/>
      <c r="AG731" s="55"/>
      <c r="AH731" s="55"/>
      <c r="AI731" s="55"/>
      <c r="AJ731" s="55"/>
      <c r="AK731" s="55"/>
      <c r="AL731" s="55"/>
      <c r="AM731" s="55"/>
      <c r="AN731" s="55"/>
    </row>
    <row r="732" spans="1:40" ht="14" x14ac:dyDescent="0.35">
      <c r="A732" s="55" t="str">
        <f t="shared" si="0"/>
        <v/>
      </c>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c r="AA732" s="55"/>
      <c r="AB732" s="55"/>
      <c r="AC732" s="55"/>
      <c r="AD732" s="55"/>
      <c r="AE732" s="55"/>
      <c r="AF732" s="55"/>
      <c r="AG732" s="55"/>
      <c r="AH732" s="55"/>
      <c r="AI732" s="55"/>
      <c r="AJ732" s="55"/>
      <c r="AK732" s="55"/>
      <c r="AL732" s="55"/>
      <c r="AM732" s="55"/>
      <c r="AN732" s="55"/>
    </row>
    <row r="733" spans="1:40" ht="14" x14ac:dyDescent="0.35">
      <c r="A733" s="55" t="str">
        <f t="shared" si="0"/>
        <v/>
      </c>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c r="AA733" s="55"/>
      <c r="AB733" s="55"/>
      <c r="AC733" s="55"/>
      <c r="AD733" s="55"/>
      <c r="AE733" s="55"/>
      <c r="AF733" s="55"/>
      <c r="AG733" s="55"/>
      <c r="AH733" s="55"/>
      <c r="AI733" s="55"/>
      <c r="AJ733" s="55"/>
      <c r="AK733" s="55"/>
      <c r="AL733" s="55"/>
      <c r="AM733" s="55"/>
      <c r="AN733" s="55"/>
    </row>
    <row r="734" spans="1:40" ht="14" x14ac:dyDescent="0.35">
      <c r="A734" s="55" t="str">
        <f t="shared" si="0"/>
        <v/>
      </c>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c r="AA734" s="55"/>
      <c r="AB734" s="55"/>
      <c r="AC734" s="55"/>
      <c r="AD734" s="55"/>
      <c r="AE734" s="55"/>
      <c r="AF734" s="55"/>
      <c r="AG734" s="55"/>
      <c r="AH734" s="55"/>
      <c r="AI734" s="55"/>
      <c r="AJ734" s="55"/>
      <c r="AK734" s="55"/>
      <c r="AL734" s="55"/>
      <c r="AM734" s="55"/>
      <c r="AN734" s="55"/>
    </row>
    <row r="735" spans="1:40" ht="14" x14ac:dyDescent="0.35">
      <c r="A735" s="55" t="str">
        <f t="shared" si="0"/>
        <v/>
      </c>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c r="AA735" s="55"/>
      <c r="AB735" s="55"/>
      <c r="AC735" s="55"/>
      <c r="AD735" s="55"/>
      <c r="AE735" s="55"/>
      <c r="AF735" s="55"/>
      <c r="AG735" s="55"/>
      <c r="AH735" s="55"/>
      <c r="AI735" s="55"/>
      <c r="AJ735" s="55"/>
      <c r="AK735" s="55"/>
      <c r="AL735" s="55"/>
      <c r="AM735" s="55"/>
      <c r="AN735" s="55"/>
    </row>
    <row r="736" spans="1:40" ht="14" x14ac:dyDescent="0.35">
      <c r="A736" s="55" t="str">
        <f t="shared" si="0"/>
        <v/>
      </c>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c r="AA736" s="55"/>
      <c r="AB736" s="55"/>
      <c r="AC736" s="55"/>
      <c r="AD736" s="55"/>
      <c r="AE736" s="55"/>
      <c r="AF736" s="55"/>
      <c r="AG736" s="55"/>
      <c r="AH736" s="55"/>
      <c r="AI736" s="55"/>
      <c r="AJ736" s="55"/>
      <c r="AK736" s="55"/>
      <c r="AL736" s="55"/>
      <c r="AM736" s="55"/>
      <c r="AN736" s="55"/>
    </row>
    <row r="737" spans="1:40" ht="14" x14ac:dyDescent="0.35">
      <c r="A737" s="55" t="str">
        <f t="shared" si="0"/>
        <v/>
      </c>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c r="AA737" s="55"/>
      <c r="AB737" s="55"/>
      <c r="AC737" s="55"/>
      <c r="AD737" s="55"/>
      <c r="AE737" s="55"/>
      <c r="AF737" s="55"/>
      <c r="AG737" s="55"/>
      <c r="AH737" s="55"/>
      <c r="AI737" s="55"/>
      <c r="AJ737" s="55"/>
      <c r="AK737" s="55"/>
      <c r="AL737" s="55"/>
      <c r="AM737" s="55"/>
      <c r="AN737" s="55"/>
    </row>
    <row r="738" spans="1:40" ht="14" x14ac:dyDescent="0.35">
      <c r="A738" s="55" t="str">
        <f t="shared" si="0"/>
        <v/>
      </c>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c r="AA738" s="55"/>
      <c r="AB738" s="55"/>
      <c r="AC738" s="55"/>
      <c r="AD738" s="55"/>
      <c r="AE738" s="55"/>
      <c r="AF738" s="55"/>
      <c r="AG738" s="55"/>
      <c r="AH738" s="55"/>
      <c r="AI738" s="55"/>
      <c r="AJ738" s="55"/>
      <c r="AK738" s="55"/>
      <c r="AL738" s="55"/>
      <c r="AM738" s="55"/>
      <c r="AN738" s="55"/>
    </row>
    <row r="739" spans="1:40" ht="14" x14ac:dyDescent="0.35">
      <c r="A739" s="55" t="str">
        <f t="shared" si="0"/>
        <v/>
      </c>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c r="AA739" s="55"/>
      <c r="AB739" s="55"/>
      <c r="AC739" s="55"/>
      <c r="AD739" s="55"/>
      <c r="AE739" s="55"/>
      <c r="AF739" s="55"/>
      <c r="AG739" s="55"/>
      <c r="AH739" s="55"/>
      <c r="AI739" s="55"/>
      <c r="AJ739" s="55"/>
      <c r="AK739" s="55"/>
      <c r="AL739" s="55"/>
      <c r="AM739" s="55"/>
      <c r="AN739" s="55"/>
    </row>
    <row r="740" spans="1:40" ht="14" x14ac:dyDescent="0.35">
      <c r="A740" s="55" t="str">
        <f t="shared" si="0"/>
        <v/>
      </c>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c r="AA740" s="55"/>
      <c r="AB740" s="55"/>
      <c r="AC740" s="55"/>
      <c r="AD740" s="55"/>
      <c r="AE740" s="55"/>
      <c r="AF740" s="55"/>
      <c r="AG740" s="55"/>
      <c r="AH740" s="55"/>
      <c r="AI740" s="55"/>
      <c r="AJ740" s="55"/>
      <c r="AK740" s="55"/>
      <c r="AL740" s="55"/>
      <c r="AM740" s="55"/>
      <c r="AN740" s="55"/>
    </row>
    <row r="741" spans="1:40" ht="14" x14ac:dyDescent="0.35">
      <c r="A741" s="55" t="str">
        <f t="shared" si="0"/>
        <v/>
      </c>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c r="AA741" s="55"/>
      <c r="AB741" s="55"/>
      <c r="AC741" s="55"/>
      <c r="AD741" s="55"/>
      <c r="AE741" s="55"/>
      <c r="AF741" s="55"/>
      <c r="AG741" s="55"/>
      <c r="AH741" s="55"/>
      <c r="AI741" s="55"/>
      <c r="AJ741" s="55"/>
      <c r="AK741" s="55"/>
      <c r="AL741" s="55"/>
      <c r="AM741" s="55"/>
      <c r="AN741" s="55"/>
    </row>
    <row r="742" spans="1:40" ht="14" x14ac:dyDescent="0.35">
      <c r="A742" s="55" t="str">
        <f t="shared" si="0"/>
        <v/>
      </c>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c r="AA742" s="55"/>
      <c r="AB742" s="55"/>
      <c r="AC742" s="55"/>
      <c r="AD742" s="55"/>
      <c r="AE742" s="55"/>
      <c r="AF742" s="55"/>
      <c r="AG742" s="55"/>
      <c r="AH742" s="55"/>
      <c r="AI742" s="55"/>
      <c r="AJ742" s="55"/>
      <c r="AK742" s="55"/>
      <c r="AL742" s="55"/>
      <c r="AM742" s="55"/>
      <c r="AN742" s="55"/>
    </row>
    <row r="743" spans="1:40" ht="14" x14ac:dyDescent="0.35">
      <c r="A743" s="55" t="str">
        <f t="shared" si="0"/>
        <v/>
      </c>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c r="AA743" s="55"/>
      <c r="AB743" s="55"/>
      <c r="AC743" s="55"/>
      <c r="AD743" s="55"/>
      <c r="AE743" s="55"/>
      <c r="AF743" s="55"/>
      <c r="AG743" s="55"/>
      <c r="AH743" s="55"/>
      <c r="AI743" s="55"/>
      <c r="AJ743" s="55"/>
      <c r="AK743" s="55"/>
      <c r="AL743" s="55"/>
      <c r="AM743" s="55"/>
      <c r="AN743" s="55"/>
    </row>
    <row r="744" spans="1:40" ht="14" x14ac:dyDescent="0.35">
      <c r="A744" s="55" t="str">
        <f t="shared" si="0"/>
        <v/>
      </c>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c r="AA744" s="55"/>
      <c r="AB744" s="55"/>
      <c r="AC744" s="55"/>
      <c r="AD744" s="55"/>
      <c r="AE744" s="55"/>
      <c r="AF744" s="55"/>
      <c r="AG744" s="55"/>
      <c r="AH744" s="55"/>
      <c r="AI744" s="55"/>
      <c r="AJ744" s="55"/>
      <c r="AK744" s="55"/>
      <c r="AL744" s="55"/>
      <c r="AM744" s="55"/>
      <c r="AN744" s="55"/>
    </row>
    <row r="745" spans="1:40" ht="14" x14ac:dyDescent="0.35">
      <c r="A745" s="55" t="str">
        <f t="shared" si="0"/>
        <v/>
      </c>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c r="AA745" s="55"/>
      <c r="AB745" s="55"/>
      <c r="AC745" s="55"/>
      <c r="AD745" s="55"/>
      <c r="AE745" s="55"/>
      <c r="AF745" s="55"/>
      <c r="AG745" s="55"/>
      <c r="AH745" s="55"/>
      <c r="AI745" s="55"/>
      <c r="AJ745" s="55"/>
      <c r="AK745" s="55"/>
      <c r="AL745" s="55"/>
      <c r="AM745" s="55"/>
      <c r="AN745" s="55"/>
    </row>
    <row r="746" spans="1:40" ht="14" x14ac:dyDescent="0.35">
      <c r="A746" s="55" t="str">
        <f t="shared" si="0"/>
        <v/>
      </c>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c r="AA746" s="55"/>
      <c r="AB746" s="55"/>
      <c r="AC746" s="55"/>
      <c r="AD746" s="55"/>
      <c r="AE746" s="55"/>
      <c r="AF746" s="55"/>
      <c r="AG746" s="55"/>
      <c r="AH746" s="55"/>
      <c r="AI746" s="55"/>
      <c r="AJ746" s="55"/>
      <c r="AK746" s="55"/>
      <c r="AL746" s="55"/>
      <c r="AM746" s="55"/>
      <c r="AN746" s="55"/>
    </row>
    <row r="747" spans="1:40" ht="14" x14ac:dyDescent="0.35">
      <c r="A747" s="55" t="str">
        <f t="shared" si="0"/>
        <v/>
      </c>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c r="AA747" s="55"/>
      <c r="AB747" s="55"/>
      <c r="AC747" s="55"/>
      <c r="AD747" s="55"/>
      <c r="AE747" s="55"/>
      <c r="AF747" s="55"/>
      <c r="AG747" s="55"/>
      <c r="AH747" s="55"/>
      <c r="AI747" s="55"/>
      <c r="AJ747" s="55"/>
      <c r="AK747" s="55"/>
      <c r="AL747" s="55"/>
      <c r="AM747" s="55"/>
      <c r="AN747" s="55"/>
    </row>
    <row r="748" spans="1:40" ht="14" x14ac:dyDescent="0.35">
      <c r="A748" s="55" t="str">
        <f t="shared" si="0"/>
        <v/>
      </c>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c r="AA748" s="55"/>
      <c r="AB748" s="55"/>
      <c r="AC748" s="55"/>
      <c r="AD748" s="55"/>
      <c r="AE748" s="55"/>
      <c r="AF748" s="55"/>
      <c r="AG748" s="55"/>
      <c r="AH748" s="55"/>
      <c r="AI748" s="55"/>
      <c r="AJ748" s="55"/>
      <c r="AK748" s="55"/>
      <c r="AL748" s="55"/>
      <c r="AM748" s="55"/>
      <c r="AN748" s="55"/>
    </row>
    <row r="749" spans="1:40" ht="14" x14ac:dyDescent="0.35">
      <c r="A749" s="55" t="str">
        <f t="shared" si="0"/>
        <v/>
      </c>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5"/>
      <c r="AE749" s="55"/>
      <c r="AF749" s="55"/>
      <c r="AG749" s="55"/>
      <c r="AH749" s="55"/>
      <c r="AI749" s="55"/>
      <c r="AJ749" s="55"/>
      <c r="AK749" s="55"/>
      <c r="AL749" s="55"/>
      <c r="AM749" s="55"/>
      <c r="AN749" s="55"/>
    </row>
    <row r="750" spans="1:40" ht="14" x14ac:dyDescent="0.35">
      <c r="A750" s="55" t="str">
        <f t="shared" si="0"/>
        <v/>
      </c>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c r="AA750" s="55"/>
      <c r="AB750" s="55"/>
      <c r="AC750" s="55"/>
      <c r="AD750" s="55"/>
      <c r="AE750" s="55"/>
      <c r="AF750" s="55"/>
      <c r="AG750" s="55"/>
      <c r="AH750" s="55"/>
      <c r="AI750" s="55"/>
      <c r="AJ750" s="55"/>
      <c r="AK750" s="55"/>
      <c r="AL750" s="55"/>
      <c r="AM750" s="55"/>
      <c r="AN750" s="55"/>
    </row>
    <row r="751" spans="1:40" ht="14" x14ac:dyDescent="0.35">
      <c r="A751" s="55" t="str">
        <f t="shared" si="0"/>
        <v/>
      </c>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c r="AA751" s="55"/>
      <c r="AB751" s="55"/>
      <c r="AC751" s="55"/>
      <c r="AD751" s="55"/>
      <c r="AE751" s="55"/>
      <c r="AF751" s="55"/>
      <c r="AG751" s="55"/>
      <c r="AH751" s="55"/>
      <c r="AI751" s="55"/>
      <c r="AJ751" s="55"/>
      <c r="AK751" s="55"/>
      <c r="AL751" s="55"/>
      <c r="AM751" s="55"/>
      <c r="AN751" s="55"/>
    </row>
    <row r="752" spans="1:40" ht="14" x14ac:dyDescent="0.35">
      <c r="A752" s="55" t="str">
        <f t="shared" si="0"/>
        <v/>
      </c>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c r="AA752" s="55"/>
      <c r="AB752" s="55"/>
      <c r="AC752" s="55"/>
      <c r="AD752" s="55"/>
      <c r="AE752" s="55"/>
      <c r="AF752" s="55"/>
      <c r="AG752" s="55"/>
      <c r="AH752" s="55"/>
      <c r="AI752" s="55"/>
      <c r="AJ752" s="55"/>
      <c r="AK752" s="55"/>
      <c r="AL752" s="55"/>
      <c r="AM752" s="55"/>
      <c r="AN752" s="55"/>
    </row>
    <row r="753" spans="1:40" ht="14" x14ac:dyDescent="0.35">
      <c r="A753" s="55" t="str">
        <f t="shared" si="0"/>
        <v/>
      </c>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c r="AA753" s="55"/>
      <c r="AB753" s="55"/>
      <c r="AC753" s="55"/>
      <c r="AD753" s="55"/>
      <c r="AE753" s="55"/>
      <c r="AF753" s="55"/>
      <c r="AG753" s="55"/>
      <c r="AH753" s="55"/>
      <c r="AI753" s="55"/>
      <c r="AJ753" s="55"/>
      <c r="AK753" s="55"/>
      <c r="AL753" s="55"/>
      <c r="AM753" s="55"/>
      <c r="AN753" s="55"/>
    </row>
    <row r="754" spans="1:40" ht="14" x14ac:dyDescent="0.35">
      <c r="A754" s="55" t="str">
        <f t="shared" si="0"/>
        <v/>
      </c>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c r="AA754" s="55"/>
      <c r="AB754" s="55"/>
      <c r="AC754" s="55"/>
      <c r="AD754" s="55"/>
      <c r="AE754" s="55"/>
      <c r="AF754" s="55"/>
      <c r="AG754" s="55"/>
      <c r="AH754" s="55"/>
      <c r="AI754" s="55"/>
      <c r="AJ754" s="55"/>
      <c r="AK754" s="55"/>
      <c r="AL754" s="55"/>
      <c r="AM754" s="55"/>
      <c r="AN754" s="55"/>
    </row>
    <row r="755" spans="1:40" ht="14" x14ac:dyDescent="0.35">
      <c r="A755" s="55" t="str">
        <f t="shared" si="0"/>
        <v/>
      </c>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c r="AA755" s="55"/>
      <c r="AB755" s="55"/>
      <c r="AC755" s="55"/>
      <c r="AD755" s="55"/>
      <c r="AE755" s="55"/>
      <c r="AF755" s="55"/>
      <c r="AG755" s="55"/>
      <c r="AH755" s="55"/>
      <c r="AI755" s="55"/>
      <c r="AJ755" s="55"/>
      <c r="AK755" s="55"/>
      <c r="AL755" s="55"/>
      <c r="AM755" s="55"/>
      <c r="AN755" s="55"/>
    </row>
    <row r="756" spans="1:40" ht="14" x14ac:dyDescent="0.35">
      <c r="A756" s="55" t="str">
        <f t="shared" si="0"/>
        <v/>
      </c>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c r="AA756" s="55"/>
      <c r="AB756" s="55"/>
      <c r="AC756" s="55"/>
      <c r="AD756" s="55"/>
      <c r="AE756" s="55"/>
      <c r="AF756" s="55"/>
      <c r="AG756" s="55"/>
      <c r="AH756" s="55"/>
      <c r="AI756" s="55"/>
      <c r="AJ756" s="55"/>
      <c r="AK756" s="55"/>
      <c r="AL756" s="55"/>
      <c r="AM756" s="55"/>
      <c r="AN756" s="55"/>
    </row>
    <row r="757" spans="1:40" ht="14" x14ac:dyDescent="0.35">
      <c r="A757" s="55" t="str">
        <f t="shared" si="0"/>
        <v/>
      </c>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c r="AA757" s="55"/>
      <c r="AB757" s="55"/>
      <c r="AC757" s="55"/>
      <c r="AD757" s="55"/>
      <c r="AE757" s="55"/>
      <c r="AF757" s="55"/>
      <c r="AG757" s="55"/>
      <c r="AH757" s="55"/>
      <c r="AI757" s="55"/>
      <c r="AJ757" s="55"/>
      <c r="AK757" s="55"/>
      <c r="AL757" s="55"/>
      <c r="AM757" s="55"/>
      <c r="AN757" s="55"/>
    </row>
    <row r="758" spans="1:40" ht="14" x14ac:dyDescent="0.35">
      <c r="A758" s="55" t="str">
        <f t="shared" si="0"/>
        <v/>
      </c>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c r="AA758" s="55"/>
      <c r="AB758" s="55"/>
      <c r="AC758" s="55"/>
      <c r="AD758" s="55"/>
      <c r="AE758" s="55"/>
      <c r="AF758" s="55"/>
      <c r="AG758" s="55"/>
      <c r="AH758" s="55"/>
      <c r="AI758" s="55"/>
      <c r="AJ758" s="55"/>
      <c r="AK758" s="55"/>
      <c r="AL758" s="55"/>
      <c r="AM758" s="55"/>
      <c r="AN758" s="55"/>
    </row>
    <row r="759" spans="1:40" ht="14" x14ac:dyDescent="0.35">
      <c r="A759" s="55" t="str">
        <f t="shared" si="0"/>
        <v/>
      </c>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c r="AA759" s="55"/>
      <c r="AB759" s="55"/>
      <c r="AC759" s="55"/>
      <c r="AD759" s="55"/>
      <c r="AE759" s="55"/>
      <c r="AF759" s="55"/>
      <c r="AG759" s="55"/>
      <c r="AH759" s="55"/>
      <c r="AI759" s="55"/>
      <c r="AJ759" s="55"/>
      <c r="AK759" s="55"/>
      <c r="AL759" s="55"/>
      <c r="AM759" s="55"/>
      <c r="AN759" s="55"/>
    </row>
    <row r="760" spans="1:40" ht="14" x14ac:dyDescent="0.35">
      <c r="A760" s="55" t="str">
        <f t="shared" si="0"/>
        <v/>
      </c>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c r="AA760" s="55"/>
      <c r="AB760" s="55"/>
      <c r="AC760" s="55"/>
      <c r="AD760" s="55"/>
      <c r="AE760" s="55"/>
      <c r="AF760" s="55"/>
      <c r="AG760" s="55"/>
      <c r="AH760" s="55"/>
      <c r="AI760" s="55"/>
      <c r="AJ760" s="55"/>
      <c r="AK760" s="55"/>
      <c r="AL760" s="55"/>
      <c r="AM760" s="55"/>
      <c r="AN760" s="55"/>
    </row>
    <row r="761" spans="1:40" ht="14" x14ac:dyDescent="0.35">
      <c r="A761" s="55" t="str">
        <f t="shared" si="0"/>
        <v/>
      </c>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c r="AA761" s="55"/>
      <c r="AB761" s="55"/>
      <c r="AC761" s="55"/>
      <c r="AD761" s="55"/>
      <c r="AE761" s="55"/>
      <c r="AF761" s="55"/>
      <c r="AG761" s="55"/>
      <c r="AH761" s="55"/>
      <c r="AI761" s="55"/>
      <c r="AJ761" s="55"/>
      <c r="AK761" s="55"/>
      <c r="AL761" s="55"/>
      <c r="AM761" s="55"/>
      <c r="AN761" s="55"/>
    </row>
    <row r="762" spans="1:40" ht="14" x14ac:dyDescent="0.35">
      <c r="A762" s="55" t="str">
        <f t="shared" si="0"/>
        <v/>
      </c>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c r="AA762" s="55"/>
      <c r="AB762" s="55"/>
      <c r="AC762" s="55"/>
      <c r="AD762" s="55"/>
      <c r="AE762" s="55"/>
      <c r="AF762" s="55"/>
      <c r="AG762" s="55"/>
      <c r="AH762" s="55"/>
      <c r="AI762" s="55"/>
      <c r="AJ762" s="55"/>
      <c r="AK762" s="55"/>
      <c r="AL762" s="55"/>
      <c r="AM762" s="55"/>
      <c r="AN762" s="55"/>
    </row>
    <row r="763" spans="1:40" ht="14" x14ac:dyDescent="0.35">
      <c r="A763" s="55" t="str">
        <f t="shared" si="0"/>
        <v/>
      </c>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c r="AA763" s="55"/>
      <c r="AB763" s="55"/>
      <c r="AC763" s="55"/>
      <c r="AD763" s="55"/>
      <c r="AE763" s="55"/>
      <c r="AF763" s="55"/>
      <c r="AG763" s="55"/>
      <c r="AH763" s="55"/>
      <c r="AI763" s="55"/>
      <c r="AJ763" s="55"/>
      <c r="AK763" s="55"/>
      <c r="AL763" s="55"/>
      <c r="AM763" s="55"/>
      <c r="AN763" s="55"/>
    </row>
    <row r="764" spans="1:40" ht="14" x14ac:dyDescent="0.35">
      <c r="A764" s="55" t="str">
        <f t="shared" si="0"/>
        <v/>
      </c>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c r="AA764" s="55"/>
      <c r="AB764" s="55"/>
      <c r="AC764" s="55"/>
      <c r="AD764" s="55"/>
      <c r="AE764" s="55"/>
      <c r="AF764" s="55"/>
      <c r="AG764" s="55"/>
      <c r="AH764" s="55"/>
      <c r="AI764" s="55"/>
      <c r="AJ764" s="55"/>
      <c r="AK764" s="55"/>
      <c r="AL764" s="55"/>
      <c r="AM764" s="55"/>
      <c r="AN764" s="55"/>
    </row>
    <row r="765" spans="1:40" ht="14" x14ac:dyDescent="0.35">
      <c r="A765" s="55" t="str">
        <f t="shared" si="0"/>
        <v/>
      </c>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c r="AA765" s="55"/>
      <c r="AB765" s="55"/>
      <c r="AC765" s="55"/>
      <c r="AD765" s="55"/>
      <c r="AE765" s="55"/>
      <c r="AF765" s="55"/>
      <c r="AG765" s="55"/>
      <c r="AH765" s="55"/>
      <c r="AI765" s="55"/>
      <c r="AJ765" s="55"/>
      <c r="AK765" s="55"/>
      <c r="AL765" s="55"/>
      <c r="AM765" s="55"/>
      <c r="AN765" s="55"/>
    </row>
    <row r="766" spans="1:40" ht="14" x14ac:dyDescent="0.35">
      <c r="A766" s="55" t="str">
        <f t="shared" si="0"/>
        <v/>
      </c>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c r="AA766" s="55"/>
      <c r="AB766" s="55"/>
      <c r="AC766" s="55"/>
      <c r="AD766" s="55"/>
      <c r="AE766" s="55"/>
      <c r="AF766" s="55"/>
      <c r="AG766" s="55"/>
      <c r="AH766" s="55"/>
      <c r="AI766" s="55"/>
      <c r="AJ766" s="55"/>
      <c r="AK766" s="55"/>
      <c r="AL766" s="55"/>
      <c r="AM766" s="55"/>
      <c r="AN766" s="55"/>
    </row>
    <row r="767" spans="1:40" ht="14" x14ac:dyDescent="0.35">
      <c r="A767" s="55" t="str">
        <f t="shared" si="0"/>
        <v/>
      </c>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c r="AA767" s="55"/>
      <c r="AB767" s="55"/>
      <c r="AC767" s="55"/>
      <c r="AD767" s="55"/>
      <c r="AE767" s="55"/>
      <c r="AF767" s="55"/>
      <c r="AG767" s="55"/>
      <c r="AH767" s="55"/>
      <c r="AI767" s="55"/>
      <c r="AJ767" s="55"/>
      <c r="AK767" s="55"/>
      <c r="AL767" s="55"/>
      <c r="AM767" s="55"/>
      <c r="AN767" s="55"/>
    </row>
    <row r="768" spans="1:40" ht="14" x14ac:dyDescent="0.35">
      <c r="A768" s="55" t="str">
        <f t="shared" si="0"/>
        <v/>
      </c>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c r="AA768" s="55"/>
      <c r="AB768" s="55"/>
      <c r="AC768" s="55"/>
      <c r="AD768" s="55"/>
      <c r="AE768" s="55"/>
      <c r="AF768" s="55"/>
      <c r="AG768" s="55"/>
      <c r="AH768" s="55"/>
      <c r="AI768" s="55"/>
      <c r="AJ768" s="55"/>
      <c r="AK768" s="55"/>
      <c r="AL768" s="55"/>
      <c r="AM768" s="55"/>
      <c r="AN768" s="55"/>
    </row>
    <row r="769" spans="1:40" ht="14" x14ac:dyDescent="0.35">
      <c r="A769" s="55" t="str">
        <f t="shared" si="0"/>
        <v/>
      </c>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5"/>
      <c r="AE769" s="55"/>
      <c r="AF769" s="55"/>
      <c r="AG769" s="55"/>
      <c r="AH769" s="55"/>
      <c r="AI769" s="55"/>
      <c r="AJ769" s="55"/>
      <c r="AK769" s="55"/>
      <c r="AL769" s="55"/>
      <c r="AM769" s="55"/>
      <c r="AN769" s="55"/>
    </row>
    <row r="770" spans="1:40" ht="14" x14ac:dyDescent="0.35">
      <c r="A770" s="55" t="str">
        <f t="shared" si="0"/>
        <v/>
      </c>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5"/>
      <c r="AE770" s="55"/>
      <c r="AF770" s="55"/>
      <c r="AG770" s="55"/>
      <c r="AH770" s="55"/>
      <c r="AI770" s="55"/>
      <c r="AJ770" s="55"/>
      <c r="AK770" s="55"/>
      <c r="AL770" s="55"/>
      <c r="AM770" s="55"/>
      <c r="AN770" s="55"/>
    </row>
    <row r="771" spans="1:40" ht="14" x14ac:dyDescent="0.35">
      <c r="A771" s="55" t="str">
        <f t="shared" si="0"/>
        <v/>
      </c>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c r="AA771" s="55"/>
      <c r="AB771" s="55"/>
      <c r="AC771" s="55"/>
      <c r="AD771" s="55"/>
      <c r="AE771" s="55"/>
      <c r="AF771" s="55"/>
      <c r="AG771" s="55"/>
      <c r="AH771" s="55"/>
      <c r="AI771" s="55"/>
      <c r="AJ771" s="55"/>
      <c r="AK771" s="55"/>
      <c r="AL771" s="55"/>
      <c r="AM771" s="55"/>
      <c r="AN771" s="55"/>
    </row>
    <row r="772" spans="1:40" ht="14" x14ac:dyDescent="0.35">
      <c r="A772" s="55" t="str">
        <f t="shared" si="0"/>
        <v/>
      </c>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c r="AA772" s="55"/>
      <c r="AB772" s="55"/>
      <c r="AC772" s="55"/>
      <c r="AD772" s="55"/>
      <c r="AE772" s="55"/>
      <c r="AF772" s="55"/>
      <c r="AG772" s="55"/>
      <c r="AH772" s="55"/>
      <c r="AI772" s="55"/>
      <c r="AJ772" s="55"/>
      <c r="AK772" s="55"/>
      <c r="AL772" s="55"/>
      <c r="AM772" s="55"/>
      <c r="AN772" s="55"/>
    </row>
    <row r="773" spans="1:40" ht="14" x14ac:dyDescent="0.35">
      <c r="A773" s="55" t="str">
        <f t="shared" si="0"/>
        <v/>
      </c>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c r="AA773" s="55"/>
      <c r="AB773" s="55"/>
      <c r="AC773" s="55"/>
      <c r="AD773" s="55"/>
      <c r="AE773" s="55"/>
      <c r="AF773" s="55"/>
      <c r="AG773" s="55"/>
      <c r="AH773" s="55"/>
      <c r="AI773" s="55"/>
      <c r="AJ773" s="55"/>
      <c r="AK773" s="55"/>
      <c r="AL773" s="55"/>
      <c r="AM773" s="55"/>
      <c r="AN773" s="55"/>
    </row>
    <row r="774" spans="1:40" ht="14" x14ac:dyDescent="0.35">
      <c r="A774" s="55" t="str">
        <f t="shared" si="0"/>
        <v/>
      </c>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c r="AA774" s="55"/>
      <c r="AB774" s="55"/>
      <c r="AC774" s="55"/>
      <c r="AD774" s="55"/>
      <c r="AE774" s="55"/>
      <c r="AF774" s="55"/>
      <c r="AG774" s="55"/>
      <c r="AH774" s="55"/>
      <c r="AI774" s="55"/>
      <c r="AJ774" s="55"/>
      <c r="AK774" s="55"/>
      <c r="AL774" s="55"/>
      <c r="AM774" s="55"/>
      <c r="AN774" s="55"/>
    </row>
    <row r="775" spans="1:40" ht="14" x14ac:dyDescent="0.35">
      <c r="A775" s="55" t="str">
        <f t="shared" si="0"/>
        <v/>
      </c>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c r="AA775" s="55"/>
      <c r="AB775" s="55"/>
      <c r="AC775" s="55"/>
      <c r="AD775" s="55"/>
      <c r="AE775" s="55"/>
      <c r="AF775" s="55"/>
      <c r="AG775" s="55"/>
      <c r="AH775" s="55"/>
      <c r="AI775" s="55"/>
      <c r="AJ775" s="55"/>
      <c r="AK775" s="55"/>
      <c r="AL775" s="55"/>
      <c r="AM775" s="55"/>
      <c r="AN775" s="55"/>
    </row>
    <row r="776" spans="1:40" ht="14" x14ac:dyDescent="0.35">
      <c r="A776" s="55" t="str">
        <f t="shared" si="0"/>
        <v/>
      </c>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c r="AA776" s="55"/>
      <c r="AB776" s="55"/>
      <c r="AC776" s="55"/>
      <c r="AD776" s="55"/>
      <c r="AE776" s="55"/>
      <c r="AF776" s="55"/>
      <c r="AG776" s="55"/>
      <c r="AH776" s="55"/>
      <c r="AI776" s="55"/>
      <c r="AJ776" s="55"/>
      <c r="AK776" s="55"/>
      <c r="AL776" s="55"/>
      <c r="AM776" s="55"/>
      <c r="AN776" s="55"/>
    </row>
    <row r="777" spans="1:40" ht="14" x14ac:dyDescent="0.35">
      <c r="A777" s="55" t="str">
        <f t="shared" si="0"/>
        <v/>
      </c>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c r="AA777" s="55"/>
      <c r="AB777" s="55"/>
      <c r="AC777" s="55"/>
      <c r="AD777" s="55"/>
      <c r="AE777" s="55"/>
      <c r="AF777" s="55"/>
      <c r="AG777" s="55"/>
      <c r="AH777" s="55"/>
      <c r="AI777" s="55"/>
      <c r="AJ777" s="55"/>
      <c r="AK777" s="55"/>
      <c r="AL777" s="55"/>
      <c r="AM777" s="55"/>
      <c r="AN777" s="55"/>
    </row>
    <row r="778" spans="1:40" ht="14" x14ac:dyDescent="0.35">
      <c r="A778" s="55" t="str">
        <f t="shared" si="0"/>
        <v/>
      </c>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5"/>
      <c r="AE778" s="55"/>
      <c r="AF778" s="55"/>
      <c r="AG778" s="55"/>
      <c r="AH778" s="55"/>
      <c r="AI778" s="55"/>
      <c r="AJ778" s="55"/>
      <c r="AK778" s="55"/>
      <c r="AL778" s="55"/>
      <c r="AM778" s="55"/>
      <c r="AN778" s="55"/>
    </row>
    <row r="779" spans="1:40" ht="14" x14ac:dyDescent="0.35">
      <c r="A779" s="55" t="str">
        <f t="shared" si="0"/>
        <v/>
      </c>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c r="AA779" s="55"/>
      <c r="AB779" s="55"/>
      <c r="AC779" s="55"/>
      <c r="AD779" s="55"/>
      <c r="AE779" s="55"/>
      <c r="AF779" s="55"/>
      <c r="AG779" s="55"/>
      <c r="AH779" s="55"/>
      <c r="AI779" s="55"/>
      <c r="AJ779" s="55"/>
      <c r="AK779" s="55"/>
      <c r="AL779" s="55"/>
      <c r="AM779" s="55"/>
      <c r="AN779" s="55"/>
    </row>
    <row r="780" spans="1:40" ht="14" x14ac:dyDescent="0.35">
      <c r="A780" s="55" t="str">
        <f t="shared" si="0"/>
        <v/>
      </c>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c r="AA780" s="55"/>
      <c r="AB780" s="55"/>
      <c r="AC780" s="55"/>
      <c r="AD780" s="55"/>
      <c r="AE780" s="55"/>
      <c r="AF780" s="55"/>
      <c r="AG780" s="55"/>
      <c r="AH780" s="55"/>
      <c r="AI780" s="55"/>
      <c r="AJ780" s="55"/>
      <c r="AK780" s="55"/>
      <c r="AL780" s="55"/>
      <c r="AM780" s="55"/>
      <c r="AN780" s="55"/>
    </row>
    <row r="781" spans="1:40" ht="14" x14ac:dyDescent="0.35">
      <c r="A781" s="55" t="str">
        <f t="shared" si="0"/>
        <v/>
      </c>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5"/>
      <c r="AE781" s="55"/>
      <c r="AF781" s="55"/>
      <c r="AG781" s="55"/>
      <c r="AH781" s="55"/>
      <c r="AI781" s="55"/>
      <c r="AJ781" s="55"/>
      <c r="AK781" s="55"/>
      <c r="AL781" s="55"/>
      <c r="AM781" s="55"/>
      <c r="AN781" s="55"/>
    </row>
    <row r="782" spans="1:40" ht="14" x14ac:dyDescent="0.35">
      <c r="A782" s="55" t="str">
        <f t="shared" si="0"/>
        <v/>
      </c>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5"/>
      <c r="AE782" s="55"/>
      <c r="AF782" s="55"/>
      <c r="AG782" s="55"/>
      <c r="AH782" s="55"/>
      <c r="AI782" s="55"/>
      <c r="AJ782" s="55"/>
      <c r="AK782" s="55"/>
      <c r="AL782" s="55"/>
      <c r="AM782" s="55"/>
      <c r="AN782" s="55"/>
    </row>
    <row r="783" spans="1:40" ht="14" x14ac:dyDescent="0.35">
      <c r="A783" s="55" t="str">
        <f t="shared" si="0"/>
        <v/>
      </c>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c r="AA783" s="55"/>
      <c r="AB783" s="55"/>
      <c r="AC783" s="55"/>
      <c r="AD783" s="55"/>
      <c r="AE783" s="55"/>
      <c r="AF783" s="55"/>
      <c r="AG783" s="55"/>
      <c r="AH783" s="55"/>
      <c r="AI783" s="55"/>
      <c r="AJ783" s="55"/>
      <c r="AK783" s="55"/>
      <c r="AL783" s="55"/>
      <c r="AM783" s="55"/>
      <c r="AN783" s="55"/>
    </row>
    <row r="784" spans="1:40" ht="14" x14ac:dyDescent="0.35">
      <c r="A784" s="55" t="str">
        <f t="shared" si="0"/>
        <v/>
      </c>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c r="AA784" s="55"/>
      <c r="AB784" s="55"/>
      <c r="AC784" s="55"/>
      <c r="AD784" s="55"/>
      <c r="AE784" s="55"/>
      <c r="AF784" s="55"/>
      <c r="AG784" s="55"/>
      <c r="AH784" s="55"/>
      <c r="AI784" s="55"/>
      <c r="AJ784" s="55"/>
      <c r="AK784" s="55"/>
      <c r="AL784" s="55"/>
      <c r="AM784" s="55"/>
      <c r="AN784" s="55"/>
    </row>
    <row r="785" spans="1:40" ht="14" x14ac:dyDescent="0.35">
      <c r="A785" s="55" t="str">
        <f t="shared" si="0"/>
        <v/>
      </c>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c r="AA785" s="55"/>
      <c r="AB785" s="55"/>
      <c r="AC785" s="55"/>
      <c r="AD785" s="55"/>
      <c r="AE785" s="55"/>
      <c r="AF785" s="55"/>
      <c r="AG785" s="55"/>
      <c r="AH785" s="55"/>
      <c r="AI785" s="55"/>
      <c r="AJ785" s="55"/>
      <c r="AK785" s="55"/>
      <c r="AL785" s="55"/>
      <c r="AM785" s="55"/>
      <c r="AN785" s="55"/>
    </row>
    <row r="786" spans="1:40" ht="14" x14ac:dyDescent="0.35">
      <c r="A786" s="55" t="str">
        <f t="shared" si="0"/>
        <v/>
      </c>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c r="AA786" s="55"/>
      <c r="AB786" s="55"/>
      <c r="AC786" s="55"/>
      <c r="AD786" s="55"/>
      <c r="AE786" s="55"/>
      <c r="AF786" s="55"/>
      <c r="AG786" s="55"/>
      <c r="AH786" s="55"/>
      <c r="AI786" s="55"/>
      <c r="AJ786" s="55"/>
      <c r="AK786" s="55"/>
      <c r="AL786" s="55"/>
      <c r="AM786" s="55"/>
      <c r="AN786" s="55"/>
    </row>
    <row r="787" spans="1:40" ht="14" x14ac:dyDescent="0.35">
      <c r="A787" s="55" t="str">
        <f t="shared" si="0"/>
        <v/>
      </c>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c r="AA787" s="55"/>
      <c r="AB787" s="55"/>
      <c r="AC787" s="55"/>
      <c r="AD787" s="55"/>
      <c r="AE787" s="55"/>
      <c r="AF787" s="55"/>
      <c r="AG787" s="55"/>
      <c r="AH787" s="55"/>
      <c r="AI787" s="55"/>
      <c r="AJ787" s="55"/>
      <c r="AK787" s="55"/>
      <c r="AL787" s="55"/>
      <c r="AM787" s="55"/>
      <c r="AN787" s="55"/>
    </row>
    <row r="788" spans="1:40" ht="14" x14ac:dyDescent="0.35">
      <c r="A788" s="55" t="str">
        <f t="shared" si="0"/>
        <v/>
      </c>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c r="AA788" s="55"/>
      <c r="AB788" s="55"/>
      <c r="AC788" s="55"/>
      <c r="AD788" s="55"/>
      <c r="AE788" s="55"/>
      <c r="AF788" s="55"/>
      <c r="AG788" s="55"/>
      <c r="AH788" s="55"/>
      <c r="AI788" s="55"/>
      <c r="AJ788" s="55"/>
      <c r="AK788" s="55"/>
      <c r="AL788" s="55"/>
      <c r="AM788" s="55"/>
      <c r="AN788" s="55"/>
    </row>
    <row r="789" spans="1:40" ht="14" x14ac:dyDescent="0.35">
      <c r="A789" s="55" t="str">
        <f t="shared" si="0"/>
        <v/>
      </c>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c r="AA789" s="55"/>
      <c r="AB789" s="55"/>
      <c r="AC789" s="55"/>
      <c r="AD789" s="55"/>
      <c r="AE789" s="55"/>
      <c r="AF789" s="55"/>
      <c r="AG789" s="55"/>
      <c r="AH789" s="55"/>
      <c r="AI789" s="55"/>
      <c r="AJ789" s="55"/>
      <c r="AK789" s="55"/>
      <c r="AL789" s="55"/>
      <c r="AM789" s="55"/>
      <c r="AN789" s="55"/>
    </row>
    <row r="790" spans="1:40" ht="14" x14ac:dyDescent="0.35">
      <c r="A790" s="55" t="str">
        <f t="shared" si="0"/>
        <v/>
      </c>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c r="AA790" s="55"/>
      <c r="AB790" s="55"/>
      <c r="AC790" s="55"/>
      <c r="AD790" s="55"/>
      <c r="AE790" s="55"/>
      <c r="AF790" s="55"/>
      <c r="AG790" s="55"/>
      <c r="AH790" s="55"/>
      <c r="AI790" s="55"/>
      <c r="AJ790" s="55"/>
      <c r="AK790" s="55"/>
      <c r="AL790" s="55"/>
      <c r="AM790" s="55"/>
      <c r="AN790" s="55"/>
    </row>
    <row r="791" spans="1:40" ht="14" x14ac:dyDescent="0.35">
      <c r="A791" s="55" t="str">
        <f t="shared" si="0"/>
        <v/>
      </c>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c r="AA791" s="55"/>
      <c r="AB791" s="55"/>
      <c r="AC791" s="55"/>
      <c r="AD791" s="55"/>
      <c r="AE791" s="55"/>
      <c r="AF791" s="55"/>
      <c r="AG791" s="55"/>
      <c r="AH791" s="55"/>
      <c r="AI791" s="55"/>
      <c r="AJ791" s="55"/>
      <c r="AK791" s="55"/>
      <c r="AL791" s="55"/>
      <c r="AM791" s="55"/>
      <c r="AN791" s="55"/>
    </row>
    <row r="792" spans="1:40" ht="14" x14ac:dyDescent="0.35">
      <c r="A792" s="55" t="str">
        <f t="shared" si="0"/>
        <v/>
      </c>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c r="AA792" s="55"/>
      <c r="AB792" s="55"/>
      <c r="AC792" s="55"/>
      <c r="AD792" s="55"/>
      <c r="AE792" s="55"/>
      <c r="AF792" s="55"/>
      <c r="AG792" s="55"/>
      <c r="AH792" s="55"/>
      <c r="AI792" s="55"/>
      <c r="AJ792" s="55"/>
      <c r="AK792" s="55"/>
      <c r="AL792" s="55"/>
      <c r="AM792" s="55"/>
      <c r="AN792" s="55"/>
    </row>
    <row r="793" spans="1:40" ht="14" x14ac:dyDescent="0.35">
      <c r="A793" s="55" t="str">
        <f t="shared" si="0"/>
        <v/>
      </c>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c r="AA793" s="55"/>
      <c r="AB793" s="55"/>
      <c r="AC793" s="55"/>
      <c r="AD793" s="55"/>
      <c r="AE793" s="55"/>
      <c r="AF793" s="55"/>
      <c r="AG793" s="55"/>
      <c r="AH793" s="55"/>
      <c r="AI793" s="55"/>
      <c r="AJ793" s="55"/>
      <c r="AK793" s="55"/>
      <c r="AL793" s="55"/>
      <c r="AM793" s="55"/>
      <c r="AN793" s="55"/>
    </row>
    <row r="794" spans="1:40" ht="14" x14ac:dyDescent="0.35">
      <c r="A794" s="55" t="str">
        <f t="shared" si="0"/>
        <v/>
      </c>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c r="AA794" s="55"/>
      <c r="AB794" s="55"/>
      <c r="AC794" s="55"/>
      <c r="AD794" s="55"/>
      <c r="AE794" s="55"/>
      <c r="AF794" s="55"/>
      <c r="AG794" s="55"/>
      <c r="AH794" s="55"/>
      <c r="AI794" s="55"/>
      <c r="AJ794" s="55"/>
      <c r="AK794" s="55"/>
      <c r="AL794" s="55"/>
      <c r="AM794" s="55"/>
      <c r="AN794" s="55"/>
    </row>
    <row r="795" spans="1:40" ht="14" x14ac:dyDescent="0.35">
      <c r="A795" s="55" t="str">
        <f t="shared" si="0"/>
        <v/>
      </c>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c r="AA795" s="55"/>
      <c r="AB795" s="55"/>
      <c r="AC795" s="55"/>
      <c r="AD795" s="55"/>
      <c r="AE795" s="55"/>
      <c r="AF795" s="55"/>
      <c r="AG795" s="55"/>
      <c r="AH795" s="55"/>
      <c r="AI795" s="55"/>
      <c r="AJ795" s="55"/>
      <c r="AK795" s="55"/>
      <c r="AL795" s="55"/>
      <c r="AM795" s="55"/>
      <c r="AN795" s="55"/>
    </row>
    <row r="796" spans="1:40" ht="14" x14ac:dyDescent="0.35">
      <c r="A796" s="55" t="str">
        <f t="shared" si="0"/>
        <v/>
      </c>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c r="AA796" s="55"/>
      <c r="AB796" s="55"/>
      <c r="AC796" s="55"/>
      <c r="AD796" s="55"/>
      <c r="AE796" s="55"/>
      <c r="AF796" s="55"/>
      <c r="AG796" s="55"/>
      <c r="AH796" s="55"/>
      <c r="AI796" s="55"/>
      <c r="AJ796" s="55"/>
      <c r="AK796" s="55"/>
      <c r="AL796" s="55"/>
      <c r="AM796" s="55"/>
      <c r="AN796" s="55"/>
    </row>
    <row r="797" spans="1:40" ht="14" x14ac:dyDescent="0.35">
      <c r="A797" s="55" t="str">
        <f t="shared" si="0"/>
        <v/>
      </c>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c r="AA797" s="55"/>
      <c r="AB797" s="55"/>
      <c r="AC797" s="55"/>
      <c r="AD797" s="55"/>
      <c r="AE797" s="55"/>
      <c r="AF797" s="55"/>
      <c r="AG797" s="55"/>
      <c r="AH797" s="55"/>
      <c r="AI797" s="55"/>
      <c r="AJ797" s="55"/>
      <c r="AK797" s="55"/>
      <c r="AL797" s="55"/>
      <c r="AM797" s="55"/>
      <c r="AN797" s="55"/>
    </row>
    <row r="798" spans="1:40" ht="14" x14ac:dyDescent="0.35">
      <c r="A798" s="55" t="str">
        <f t="shared" si="0"/>
        <v/>
      </c>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c r="AA798" s="55"/>
      <c r="AB798" s="55"/>
      <c r="AC798" s="55"/>
      <c r="AD798" s="55"/>
      <c r="AE798" s="55"/>
      <c r="AF798" s="55"/>
      <c r="AG798" s="55"/>
      <c r="AH798" s="55"/>
      <c r="AI798" s="55"/>
      <c r="AJ798" s="55"/>
      <c r="AK798" s="55"/>
      <c r="AL798" s="55"/>
      <c r="AM798" s="55"/>
      <c r="AN798" s="55"/>
    </row>
    <row r="799" spans="1:40" ht="14" x14ac:dyDescent="0.35">
      <c r="A799" s="55" t="str">
        <f t="shared" si="0"/>
        <v/>
      </c>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c r="AA799" s="55"/>
      <c r="AB799" s="55"/>
      <c r="AC799" s="55"/>
      <c r="AD799" s="55"/>
      <c r="AE799" s="55"/>
      <c r="AF799" s="55"/>
      <c r="AG799" s="55"/>
      <c r="AH799" s="55"/>
      <c r="AI799" s="55"/>
      <c r="AJ799" s="55"/>
      <c r="AK799" s="55"/>
      <c r="AL799" s="55"/>
      <c r="AM799" s="55"/>
      <c r="AN799" s="55"/>
    </row>
    <row r="800" spans="1:40" ht="14" x14ac:dyDescent="0.35">
      <c r="A800" s="55" t="str">
        <f t="shared" si="0"/>
        <v/>
      </c>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c r="AA800" s="55"/>
      <c r="AB800" s="55"/>
      <c r="AC800" s="55"/>
      <c r="AD800" s="55"/>
      <c r="AE800" s="55"/>
      <c r="AF800" s="55"/>
      <c r="AG800" s="55"/>
      <c r="AH800" s="55"/>
      <c r="AI800" s="55"/>
      <c r="AJ800" s="55"/>
      <c r="AK800" s="55"/>
      <c r="AL800" s="55"/>
      <c r="AM800" s="55"/>
      <c r="AN800" s="55"/>
    </row>
    <row r="801" spans="1:40" ht="14" x14ac:dyDescent="0.35">
      <c r="A801" s="55" t="str">
        <f t="shared" si="0"/>
        <v/>
      </c>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c r="AA801" s="55"/>
      <c r="AB801" s="55"/>
      <c r="AC801" s="55"/>
      <c r="AD801" s="55"/>
      <c r="AE801" s="55"/>
      <c r="AF801" s="55"/>
      <c r="AG801" s="55"/>
      <c r="AH801" s="55"/>
      <c r="AI801" s="55"/>
      <c r="AJ801" s="55"/>
      <c r="AK801" s="55"/>
      <c r="AL801" s="55"/>
      <c r="AM801" s="55"/>
      <c r="AN801" s="55"/>
    </row>
    <row r="802" spans="1:40" ht="14" x14ac:dyDescent="0.35">
      <c r="A802" s="55" t="str">
        <f t="shared" si="0"/>
        <v/>
      </c>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AA802" s="55"/>
      <c r="AB802" s="55"/>
      <c r="AC802" s="55"/>
      <c r="AD802" s="55"/>
      <c r="AE802" s="55"/>
      <c r="AF802" s="55"/>
      <c r="AG802" s="55"/>
      <c r="AH802" s="55"/>
      <c r="AI802" s="55"/>
      <c r="AJ802" s="55"/>
      <c r="AK802" s="55"/>
      <c r="AL802" s="55"/>
      <c r="AM802" s="55"/>
      <c r="AN802" s="55"/>
    </row>
    <row r="803" spans="1:40" ht="14" x14ac:dyDescent="0.35">
      <c r="A803" s="55" t="str">
        <f t="shared" si="0"/>
        <v/>
      </c>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AA803" s="55"/>
      <c r="AB803" s="55"/>
      <c r="AC803" s="55"/>
      <c r="AD803" s="55"/>
      <c r="AE803" s="55"/>
      <c r="AF803" s="55"/>
      <c r="AG803" s="55"/>
      <c r="AH803" s="55"/>
      <c r="AI803" s="55"/>
      <c r="AJ803" s="55"/>
      <c r="AK803" s="55"/>
      <c r="AL803" s="55"/>
      <c r="AM803" s="55"/>
      <c r="AN803" s="55"/>
    </row>
    <row r="804" spans="1:40" ht="14" x14ac:dyDescent="0.35">
      <c r="A804" s="55" t="str">
        <f t="shared" si="0"/>
        <v/>
      </c>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c r="AA804" s="55"/>
      <c r="AB804" s="55"/>
      <c r="AC804" s="55"/>
      <c r="AD804" s="55"/>
      <c r="AE804" s="55"/>
      <c r="AF804" s="55"/>
      <c r="AG804" s="55"/>
      <c r="AH804" s="55"/>
      <c r="AI804" s="55"/>
      <c r="AJ804" s="55"/>
      <c r="AK804" s="55"/>
      <c r="AL804" s="55"/>
      <c r="AM804" s="55"/>
      <c r="AN804" s="55"/>
    </row>
    <row r="805" spans="1:40" ht="14" x14ac:dyDescent="0.35">
      <c r="A805" s="55" t="str">
        <f t="shared" si="0"/>
        <v/>
      </c>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c r="AA805" s="55"/>
      <c r="AB805" s="55"/>
      <c r="AC805" s="55"/>
      <c r="AD805" s="55"/>
      <c r="AE805" s="55"/>
      <c r="AF805" s="55"/>
      <c r="AG805" s="55"/>
      <c r="AH805" s="55"/>
      <c r="AI805" s="55"/>
      <c r="AJ805" s="55"/>
      <c r="AK805" s="55"/>
      <c r="AL805" s="55"/>
      <c r="AM805" s="55"/>
      <c r="AN805" s="55"/>
    </row>
    <row r="806" spans="1:40" ht="14" x14ac:dyDescent="0.35">
      <c r="A806" s="55" t="str">
        <f t="shared" si="0"/>
        <v/>
      </c>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c r="AA806" s="55"/>
      <c r="AB806" s="55"/>
      <c r="AC806" s="55"/>
      <c r="AD806" s="55"/>
      <c r="AE806" s="55"/>
      <c r="AF806" s="55"/>
      <c r="AG806" s="55"/>
      <c r="AH806" s="55"/>
      <c r="AI806" s="55"/>
      <c r="AJ806" s="55"/>
      <c r="AK806" s="55"/>
      <c r="AL806" s="55"/>
      <c r="AM806" s="55"/>
      <c r="AN806" s="55"/>
    </row>
    <row r="807" spans="1:40" ht="14" x14ac:dyDescent="0.35">
      <c r="A807" s="55" t="str">
        <f t="shared" si="0"/>
        <v/>
      </c>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c r="AA807" s="55"/>
      <c r="AB807" s="55"/>
      <c r="AC807" s="55"/>
      <c r="AD807" s="55"/>
      <c r="AE807" s="55"/>
      <c r="AF807" s="55"/>
      <c r="AG807" s="55"/>
      <c r="AH807" s="55"/>
      <c r="AI807" s="55"/>
      <c r="AJ807" s="55"/>
      <c r="AK807" s="55"/>
      <c r="AL807" s="55"/>
      <c r="AM807" s="55"/>
      <c r="AN807" s="55"/>
    </row>
    <row r="808" spans="1:40" ht="14" x14ac:dyDescent="0.35">
      <c r="A808" s="55" t="str">
        <f t="shared" si="0"/>
        <v/>
      </c>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c r="AA808" s="55"/>
      <c r="AB808" s="55"/>
      <c r="AC808" s="55"/>
      <c r="AD808" s="55"/>
      <c r="AE808" s="55"/>
      <c r="AF808" s="55"/>
      <c r="AG808" s="55"/>
      <c r="AH808" s="55"/>
      <c r="AI808" s="55"/>
      <c r="AJ808" s="55"/>
      <c r="AK808" s="55"/>
      <c r="AL808" s="55"/>
      <c r="AM808" s="55"/>
      <c r="AN808" s="55"/>
    </row>
    <row r="809" spans="1:40" ht="14" x14ac:dyDescent="0.35">
      <c r="A809" s="55" t="str">
        <f t="shared" si="0"/>
        <v/>
      </c>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c r="AA809" s="55"/>
      <c r="AB809" s="55"/>
      <c r="AC809" s="55"/>
      <c r="AD809" s="55"/>
      <c r="AE809" s="55"/>
      <c r="AF809" s="55"/>
      <c r="AG809" s="55"/>
      <c r="AH809" s="55"/>
      <c r="AI809" s="55"/>
      <c r="AJ809" s="55"/>
      <c r="AK809" s="55"/>
      <c r="AL809" s="55"/>
      <c r="AM809" s="55"/>
      <c r="AN809" s="55"/>
    </row>
    <row r="810" spans="1:40" ht="14" x14ac:dyDescent="0.35">
      <c r="A810" s="55" t="str">
        <f t="shared" si="0"/>
        <v/>
      </c>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c r="AA810" s="55"/>
      <c r="AB810" s="55"/>
      <c r="AC810" s="55"/>
      <c r="AD810" s="55"/>
      <c r="AE810" s="55"/>
      <c r="AF810" s="55"/>
      <c r="AG810" s="55"/>
      <c r="AH810" s="55"/>
      <c r="AI810" s="55"/>
      <c r="AJ810" s="55"/>
      <c r="AK810" s="55"/>
      <c r="AL810" s="55"/>
      <c r="AM810" s="55"/>
      <c r="AN810" s="55"/>
    </row>
    <row r="811" spans="1:40" ht="14" x14ac:dyDescent="0.35">
      <c r="A811" s="55" t="str">
        <f t="shared" si="0"/>
        <v/>
      </c>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c r="AA811" s="55"/>
      <c r="AB811" s="55"/>
      <c r="AC811" s="55"/>
      <c r="AD811" s="55"/>
      <c r="AE811" s="55"/>
      <c r="AF811" s="55"/>
      <c r="AG811" s="55"/>
      <c r="AH811" s="55"/>
      <c r="AI811" s="55"/>
      <c r="AJ811" s="55"/>
      <c r="AK811" s="55"/>
      <c r="AL811" s="55"/>
      <c r="AM811" s="55"/>
      <c r="AN811" s="55"/>
    </row>
    <row r="812" spans="1:40" ht="14" x14ac:dyDescent="0.35">
      <c r="A812" s="55" t="str">
        <f t="shared" si="0"/>
        <v/>
      </c>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c r="AA812" s="55"/>
      <c r="AB812" s="55"/>
      <c r="AC812" s="55"/>
      <c r="AD812" s="55"/>
      <c r="AE812" s="55"/>
      <c r="AF812" s="55"/>
      <c r="AG812" s="55"/>
      <c r="AH812" s="55"/>
      <c r="AI812" s="55"/>
      <c r="AJ812" s="55"/>
      <c r="AK812" s="55"/>
      <c r="AL812" s="55"/>
      <c r="AM812" s="55"/>
      <c r="AN812" s="55"/>
    </row>
    <row r="813" spans="1:40" ht="14" x14ac:dyDescent="0.35">
      <c r="A813" s="55" t="str">
        <f t="shared" si="0"/>
        <v/>
      </c>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c r="AA813" s="55"/>
      <c r="AB813" s="55"/>
      <c r="AC813" s="55"/>
      <c r="AD813" s="55"/>
      <c r="AE813" s="55"/>
      <c r="AF813" s="55"/>
      <c r="AG813" s="55"/>
      <c r="AH813" s="55"/>
      <c r="AI813" s="55"/>
      <c r="AJ813" s="55"/>
      <c r="AK813" s="55"/>
      <c r="AL813" s="55"/>
      <c r="AM813" s="55"/>
      <c r="AN813" s="55"/>
    </row>
    <row r="814" spans="1:40" ht="14" x14ac:dyDescent="0.35">
      <c r="A814" s="55" t="str">
        <f t="shared" si="0"/>
        <v/>
      </c>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c r="AA814" s="55"/>
      <c r="AB814" s="55"/>
      <c r="AC814" s="55"/>
      <c r="AD814" s="55"/>
      <c r="AE814" s="55"/>
      <c r="AF814" s="55"/>
      <c r="AG814" s="55"/>
      <c r="AH814" s="55"/>
      <c r="AI814" s="55"/>
      <c r="AJ814" s="55"/>
      <c r="AK814" s="55"/>
      <c r="AL814" s="55"/>
      <c r="AM814" s="55"/>
      <c r="AN814" s="55"/>
    </row>
    <row r="815" spans="1:40" ht="14" x14ac:dyDescent="0.35">
      <c r="A815" s="55" t="str">
        <f t="shared" si="0"/>
        <v/>
      </c>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c r="AA815" s="55"/>
      <c r="AB815" s="55"/>
      <c r="AC815" s="55"/>
      <c r="AD815" s="55"/>
      <c r="AE815" s="55"/>
      <c r="AF815" s="55"/>
      <c r="AG815" s="55"/>
      <c r="AH815" s="55"/>
      <c r="AI815" s="55"/>
      <c r="AJ815" s="55"/>
      <c r="AK815" s="55"/>
      <c r="AL815" s="55"/>
      <c r="AM815" s="55"/>
      <c r="AN815" s="55"/>
    </row>
    <row r="816" spans="1:40" ht="14" x14ac:dyDescent="0.35">
      <c r="A816" s="55" t="str">
        <f t="shared" si="0"/>
        <v/>
      </c>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c r="AA816" s="55"/>
      <c r="AB816" s="55"/>
      <c r="AC816" s="55"/>
      <c r="AD816" s="55"/>
      <c r="AE816" s="55"/>
      <c r="AF816" s="55"/>
      <c r="AG816" s="55"/>
      <c r="AH816" s="55"/>
      <c r="AI816" s="55"/>
      <c r="AJ816" s="55"/>
      <c r="AK816" s="55"/>
      <c r="AL816" s="55"/>
      <c r="AM816" s="55"/>
      <c r="AN816" s="55"/>
    </row>
    <row r="817" spans="1:40" ht="14" x14ac:dyDescent="0.35">
      <c r="A817" s="55" t="str">
        <f t="shared" si="0"/>
        <v/>
      </c>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c r="AA817" s="55"/>
      <c r="AB817" s="55"/>
      <c r="AC817" s="55"/>
      <c r="AD817" s="55"/>
      <c r="AE817" s="55"/>
      <c r="AF817" s="55"/>
      <c r="AG817" s="55"/>
      <c r="AH817" s="55"/>
      <c r="AI817" s="55"/>
      <c r="AJ817" s="55"/>
      <c r="AK817" s="55"/>
      <c r="AL817" s="55"/>
      <c r="AM817" s="55"/>
      <c r="AN817" s="55"/>
    </row>
    <row r="818" spans="1:40" ht="14" x14ac:dyDescent="0.35">
      <c r="A818" s="55" t="str">
        <f t="shared" si="0"/>
        <v/>
      </c>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c r="AA818" s="55"/>
      <c r="AB818" s="55"/>
      <c r="AC818" s="55"/>
      <c r="AD818" s="55"/>
      <c r="AE818" s="55"/>
      <c r="AF818" s="55"/>
      <c r="AG818" s="55"/>
      <c r="AH818" s="55"/>
      <c r="AI818" s="55"/>
      <c r="AJ818" s="55"/>
      <c r="AK818" s="55"/>
      <c r="AL818" s="55"/>
      <c r="AM818" s="55"/>
      <c r="AN818" s="55"/>
    </row>
    <row r="819" spans="1:40" ht="14" x14ac:dyDescent="0.35">
      <c r="A819" s="55" t="str">
        <f t="shared" si="0"/>
        <v/>
      </c>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c r="AA819" s="55"/>
      <c r="AB819" s="55"/>
      <c r="AC819" s="55"/>
      <c r="AD819" s="55"/>
      <c r="AE819" s="55"/>
      <c r="AF819" s="55"/>
      <c r="AG819" s="55"/>
      <c r="AH819" s="55"/>
      <c r="AI819" s="55"/>
      <c r="AJ819" s="55"/>
      <c r="AK819" s="55"/>
      <c r="AL819" s="55"/>
      <c r="AM819" s="55"/>
      <c r="AN819" s="55"/>
    </row>
    <row r="820" spans="1:40" ht="14" x14ac:dyDescent="0.35">
      <c r="A820" s="55" t="str">
        <f t="shared" si="0"/>
        <v/>
      </c>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c r="AA820" s="55"/>
      <c r="AB820" s="55"/>
      <c r="AC820" s="55"/>
      <c r="AD820" s="55"/>
      <c r="AE820" s="55"/>
      <c r="AF820" s="55"/>
      <c r="AG820" s="55"/>
      <c r="AH820" s="55"/>
      <c r="AI820" s="55"/>
      <c r="AJ820" s="55"/>
      <c r="AK820" s="55"/>
      <c r="AL820" s="55"/>
      <c r="AM820" s="55"/>
      <c r="AN820" s="55"/>
    </row>
    <row r="821" spans="1:40" ht="14" x14ac:dyDescent="0.35">
      <c r="A821" s="55" t="str">
        <f t="shared" si="0"/>
        <v/>
      </c>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c r="AA821" s="55"/>
      <c r="AB821" s="55"/>
      <c r="AC821" s="55"/>
      <c r="AD821" s="55"/>
      <c r="AE821" s="55"/>
      <c r="AF821" s="55"/>
      <c r="AG821" s="55"/>
      <c r="AH821" s="55"/>
      <c r="AI821" s="55"/>
      <c r="AJ821" s="55"/>
      <c r="AK821" s="55"/>
      <c r="AL821" s="55"/>
      <c r="AM821" s="55"/>
      <c r="AN821" s="55"/>
    </row>
    <row r="822" spans="1:40" ht="14" x14ac:dyDescent="0.35">
      <c r="A822" s="55" t="str">
        <f t="shared" si="0"/>
        <v/>
      </c>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c r="AA822" s="55"/>
      <c r="AB822" s="55"/>
      <c r="AC822" s="55"/>
      <c r="AD822" s="55"/>
      <c r="AE822" s="55"/>
      <c r="AF822" s="55"/>
      <c r="AG822" s="55"/>
      <c r="AH822" s="55"/>
      <c r="AI822" s="55"/>
      <c r="AJ822" s="55"/>
      <c r="AK822" s="55"/>
      <c r="AL822" s="55"/>
      <c r="AM822" s="55"/>
      <c r="AN822" s="55"/>
    </row>
    <row r="823" spans="1:40" ht="14" x14ac:dyDescent="0.35">
      <c r="A823" s="55" t="str">
        <f t="shared" si="0"/>
        <v/>
      </c>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c r="AA823" s="55"/>
      <c r="AB823" s="55"/>
      <c r="AC823" s="55"/>
      <c r="AD823" s="55"/>
      <c r="AE823" s="55"/>
      <c r="AF823" s="55"/>
      <c r="AG823" s="55"/>
      <c r="AH823" s="55"/>
      <c r="AI823" s="55"/>
      <c r="AJ823" s="55"/>
      <c r="AK823" s="55"/>
      <c r="AL823" s="55"/>
      <c r="AM823" s="55"/>
      <c r="AN823" s="55"/>
    </row>
    <row r="824" spans="1:40" ht="14" x14ac:dyDescent="0.35">
      <c r="A824" s="55" t="str">
        <f t="shared" si="0"/>
        <v/>
      </c>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c r="AA824" s="55"/>
      <c r="AB824" s="55"/>
      <c r="AC824" s="55"/>
      <c r="AD824" s="55"/>
      <c r="AE824" s="55"/>
      <c r="AF824" s="55"/>
      <c r="AG824" s="55"/>
      <c r="AH824" s="55"/>
      <c r="AI824" s="55"/>
      <c r="AJ824" s="55"/>
      <c r="AK824" s="55"/>
      <c r="AL824" s="55"/>
      <c r="AM824" s="55"/>
      <c r="AN824" s="55"/>
    </row>
    <row r="825" spans="1:40" ht="14" x14ac:dyDescent="0.35">
      <c r="A825" s="55" t="str">
        <f t="shared" si="0"/>
        <v/>
      </c>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c r="AA825" s="55"/>
      <c r="AB825" s="55"/>
      <c r="AC825" s="55"/>
      <c r="AD825" s="55"/>
      <c r="AE825" s="55"/>
      <c r="AF825" s="55"/>
      <c r="AG825" s="55"/>
      <c r="AH825" s="55"/>
      <c r="AI825" s="55"/>
      <c r="AJ825" s="55"/>
      <c r="AK825" s="55"/>
      <c r="AL825" s="55"/>
      <c r="AM825" s="55"/>
      <c r="AN825" s="55"/>
    </row>
    <row r="826" spans="1:40" ht="14" x14ac:dyDescent="0.35">
      <c r="A826" s="55" t="str">
        <f t="shared" si="0"/>
        <v/>
      </c>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c r="AC826" s="55"/>
      <c r="AD826" s="55"/>
      <c r="AE826" s="55"/>
      <c r="AF826" s="55"/>
      <c r="AG826" s="55"/>
      <c r="AH826" s="55"/>
      <c r="AI826" s="55"/>
      <c r="AJ826" s="55"/>
      <c r="AK826" s="55"/>
      <c r="AL826" s="55"/>
      <c r="AM826" s="55"/>
      <c r="AN826" s="55"/>
    </row>
    <row r="827" spans="1:40" ht="14" x14ac:dyDescent="0.35">
      <c r="A827" s="55" t="str">
        <f t="shared" si="0"/>
        <v/>
      </c>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c r="AA827" s="55"/>
      <c r="AB827" s="55"/>
      <c r="AC827" s="55"/>
      <c r="AD827" s="55"/>
      <c r="AE827" s="55"/>
      <c r="AF827" s="55"/>
      <c r="AG827" s="55"/>
      <c r="AH827" s="55"/>
      <c r="AI827" s="55"/>
      <c r="AJ827" s="55"/>
      <c r="AK827" s="55"/>
      <c r="AL827" s="55"/>
      <c r="AM827" s="55"/>
      <c r="AN827" s="55"/>
    </row>
    <row r="828" spans="1:40" ht="14" x14ac:dyDescent="0.35">
      <c r="A828" s="55" t="str">
        <f t="shared" si="0"/>
        <v/>
      </c>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c r="AA828" s="55"/>
      <c r="AB828" s="55"/>
      <c r="AC828" s="55"/>
      <c r="AD828" s="55"/>
      <c r="AE828" s="55"/>
      <c r="AF828" s="55"/>
      <c r="AG828" s="55"/>
      <c r="AH828" s="55"/>
      <c r="AI828" s="55"/>
      <c r="AJ828" s="55"/>
      <c r="AK828" s="55"/>
      <c r="AL828" s="55"/>
      <c r="AM828" s="55"/>
      <c r="AN828" s="55"/>
    </row>
    <row r="829" spans="1:40" ht="14" x14ac:dyDescent="0.35">
      <c r="A829" s="55" t="str">
        <f t="shared" si="0"/>
        <v/>
      </c>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c r="AA829" s="55"/>
      <c r="AB829" s="55"/>
      <c r="AC829" s="55"/>
      <c r="AD829" s="55"/>
      <c r="AE829" s="55"/>
      <c r="AF829" s="55"/>
      <c r="AG829" s="55"/>
      <c r="AH829" s="55"/>
      <c r="AI829" s="55"/>
      <c r="AJ829" s="55"/>
      <c r="AK829" s="55"/>
      <c r="AL829" s="55"/>
      <c r="AM829" s="55"/>
      <c r="AN829" s="55"/>
    </row>
    <row r="830" spans="1:40" ht="14" x14ac:dyDescent="0.35">
      <c r="A830" s="55" t="str">
        <f t="shared" si="0"/>
        <v/>
      </c>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c r="AA830" s="55"/>
      <c r="AB830" s="55"/>
      <c r="AC830" s="55"/>
      <c r="AD830" s="55"/>
      <c r="AE830" s="55"/>
      <c r="AF830" s="55"/>
      <c r="AG830" s="55"/>
      <c r="AH830" s="55"/>
      <c r="AI830" s="55"/>
      <c r="AJ830" s="55"/>
      <c r="AK830" s="55"/>
      <c r="AL830" s="55"/>
      <c r="AM830" s="55"/>
      <c r="AN830" s="55"/>
    </row>
    <row r="831" spans="1:40" ht="14" x14ac:dyDescent="0.35">
      <c r="A831" s="55" t="str">
        <f t="shared" si="0"/>
        <v/>
      </c>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c r="AA831" s="55"/>
      <c r="AB831" s="55"/>
      <c r="AC831" s="55"/>
      <c r="AD831" s="55"/>
      <c r="AE831" s="55"/>
      <c r="AF831" s="55"/>
      <c r="AG831" s="55"/>
      <c r="AH831" s="55"/>
      <c r="AI831" s="55"/>
      <c r="AJ831" s="55"/>
      <c r="AK831" s="55"/>
      <c r="AL831" s="55"/>
      <c r="AM831" s="55"/>
      <c r="AN831" s="55"/>
    </row>
    <row r="832" spans="1:40" ht="14" x14ac:dyDescent="0.35">
      <c r="A832" s="55" t="str">
        <f t="shared" si="0"/>
        <v/>
      </c>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c r="AA832" s="55"/>
      <c r="AB832" s="55"/>
      <c r="AC832" s="55"/>
      <c r="AD832" s="55"/>
      <c r="AE832" s="55"/>
      <c r="AF832" s="55"/>
      <c r="AG832" s="55"/>
      <c r="AH832" s="55"/>
      <c r="AI832" s="55"/>
      <c r="AJ832" s="55"/>
      <c r="AK832" s="55"/>
      <c r="AL832" s="55"/>
      <c r="AM832" s="55"/>
      <c r="AN832" s="55"/>
    </row>
    <row r="833" spans="1:40" ht="14" x14ac:dyDescent="0.35">
      <c r="A833" s="55" t="str">
        <f t="shared" si="0"/>
        <v/>
      </c>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c r="AA833" s="55"/>
      <c r="AB833" s="55"/>
      <c r="AC833" s="55"/>
      <c r="AD833" s="55"/>
      <c r="AE833" s="55"/>
      <c r="AF833" s="55"/>
      <c r="AG833" s="55"/>
      <c r="AH833" s="55"/>
      <c r="AI833" s="55"/>
      <c r="AJ833" s="55"/>
      <c r="AK833" s="55"/>
      <c r="AL833" s="55"/>
      <c r="AM833" s="55"/>
      <c r="AN833" s="55"/>
    </row>
    <row r="834" spans="1:40" ht="14" x14ac:dyDescent="0.35">
      <c r="A834" s="55" t="str">
        <f t="shared" si="0"/>
        <v/>
      </c>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c r="AA834" s="55"/>
      <c r="AB834" s="55"/>
      <c r="AC834" s="55"/>
      <c r="AD834" s="55"/>
      <c r="AE834" s="55"/>
      <c r="AF834" s="55"/>
      <c r="AG834" s="55"/>
      <c r="AH834" s="55"/>
      <c r="AI834" s="55"/>
      <c r="AJ834" s="55"/>
      <c r="AK834" s="55"/>
      <c r="AL834" s="55"/>
      <c r="AM834" s="55"/>
      <c r="AN834" s="55"/>
    </row>
    <row r="835" spans="1:40" ht="14" x14ac:dyDescent="0.35">
      <c r="A835" s="55" t="str">
        <f t="shared" si="0"/>
        <v/>
      </c>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c r="AA835" s="55"/>
      <c r="AB835" s="55"/>
      <c r="AC835" s="55"/>
      <c r="AD835" s="55"/>
      <c r="AE835" s="55"/>
      <c r="AF835" s="55"/>
      <c r="AG835" s="55"/>
      <c r="AH835" s="55"/>
      <c r="AI835" s="55"/>
      <c r="AJ835" s="55"/>
      <c r="AK835" s="55"/>
      <c r="AL835" s="55"/>
      <c r="AM835" s="55"/>
      <c r="AN835" s="55"/>
    </row>
    <row r="836" spans="1:40" ht="14" x14ac:dyDescent="0.35">
      <c r="A836" s="55" t="str">
        <f t="shared" si="0"/>
        <v/>
      </c>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c r="AA836" s="55"/>
      <c r="AB836" s="55"/>
      <c r="AC836" s="55"/>
      <c r="AD836" s="55"/>
      <c r="AE836" s="55"/>
      <c r="AF836" s="55"/>
      <c r="AG836" s="55"/>
      <c r="AH836" s="55"/>
      <c r="AI836" s="55"/>
      <c r="AJ836" s="55"/>
      <c r="AK836" s="55"/>
      <c r="AL836" s="55"/>
      <c r="AM836" s="55"/>
      <c r="AN836" s="55"/>
    </row>
    <row r="837" spans="1:40" ht="14" x14ac:dyDescent="0.35">
      <c r="A837" s="55" t="str">
        <f t="shared" si="0"/>
        <v/>
      </c>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c r="AA837" s="55"/>
      <c r="AB837" s="55"/>
      <c r="AC837" s="55"/>
      <c r="AD837" s="55"/>
      <c r="AE837" s="55"/>
      <c r="AF837" s="55"/>
      <c r="AG837" s="55"/>
      <c r="AH837" s="55"/>
      <c r="AI837" s="55"/>
      <c r="AJ837" s="55"/>
      <c r="AK837" s="55"/>
      <c r="AL837" s="55"/>
      <c r="AM837" s="55"/>
      <c r="AN837" s="55"/>
    </row>
    <row r="838" spans="1:40" ht="14" x14ac:dyDescent="0.35">
      <c r="A838" s="55" t="str">
        <f t="shared" si="0"/>
        <v/>
      </c>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c r="AA838" s="55"/>
      <c r="AB838" s="55"/>
      <c r="AC838" s="55"/>
      <c r="AD838" s="55"/>
      <c r="AE838" s="55"/>
      <c r="AF838" s="55"/>
      <c r="AG838" s="55"/>
      <c r="AH838" s="55"/>
      <c r="AI838" s="55"/>
      <c r="AJ838" s="55"/>
      <c r="AK838" s="55"/>
      <c r="AL838" s="55"/>
      <c r="AM838" s="55"/>
      <c r="AN838" s="55"/>
    </row>
    <row r="839" spans="1:40" ht="14" x14ac:dyDescent="0.35">
      <c r="A839" s="55" t="str">
        <f t="shared" si="0"/>
        <v/>
      </c>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c r="AA839" s="55"/>
      <c r="AB839" s="55"/>
      <c r="AC839" s="55"/>
      <c r="AD839" s="55"/>
      <c r="AE839" s="55"/>
      <c r="AF839" s="55"/>
      <c r="AG839" s="55"/>
      <c r="AH839" s="55"/>
      <c r="AI839" s="55"/>
      <c r="AJ839" s="55"/>
      <c r="AK839" s="55"/>
      <c r="AL839" s="55"/>
      <c r="AM839" s="55"/>
      <c r="AN839" s="55"/>
    </row>
    <row r="840" spans="1:40" ht="14" x14ac:dyDescent="0.35">
      <c r="A840" s="55" t="str">
        <f t="shared" si="0"/>
        <v/>
      </c>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c r="AA840" s="55"/>
      <c r="AB840" s="55"/>
      <c r="AC840" s="55"/>
      <c r="AD840" s="55"/>
      <c r="AE840" s="55"/>
      <c r="AF840" s="55"/>
      <c r="AG840" s="55"/>
      <c r="AH840" s="55"/>
      <c r="AI840" s="55"/>
      <c r="AJ840" s="55"/>
      <c r="AK840" s="55"/>
      <c r="AL840" s="55"/>
      <c r="AM840" s="55"/>
      <c r="AN840" s="55"/>
    </row>
    <row r="841" spans="1:40" ht="14" x14ac:dyDescent="0.35">
      <c r="A841" s="55" t="str">
        <f t="shared" si="0"/>
        <v/>
      </c>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c r="AA841" s="55"/>
      <c r="AB841" s="55"/>
      <c r="AC841" s="55"/>
      <c r="AD841" s="55"/>
      <c r="AE841" s="55"/>
      <c r="AF841" s="55"/>
      <c r="AG841" s="55"/>
      <c r="AH841" s="55"/>
      <c r="AI841" s="55"/>
      <c r="AJ841" s="55"/>
      <c r="AK841" s="55"/>
      <c r="AL841" s="55"/>
      <c r="AM841" s="55"/>
      <c r="AN841" s="55"/>
    </row>
    <row r="842" spans="1:40" ht="14" x14ac:dyDescent="0.35">
      <c r="A842" s="55" t="str">
        <f t="shared" si="0"/>
        <v/>
      </c>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c r="AA842" s="55"/>
      <c r="AB842" s="55"/>
      <c r="AC842" s="55"/>
      <c r="AD842" s="55"/>
      <c r="AE842" s="55"/>
      <c r="AF842" s="55"/>
      <c r="AG842" s="55"/>
      <c r="AH842" s="55"/>
      <c r="AI842" s="55"/>
      <c r="AJ842" s="55"/>
      <c r="AK842" s="55"/>
      <c r="AL842" s="55"/>
      <c r="AM842" s="55"/>
      <c r="AN842" s="55"/>
    </row>
    <row r="843" spans="1:40" ht="14" x14ac:dyDescent="0.35">
      <c r="A843" s="55" t="str">
        <f t="shared" si="0"/>
        <v/>
      </c>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c r="AA843" s="55"/>
      <c r="AB843" s="55"/>
      <c r="AC843" s="55"/>
      <c r="AD843" s="55"/>
      <c r="AE843" s="55"/>
      <c r="AF843" s="55"/>
      <c r="AG843" s="55"/>
      <c r="AH843" s="55"/>
      <c r="AI843" s="55"/>
      <c r="AJ843" s="55"/>
      <c r="AK843" s="55"/>
      <c r="AL843" s="55"/>
      <c r="AM843" s="55"/>
      <c r="AN843" s="55"/>
    </row>
    <row r="844" spans="1:40" ht="14" x14ac:dyDescent="0.35">
      <c r="A844" s="55" t="str">
        <f t="shared" si="0"/>
        <v/>
      </c>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c r="AA844" s="55"/>
      <c r="AB844" s="55"/>
      <c r="AC844" s="55"/>
      <c r="AD844" s="55"/>
      <c r="AE844" s="55"/>
      <c r="AF844" s="55"/>
      <c r="AG844" s="55"/>
      <c r="AH844" s="55"/>
      <c r="AI844" s="55"/>
      <c r="AJ844" s="55"/>
      <c r="AK844" s="55"/>
      <c r="AL844" s="55"/>
      <c r="AM844" s="55"/>
      <c r="AN844" s="55"/>
    </row>
    <row r="845" spans="1:40" ht="14" x14ac:dyDescent="0.35">
      <c r="A845" s="55" t="str">
        <f t="shared" si="0"/>
        <v/>
      </c>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c r="AA845" s="55"/>
      <c r="AB845" s="55"/>
      <c r="AC845" s="55"/>
      <c r="AD845" s="55"/>
      <c r="AE845" s="55"/>
      <c r="AF845" s="55"/>
      <c r="AG845" s="55"/>
      <c r="AH845" s="55"/>
      <c r="AI845" s="55"/>
      <c r="AJ845" s="55"/>
      <c r="AK845" s="55"/>
      <c r="AL845" s="55"/>
      <c r="AM845" s="55"/>
      <c r="AN845" s="55"/>
    </row>
    <row r="846" spans="1:40" ht="14" x14ac:dyDescent="0.35">
      <c r="A846" s="55" t="str">
        <f t="shared" si="0"/>
        <v/>
      </c>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c r="AA846" s="55"/>
      <c r="AB846" s="55"/>
      <c r="AC846" s="55"/>
      <c r="AD846" s="55"/>
      <c r="AE846" s="55"/>
      <c r="AF846" s="55"/>
      <c r="AG846" s="55"/>
      <c r="AH846" s="55"/>
      <c r="AI846" s="55"/>
      <c r="AJ846" s="55"/>
      <c r="AK846" s="55"/>
      <c r="AL846" s="55"/>
      <c r="AM846" s="55"/>
      <c r="AN846" s="55"/>
    </row>
    <row r="847" spans="1:40" ht="14" x14ac:dyDescent="0.35">
      <c r="A847" s="55" t="str">
        <f t="shared" si="0"/>
        <v/>
      </c>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c r="AA847" s="55"/>
      <c r="AB847" s="55"/>
      <c r="AC847" s="55"/>
      <c r="AD847" s="55"/>
      <c r="AE847" s="55"/>
      <c r="AF847" s="55"/>
      <c r="AG847" s="55"/>
      <c r="AH847" s="55"/>
      <c r="AI847" s="55"/>
      <c r="AJ847" s="55"/>
      <c r="AK847" s="55"/>
      <c r="AL847" s="55"/>
      <c r="AM847" s="55"/>
      <c r="AN847" s="55"/>
    </row>
    <row r="848" spans="1:40" ht="14" x14ac:dyDescent="0.35">
      <c r="A848" s="55" t="str">
        <f t="shared" si="0"/>
        <v/>
      </c>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c r="AA848" s="55"/>
      <c r="AB848" s="55"/>
      <c r="AC848" s="55"/>
      <c r="AD848" s="55"/>
      <c r="AE848" s="55"/>
      <c r="AF848" s="55"/>
      <c r="AG848" s="55"/>
      <c r="AH848" s="55"/>
      <c r="AI848" s="55"/>
      <c r="AJ848" s="55"/>
      <c r="AK848" s="55"/>
      <c r="AL848" s="55"/>
      <c r="AM848" s="55"/>
      <c r="AN848" s="55"/>
    </row>
    <row r="849" spans="1:40" ht="14" x14ac:dyDescent="0.35">
      <c r="A849" s="55" t="str">
        <f t="shared" si="0"/>
        <v/>
      </c>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c r="AA849" s="55"/>
      <c r="AB849" s="55"/>
      <c r="AC849" s="55"/>
      <c r="AD849" s="55"/>
      <c r="AE849" s="55"/>
      <c r="AF849" s="55"/>
      <c r="AG849" s="55"/>
      <c r="AH849" s="55"/>
      <c r="AI849" s="55"/>
      <c r="AJ849" s="55"/>
      <c r="AK849" s="55"/>
      <c r="AL849" s="55"/>
      <c r="AM849" s="55"/>
      <c r="AN849" s="55"/>
    </row>
    <row r="850" spans="1:40" ht="14" x14ac:dyDescent="0.35">
      <c r="A850" s="55" t="str">
        <f t="shared" si="0"/>
        <v/>
      </c>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c r="AA850" s="55"/>
      <c r="AB850" s="55"/>
      <c r="AC850" s="55"/>
      <c r="AD850" s="55"/>
      <c r="AE850" s="55"/>
      <c r="AF850" s="55"/>
      <c r="AG850" s="55"/>
      <c r="AH850" s="55"/>
      <c r="AI850" s="55"/>
      <c r="AJ850" s="55"/>
      <c r="AK850" s="55"/>
      <c r="AL850" s="55"/>
      <c r="AM850" s="55"/>
      <c r="AN850" s="55"/>
    </row>
    <row r="851" spans="1:40" ht="14" x14ac:dyDescent="0.35">
      <c r="A851" s="55" t="str">
        <f t="shared" si="0"/>
        <v/>
      </c>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c r="AA851" s="55"/>
      <c r="AB851" s="55"/>
      <c r="AC851" s="55"/>
      <c r="AD851" s="55"/>
      <c r="AE851" s="55"/>
      <c r="AF851" s="55"/>
      <c r="AG851" s="55"/>
      <c r="AH851" s="55"/>
      <c r="AI851" s="55"/>
      <c r="AJ851" s="55"/>
      <c r="AK851" s="55"/>
      <c r="AL851" s="55"/>
      <c r="AM851" s="55"/>
      <c r="AN851" s="55"/>
    </row>
    <row r="852" spans="1:40" ht="14" x14ac:dyDescent="0.35">
      <c r="A852" s="55" t="str">
        <f t="shared" si="0"/>
        <v/>
      </c>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c r="AA852" s="55"/>
      <c r="AB852" s="55"/>
      <c r="AC852" s="55"/>
      <c r="AD852" s="55"/>
      <c r="AE852" s="55"/>
      <c r="AF852" s="55"/>
      <c r="AG852" s="55"/>
      <c r="AH852" s="55"/>
      <c r="AI852" s="55"/>
      <c r="AJ852" s="55"/>
      <c r="AK852" s="55"/>
      <c r="AL852" s="55"/>
      <c r="AM852" s="55"/>
      <c r="AN852" s="55"/>
    </row>
    <row r="853" spans="1:40" ht="14" x14ac:dyDescent="0.35">
      <c r="A853" s="55" t="str">
        <f t="shared" si="0"/>
        <v/>
      </c>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c r="AA853" s="55"/>
      <c r="AB853" s="55"/>
      <c r="AC853" s="55"/>
      <c r="AD853" s="55"/>
      <c r="AE853" s="55"/>
      <c r="AF853" s="55"/>
      <c r="AG853" s="55"/>
      <c r="AH853" s="55"/>
      <c r="AI853" s="55"/>
      <c r="AJ853" s="55"/>
      <c r="AK853" s="55"/>
      <c r="AL853" s="55"/>
      <c r="AM853" s="55"/>
      <c r="AN853" s="55"/>
    </row>
    <row r="854" spans="1:40" ht="14" x14ac:dyDescent="0.35">
      <c r="A854" s="55" t="str">
        <f t="shared" si="0"/>
        <v/>
      </c>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c r="AA854" s="55"/>
      <c r="AB854" s="55"/>
      <c r="AC854" s="55"/>
      <c r="AD854" s="55"/>
      <c r="AE854" s="55"/>
      <c r="AF854" s="55"/>
      <c r="AG854" s="55"/>
      <c r="AH854" s="55"/>
      <c r="AI854" s="55"/>
      <c r="AJ854" s="55"/>
      <c r="AK854" s="55"/>
      <c r="AL854" s="55"/>
      <c r="AM854" s="55"/>
      <c r="AN854" s="55"/>
    </row>
    <row r="855" spans="1:40" ht="14" x14ac:dyDescent="0.35">
      <c r="A855" s="55" t="str">
        <f t="shared" si="0"/>
        <v/>
      </c>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c r="AA855" s="55"/>
      <c r="AB855" s="55"/>
      <c r="AC855" s="55"/>
      <c r="AD855" s="55"/>
      <c r="AE855" s="55"/>
      <c r="AF855" s="55"/>
      <c r="AG855" s="55"/>
      <c r="AH855" s="55"/>
      <c r="AI855" s="55"/>
      <c r="AJ855" s="55"/>
      <c r="AK855" s="55"/>
      <c r="AL855" s="55"/>
      <c r="AM855" s="55"/>
      <c r="AN855" s="55"/>
    </row>
    <row r="856" spans="1:40" ht="14" x14ac:dyDescent="0.35">
      <c r="A856" s="55" t="str">
        <f t="shared" si="0"/>
        <v/>
      </c>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c r="AA856" s="55"/>
      <c r="AB856" s="55"/>
      <c r="AC856" s="55"/>
      <c r="AD856" s="55"/>
      <c r="AE856" s="55"/>
      <c r="AF856" s="55"/>
      <c r="AG856" s="55"/>
      <c r="AH856" s="55"/>
      <c r="AI856" s="55"/>
      <c r="AJ856" s="55"/>
      <c r="AK856" s="55"/>
      <c r="AL856" s="55"/>
      <c r="AM856" s="55"/>
      <c r="AN856" s="55"/>
    </row>
    <row r="857" spans="1:40" ht="14" x14ac:dyDescent="0.35">
      <c r="A857" s="55" t="str">
        <f t="shared" si="0"/>
        <v/>
      </c>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c r="AA857" s="55"/>
      <c r="AB857" s="55"/>
      <c r="AC857" s="55"/>
      <c r="AD857" s="55"/>
      <c r="AE857" s="55"/>
      <c r="AF857" s="55"/>
      <c r="AG857" s="55"/>
      <c r="AH857" s="55"/>
      <c r="AI857" s="55"/>
      <c r="AJ857" s="55"/>
      <c r="AK857" s="55"/>
      <c r="AL857" s="55"/>
      <c r="AM857" s="55"/>
      <c r="AN857" s="55"/>
    </row>
    <row r="858" spans="1:40" ht="14" x14ac:dyDescent="0.35">
      <c r="A858" s="55" t="str">
        <f t="shared" si="0"/>
        <v/>
      </c>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c r="AA858" s="55"/>
      <c r="AB858" s="55"/>
      <c r="AC858" s="55"/>
      <c r="AD858" s="55"/>
      <c r="AE858" s="55"/>
      <c r="AF858" s="55"/>
      <c r="AG858" s="55"/>
      <c r="AH858" s="55"/>
      <c r="AI858" s="55"/>
      <c r="AJ858" s="55"/>
      <c r="AK858" s="55"/>
      <c r="AL858" s="55"/>
      <c r="AM858" s="55"/>
      <c r="AN858" s="55"/>
    </row>
    <row r="859" spans="1:40" ht="14" x14ac:dyDescent="0.35">
      <c r="A859" s="55" t="str">
        <f t="shared" si="0"/>
        <v/>
      </c>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c r="AA859" s="55"/>
      <c r="AB859" s="55"/>
      <c r="AC859" s="55"/>
      <c r="AD859" s="55"/>
      <c r="AE859" s="55"/>
      <c r="AF859" s="55"/>
      <c r="AG859" s="55"/>
      <c r="AH859" s="55"/>
      <c r="AI859" s="55"/>
      <c r="AJ859" s="55"/>
      <c r="AK859" s="55"/>
      <c r="AL859" s="55"/>
      <c r="AM859" s="55"/>
      <c r="AN859" s="55"/>
    </row>
    <row r="860" spans="1:40" ht="14" x14ac:dyDescent="0.35">
      <c r="A860" s="55" t="str">
        <f t="shared" si="0"/>
        <v/>
      </c>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c r="AA860" s="55"/>
      <c r="AB860" s="55"/>
      <c r="AC860" s="55"/>
      <c r="AD860" s="55"/>
      <c r="AE860" s="55"/>
      <c r="AF860" s="55"/>
      <c r="AG860" s="55"/>
      <c r="AH860" s="55"/>
      <c r="AI860" s="55"/>
      <c r="AJ860" s="55"/>
      <c r="AK860" s="55"/>
      <c r="AL860" s="55"/>
      <c r="AM860" s="55"/>
      <c r="AN860" s="55"/>
    </row>
    <row r="861" spans="1:40" ht="14" x14ac:dyDescent="0.35">
      <c r="A861" s="55" t="str">
        <f t="shared" si="0"/>
        <v/>
      </c>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c r="AA861" s="55"/>
      <c r="AB861" s="55"/>
      <c r="AC861" s="55"/>
      <c r="AD861" s="55"/>
      <c r="AE861" s="55"/>
      <c r="AF861" s="55"/>
      <c r="AG861" s="55"/>
      <c r="AH861" s="55"/>
      <c r="AI861" s="55"/>
      <c r="AJ861" s="55"/>
      <c r="AK861" s="55"/>
      <c r="AL861" s="55"/>
      <c r="AM861" s="55"/>
      <c r="AN861" s="55"/>
    </row>
    <row r="862" spans="1:40" ht="14" x14ac:dyDescent="0.35">
      <c r="A862" s="55" t="str">
        <f t="shared" si="0"/>
        <v/>
      </c>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c r="AA862" s="55"/>
      <c r="AB862" s="55"/>
      <c r="AC862" s="55"/>
      <c r="AD862" s="55"/>
      <c r="AE862" s="55"/>
      <c r="AF862" s="55"/>
      <c r="AG862" s="55"/>
      <c r="AH862" s="55"/>
      <c r="AI862" s="55"/>
      <c r="AJ862" s="55"/>
      <c r="AK862" s="55"/>
      <c r="AL862" s="55"/>
      <c r="AM862" s="55"/>
      <c r="AN862" s="55"/>
    </row>
    <row r="863" spans="1:40" ht="14" x14ac:dyDescent="0.35">
      <c r="A863" s="55" t="str">
        <f t="shared" si="0"/>
        <v/>
      </c>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c r="AA863" s="55"/>
      <c r="AB863" s="55"/>
      <c r="AC863" s="55"/>
      <c r="AD863" s="55"/>
      <c r="AE863" s="55"/>
      <c r="AF863" s="55"/>
      <c r="AG863" s="55"/>
      <c r="AH863" s="55"/>
      <c r="AI863" s="55"/>
      <c r="AJ863" s="55"/>
      <c r="AK863" s="55"/>
      <c r="AL863" s="55"/>
      <c r="AM863" s="55"/>
      <c r="AN863" s="55"/>
    </row>
    <row r="864" spans="1:40" ht="14" x14ac:dyDescent="0.35">
      <c r="A864" s="55" t="str">
        <f t="shared" si="0"/>
        <v/>
      </c>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c r="AA864" s="55"/>
      <c r="AB864" s="55"/>
      <c r="AC864" s="55"/>
      <c r="AD864" s="55"/>
      <c r="AE864" s="55"/>
      <c r="AF864" s="55"/>
      <c r="AG864" s="55"/>
      <c r="AH864" s="55"/>
      <c r="AI864" s="55"/>
      <c r="AJ864" s="55"/>
      <c r="AK864" s="55"/>
      <c r="AL864" s="55"/>
      <c r="AM864" s="55"/>
      <c r="AN864" s="55"/>
    </row>
    <row r="865" spans="1:40" ht="14" x14ac:dyDescent="0.35">
      <c r="A865" s="55" t="str">
        <f t="shared" si="0"/>
        <v/>
      </c>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c r="AA865" s="55"/>
      <c r="AB865" s="55"/>
      <c r="AC865" s="55"/>
      <c r="AD865" s="55"/>
      <c r="AE865" s="55"/>
      <c r="AF865" s="55"/>
      <c r="AG865" s="55"/>
      <c r="AH865" s="55"/>
      <c r="AI865" s="55"/>
      <c r="AJ865" s="55"/>
      <c r="AK865" s="55"/>
      <c r="AL865" s="55"/>
      <c r="AM865" s="55"/>
      <c r="AN865" s="55"/>
    </row>
    <row r="866" spans="1:40" ht="14" x14ac:dyDescent="0.35">
      <c r="A866" s="55" t="str">
        <f t="shared" si="0"/>
        <v/>
      </c>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c r="AA866" s="55"/>
      <c r="AB866" s="55"/>
      <c r="AC866" s="55"/>
      <c r="AD866" s="55"/>
      <c r="AE866" s="55"/>
      <c r="AF866" s="55"/>
      <c r="AG866" s="55"/>
      <c r="AH866" s="55"/>
      <c r="AI866" s="55"/>
      <c r="AJ866" s="55"/>
      <c r="AK866" s="55"/>
      <c r="AL866" s="55"/>
      <c r="AM866" s="55"/>
      <c r="AN866" s="55"/>
    </row>
    <row r="867" spans="1:40" ht="14" x14ac:dyDescent="0.35">
      <c r="A867" s="55" t="str">
        <f t="shared" si="0"/>
        <v/>
      </c>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c r="AA867" s="55"/>
      <c r="AB867" s="55"/>
      <c r="AC867" s="55"/>
      <c r="AD867" s="55"/>
      <c r="AE867" s="55"/>
      <c r="AF867" s="55"/>
      <c r="AG867" s="55"/>
      <c r="AH867" s="55"/>
      <c r="AI867" s="55"/>
      <c r="AJ867" s="55"/>
      <c r="AK867" s="55"/>
      <c r="AL867" s="55"/>
      <c r="AM867" s="55"/>
      <c r="AN867" s="55"/>
    </row>
    <row r="868" spans="1:40" ht="14" x14ac:dyDescent="0.35">
      <c r="A868" s="55" t="str">
        <f t="shared" si="0"/>
        <v/>
      </c>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c r="AA868" s="55"/>
      <c r="AB868" s="55"/>
      <c r="AC868" s="55"/>
      <c r="AD868" s="55"/>
      <c r="AE868" s="55"/>
      <c r="AF868" s="55"/>
      <c r="AG868" s="55"/>
      <c r="AH868" s="55"/>
      <c r="AI868" s="55"/>
      <c r="AJ868" s="55"/>
      <c r="AK868" s="55"/>
      <c r="AL868" s="55"/>
      <c r="AM868" s="55"/>
      <c r="AN868" s="55"/>
    </row>
    <row r="869" spans="1:40" ht="14" x14ac:dyDescent="0.35">
      <c r="A869" s="55" t="str">
        <f t="shared" si="0"/>
        <v/>
      </c>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c r="AA869" s="55"/>
      <c r="AB869" s="55"/>
      <c r="AC869" s="55"/>
      <c r="AD869" s="55"/>
      <c r="AE869" s="55"/>
      <c r="AF869" s="55"/>
      <c r="AG869" s="55"/>
      <c r="AH869" s="55"/>
      <c r="AI869" s="55"/>
      <c r="AJ869" s="55"/>
      <c r="AK869" s="55"/>
      <c r="AL869" s="55"/>
      <c r="AM869" s="55"/>
      <c r="AN869" s="55"/>
    </row>
    <row r="870" spans="1:40" ht="14" x14ac:dyDescent="0.35">
      <c r="A870" s="55" t="str">
        <f t="shared" si="0"/>
        <v/>
      </c>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c r="AA870" s="55"/>
      <c r="AB870" s="55"/>
      <c r="AC870" s="55"/>
      <c r="AD870" s="55"/>
      <c r="AE870" s="55"/>
      <c r="AF870" s="55"/>
      <c r="AG870" s="55"/>
      <c r="AH870" s="55"/>
      <c r="AI870" s="55"/>
      <c r="AJ870" s="55"/>
      <c r="AK870" s="55"/>
      <c r="AL870" s="55"/>
      <c r="AM870" s="55"/>
      <c r="AN870" s="55"/>
    </row>
    <row r="871" spans="1:40" ht="14" x14ac:dyDescent="0.35">
      <c r="A871" s="55" t="str">
        <f t="shared" si="0"/>
        <v/>
      </c>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c r="AA871" s="55"/>
      <c r="AB871" s="55"/>
      <c r="AC871" s="55"/>
      <c r="AD871" s="55"/>
      <c r="AE871" s="55"/>
      <c r="AF871" s="55"/>
      <c r="AG871" s="55"/>
      <c r="AH871" s="55"/>
      <c r="AI871" s="55"/>
      <c r="AJ871" s="55"/>
      <c r="AK871" s="55"/>
      <c r="AL871" s="55"/>
      <c r="AM871" s="55"/>
      <c r="AN871" s="55"/>
    </row>
    <row r="872" spans="1:40" ht="14" x14ac:dyDescent="0.35">
      <c r="A872" s="55" t="str">
        <f t="shared" si="0"/>
        <v/>
      </c>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c r="AA872" s="55"/>
      <c r="AB872" s="55"/>
      <c r="AC872" s="55"/>
      <c r="AD872" s="55"/>
      <c r="AE872" s="55"/>
      <c r="AF872" s="55"/>
      <c r="AG872" s="55"/>
      <c r="AH872" s="55"/>
      <c r="AI872" s="55"/>
      <c r="AJ872" s="55"/>
      <c r="AK872" s="55"/>
      <c r="AL872" s="55"/>
      <c r="AM872" s="55"/>
      <c r="AN872" s="55"/>
    </row>
    <row r="873" spans="1:40" ht="14" x14ac:dyDescent="0.35">
      <c r="A873" s="55" t="str">
        <f t="shared" si="0"/>
        <v/>
      </c>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c r="AA873" s="55"/>
      <c r="AB873" s="55"/>
      <c r="AC873" s="55"/>
      <c r="AD873" s="55"/>
      <c r="AE873" s="55"/>
      <c r="AF873" s="55"/>
      <c r="AG873" s="55"/>
      <c r="AH873" s="55"/>
      <c r="AI873" s="55"/>
      <c r="AJ873" s="55"/>
      <c r="AK873" s="55"/>
      <c r="AL873" s="55"/>
      <c r="AM873" s="55"/>
      <c r="AN873" s="55"/>
    </row>
    <row r="874" spans="1:40" ht="14" x14ac:dyDescent="0.35">
      <c r="A874" s="55" t="str">
        <f t="shared" si="0"/>
        <v/>
      </c>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c r="AA874" s="55"/>
      <c r="AB874" s="55"/>
      <c r="AC874" s="55"/>
      <c r="AD874" s="55"/>
      <c r="AE874" s="55"/>
      <c r="AF874" s="55"/>
      <c r="AG874" s="55"/>
      <c r="AH874" s="55"/>
      <c r="AI874" s="55"/>
      <c r="AJ874" s="55"/>
      <c r="AK874" s="55"/>
      <c r="AL874" s="55"/>
      <c r="AM874" s="55"/>
      <c r="AN874" s="55"/>
    </row>
    <row r="875" spans="1:40" ht="14" x14ac:dyDescent="0.35">
      <c r="A875" s="55" t="str">
        <f t="shared" si="0"/>
        <v/>
      </c>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c r="AA875" s="55"/>
      <c r="AB875" s="55"/>
      <c r="AC875" s="55"/>
      <c r="AD875" s="55"/>
      <c r="AE875" s="55"/>
      <c r="AF875" s="55"/>
      <c r="AG875" s="55"/>
      <c r="AH875" s="55"/>
      <c r="AI875" s="55"/>
      <c r="AJ875" s="55"/>
      <c r="AK875" s="55"/>
      <c r="AL875" s="55"/>
      <c r="AM875" s="55"/>
      <c r="AN875" s="55"/>
    </row>
    <row r="876" spans="1:40" ht="14" x14ac:dyDescent="0.35">
      <c r="A876" s="55" t="str">
        <f t="shared" si="0"/>
        <v/>
      </c>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c r="AA876" s="55"/>
      <c r="AB876" s="55"/>
      <c r="AC876" s="55"/>
      <c r="AD876" s="55"/>
      <c r="AE876" s="55"/>
      <c r="AF876" s="55"/>
      <c r="AG876" s="55"/>
      <c r="AH876" s="55"/>
      <c r="AI876" s="55"/>
      <c r="AJ876" s="55"/>
      <c r="AK876" s="55"/>
      <c r="AL876" s="55"/>
      <c r="AM876" s="55"/>
      <c r="AN876" s="55"/>
    </row>
    <row r="877" spans="1:40" ht="14" x14ac:dyDescent="0.35">
      <c r="A877" s="55" t="str">
        <f t="shared" si="0"/>
        <v/>
      </c>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c r="AA877" s="55"/>
      <c r="AB877" s="55"/>
      <c r="AC877" s="55"/>
      <c r="AD877" s="55"/>
      <c r="AE877" s="55"/>
      <c r="AF877" s="55"/>
      <c r="AG877" s="55"/>
      <c r="AH877" s="55"/>
      <c r="AI877" s="55"/>
      <c r="AJ877" s="55"/>
      <c r="AK877" s="55"/>
      <c r="AL877" s="55"/>
      <c r="AM877" s="55"/>
      <c r="AN877" s="55"/>
    </row>
    <row r="878" spans="1:40" ht="14" x14ac:dyDescent="0.35">
      <c r="A878" s="55" t="str">
        <f t="shared" si="0"/>
        <v/>
      </c>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c r="AA878" s="55"/>
      <c r="AB878" s="55"/>
      <c r="AC878" s="55"/>
      <c r="AD878" s="55"/>
      <c r="AE878" s="55"/>
      <c r="AF878" s="55"/>
      <c r="AG878" s="55"/>
      <c r="AH878" s="55"/>
      <c r="AI878" s="55"/>
      <c r="AJ878" s="55"/>
      <c r="AK878" s="55"/>
      <c r="AL878" s="55"/>
      <c r="AM878" s="55"/>
      <c r="AN878" s="55"/>
    </row>
    <row r="879" spans="1:40" ht="14" x14ac:dyDescent="0.35">
      <c r="A879" s="55" t="str">
        <f t="shared" si="0"/>
        <v/>
      </c>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c r="AA879" s="55"/>
      <c r="AB879" s="55"/>
      <c r="AC879" s="55"/>
      <c r="AD879" s="55"/>
      <c r="AE879" s="55"/>
      <c r="AF879" s="55"/>
      <c r="AG879" s="55"/>
      <c r="AH879" s="55"/>
      <c r="AI879" s="55"/>
      <c r="AJ879" s="55"/>
      <c r="AK879" s="55"/>
      <c r="AL879" s="55"/>
      <c r="AM879" s="55"/>
      <c r="AN879" s="55"/>
    </row>
    <row r="880" spans="1:40" ht="14" x14ac:dyDescent="0.35">
      <c r="A880" s="55" t="str">
        <f t="shared" si="0"/>
        <v/>
      </c>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c r="AA880" s="55"/>
      <c r="AB880" s="55"/>
      <c r="AC880" s="55"/>
      <c r="AD880" s="55"/>
      <c r="AE880" s="55"/>
      <c r="AF880" s="55"/>
      <c r="AG880" s="55"/>
      <c r="AH880" s="55"/>
      <c r="AI880" s="55"/>
      <c r="AJ880" s="55"/>
      <c r="AK880" s="55"/>
      <c r="AL880" s="55"/>
      <c r="AM880" s="55"/>
      <c r="AN880" s="55"/>
    </row>
    <row r="881" spans="1:40" ht="14" x14ac:dyDescent="0.35">
      <c r="A881" s="55" t="str">
        <f t="shared" si="0"/>
        <v/>
      </c>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c r="AA881" s="55"/>
      <c r="AB881" s="55"/>
      <c r="AC881" s="55"/>
      <c r="AD881" s="55"/>
      <c r="AE881" s="55"/>
      <c r="AF881" s="55"/>
      <c r="AG881" s="55"/>
      <c r="AH881" s="55"/>
      <c r="AI881" s="55"/>
      <c r="AJ881" s="55"/>
      <c r="AK881" s="55"/>
      <c r="AL881" s="55"/>
      <c r="AM881" s="55"/>
      <c r="AN881" s="55"/>
    </row>
    <row r="882" spans="1:40" ht="14" x14ac:dyDescent="0.35">
      <c r="A882" s="55" t="str">
        <f t="shared" si="0"/>
        <v/>
      </c>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c r="AA882" s="55"/>
      <c r="AB882" s="55"/>
      <c r="AC882" s="55"/>
      <c r="AD882" s="55"/>
      <c r="AE882" s="55"/>
      <c r="AF882" s="55"/>
      <c r="AG882" s="55"/>
      <c r="AH882" s="55"/>
      <c r="AI882" s="55"/>
      <c r="AJ882" s="55"/>
      <c r="AK882" s="55"/>
      <c r="AL882" s="55"/>
      <c r="AM882" s="55"/>
      <c r="AN882" s="55"/>
    </row>
    <row r="883" spans="1:40" ht="14" x14ac:dyDescent="0.35">
      <c r="A883" s="55" t="str">
        <f t="shared" si="0"/>
        <v/>
      </c>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c r="AA883" s="55"/>
      <c r="AB883" s="55"/>
      <c r="AC883" s="55"/>
      <c r="AD883" s="55"/>
      <c r="AE883" s="55"/>
      <c r="AF883" s="55"/>
      <c r="AG883" s="55"/>
      <c r="AH883" s="55"/>
      <c r="AI883" s="55"/>
      <c r="AJ883" s="55"/>
      <c r="AK883" s="55"/>
      <c r="AL883" s="55"/>
      <c r="AM883" s="55"/>
      <c r="AN883" s="55"/>
    </row>
    <row r="884" spans="1:40" ht="14" x14ac:dyDescent="0.35">
      <c r="A884" s="55" t="str">
        <f t="shared" si="0"/>
        <v/>
      </c>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c r="AA884" s="55"/>
      <c r="AB884" s="55"/>
      <c r="AC884" s="55"/>
      <c r="AD884" s="55"/>
      <c r="AE884" s="55"/>
      <c r="AF884" s="55"/>
      <c r="AG884" s="55"/>
      <c r="AH884" s="55"/>
      <c r="AI884" s="55"/>
      <c r="AJ884" s="55"/>
      <c r="AK884" s="55"/>
      <c r="AL884" s="55"/>
      <c r="AM884" s="55"/>
      <c r="AN884" s="55"/>
    </row>
    <row r="885" spans="1:40" ht="14" x14ac:dyDescent="0.35">
      <c r="A885" s="55" t="str">
        <f t="shared" si="0"/>
        <v/>
      </c>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c r="AA885" s="55"/>
      <c r="AB885" s="55"/>
      <c r="AC885" s="55"/>
      <c r="AD885" s="55"/>
      <c r="AE885" s="55"/>
      <c r="AF885" s="55"/>
      <c r="AG885" s="55"/>
      <c r="AH885" s="55"/>
      <c r="AI885" s="55"/>
      <c r="AJ885" s="55"/>
      <c r="AK885" s="55"/>
      <c r="AL885" s="55"/>
      <c r="AM885" s="55"/>
      <c r="AN885" s="55"/>
    </row>
    <row r="886" spans="1:40" ht="14" x14ac:dyDescent="0.35">
      <c r="A886" s="55" t="str">
        <f t="shared" si="0"/>
        <v/>
      </c>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c r="AA886" s="55"/>
      <c r="AB886" s="55"/>
      <c r="AC886" s="55"/>
      <c r="AD886" s="55"/>
      <c r="AE886" s="55"/>
      <c r="AF886" s="55"/>
      <c r="AG886" s="55"/>
      <c r="AH886" s="55"/>
      <c r="AI886" s="55"/>
      <c r="AJ886" s="55"/>
      <c r="AK886" s="55"/>
      <c r="AL886" s="55"/>
      <c r="AM886" s="55"/>
      <c r="AN886" s="55"/>
    </row>
    <row r="887" spans="1:40" ht="14" x14ac:dyDescent="0.35">
      <c r="A887" s="55" t="str">
        <f t="shared" si="0"/>
        <v/>
      </c>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c r="AA887" s="55"/>
      <c r="AB887" s="55"/>
      <c r="AC887" s="55"/>
      <c r="AD887" s="55"/>
      <c r="AE887" s="55"/>
      <c r="AF887" s="55"/>
      <c r="AG887" s="55"/>
      <c r="AH887" s="55"/>
      <c r="AI887" s="55"/>
      <c r="AJ887" s="55"/>
      <c r="AK887" s="55"/>
      <c r="AL887" s="55"/>
      <c r="AM887" s="55"/>
      <c r="AN887" s="55"/>
    </row>
    <row r="888" spans="1:40" ht="14" x14ac:dyDescent="0.35">
      <c r="A888" s="55" t="str">
        <f t="shared" si="0"/>
        <v/>
      </c>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c r="AA888" s="55"/>
      <c r="AB888" s="55"/>
      <c r="AC888" s="55"/>
      <c r="AD888" s="55"/>
      <c r="AE888" s="55"/>
      <c r="AF888" s="55"/>
      <c r="AG888" s="55"/>
      <c r="AH888" s="55"/>
      <c r="AI888" s="55"/>
      <c r="AJ888" s="55"/>
      <c r="AK888" s="55"/>
      <c r="AL888" s="55"/>
      <c r="AM888" s="55"/>
      <c r="AN888" s="55"/>
    </row>
    <row r="889" spans="1:40" ht="14" x14ac:dyDescent="0.35">
      <c r="A889" s="55" t="str">
        <f t="shared" si="0"/>
        <v/>
      </c>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c r="AA889" s="55"/>
      <c r="AB889" s="55"/>
      <c r="AC889" s="55"/>
      <c r="AD889" s="55"/>
      <c r="AE889" s="55"/>
      <c r="AF889" s="55"/>
      <c r="AG889" s="55"/>
      <c r="AH889" s="55"/>
      <c r="AI889" s="55"/>
      <c r="AJ889" s="55"/>
      <c r="AK889" s="55"/>
      <c r="AL889" s="55"/>
      <c r="AM889" s="55"/>
      <c r="AN889" s="55"/>
    </row>
    <row r="890" spans="1:40" ht="14" x14ac:dyDescent="0.35">
      <c r="A890" s="55" t="str">
        <f t="shared" si="0"/>
        <v/>
      </c>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c r="AA890" s="55"/>
      <c r="AB890" s="55"/>
      <c r="AC890" s="55"/>
      <c r="AD890" s="55"/>
      <c r="AE890" s="55"/>
      <c r="AF890" s="55"/>
      <c r="AG890" s="55"/>
      <c r="AH890" s="55"/>
      <c r="AI890" s="55"/>
      <c r="AJ890" s="55"/>
      <c r="AK890" s="55"/>
      <c r="AL890" s="55"/>
      <c r="AM890" s="55"/>
      <c r="AN890" s="55"/>
    </row>
    <row r="891" spans="1:40" ht="14" x14ac:dyDescent="0.35">
      <c r="A891" s="55" t="str">
        <f t="shared" si="0"/>
        <v/>
      </c>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c r="AA891" s="55"/>
      <c r="AB891" s="55"/>
      <c r="AC891" s="55"/>
      <c r="AD891" s="55"/>
      <c r="AE891" s="55"/>
      <c r="AF891" s="55"/>
      <c r="AG891" s="55"/>
      <c r="AH891" s="55"/>
      <c r="AI891" s="55"/>
      <c r="AJ891" s="55"/>
      <c r="AK891" s="55"/>
      <c r="AL891" s="55"/>
      <c r="AM891" s="55"/>
      <c r="AN891" s="55"/>
    </row>
    <row r="892" spans="1:40" ht="14" x14ac:dyDescent="0.35">
      <c r="A892" s="55" t="str">
        <f t="shared" si="0"/>
        <v/>
      </c>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c r="AA892" s="55"/>
      <c r="AB892" s="55"/>
      <c r="AC892" s="55"/>
      <c r="AD892" s="55"/>
      <c r="AE892" s="55"/>
      <c r="AF892" s="55"/>
      <c r="AG892" s="55"/>
      <c r="AH892" s="55"/>
      <c r="AI892" s="55"/>
      <c r="AJ892" s="55"/>
      <c r="AK892" s="55"/>
      <c r="AL892" s="55"/>
      <c r="AM892" s="55"/>
      <c r="AN892" s="55"/>
    </row>
    <row r="893" spans="1:40" ht="14" x14ac:dyDescent="0.35">
      <c r="A893" s="55" t="str">
        <f t="shared" si="0"/>
        <v/>
      </c>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c r="AA893" s="55"/>
      <c r="AB893" s="55"/>
      <c r="AC893" s="55"/>
      <c r="AD893" s="55"/>
      <c r="AE893" s="55"/>
      <c r="AF893" s="55"/>
      <c r="AG893" s="55"/>
      <c r="AH893" s="55"/>
      <c r="AI893" s="55"/>
      <c r="AJ893" s="55"/>
      <c r="AK893" s="55"/>
      <c r="AL893" s="55"/>
      <c r="AM893" s="55"/>
      <c r="AN893" s="55"/>
    </row>
    <row r="894" spans="1:40" ht="14" x14ac:dyDescent="0.35">
      <c r="A894" s="55" t="str">
        <f t="shared" si="0"/>
        <v/>
      </c>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c r="AA894" s="55"/>
      <c r="AB894" s="55"/>
      <c r="AC894" s="55"/>
      <c r="AD894" s="55"/>
      <c r="AE894" s="55"/>
      <c r="AF894" s="55"/>
      <c r="AG894" s="55"/>
      <c r="AH894" s="55"/>
      <c r="AI894" s="55"/>
      <c r="AJ894" s="55"/>
      <c r="AK894" s="55"/>
      <c r="AL894" s="55"/>
      <c r="AM894" s="55"/>
      <c r="AN894" s="55"/>
    </row>
    <row r="895" spans="1:40" ht="14" x14ac:dyDescent="0.35">
      <c r="A895" s="55" t="str">
        <f t="shared" si="0"/>
        <v/>
      </c>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5"/>
      <c r="AE895" s="55"/>
      <c r="AF895" s="55"/>
      <c r="AG895" s="55"/>
      <c r="AH895" s="55"/>
      <c r="AI895" s="55"/>
      <c r="AJ895" s="55"/>
      <c r="AK895" s="55"/>
      <c r="AL895" s="55"/>
      <c r="AM895" s="55"/>
      <c r="AN895" s="55"/>
    </row>
    <row r="896" spans="1:40" ht="14" x14ac:dyDescent="0.35">
      <c r="A896" s="55" t="str">
        <f t="shared" si="0"/>
        <v/>
      </c>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c r="AA896" s="55"/>
      <c r="AB896" s="55"/>
      <c r="AC896" s="55"/>
      <c r="AD896" s="55"/>
      <c r="AE896" s="55"/>
      <c r="AF896" s="55"/>
      <c r="AG896" s="55"/>
      <c r="AH896" s="55"/>
      <c r="AI896" s="55"/>
      <c r="AJ896" s="55"/>
      <c r="AK896" s="55"/>
      <c r="AL896" s="55"/>
      <c r="AM896" s="55"/>
      <c r="AN896" s="55"/>
    </row>
    <row r="897" spans="1:40" ht="14" x14ac:dyDescent="0.35">
      <c r="A897" s="55" t="str">
        <f t="shared" si="0"/>
        <v/>
      </c>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c r="AA897" s="55"/>
      <c r="AB897" s="55"/>
      <c r="AC897" s="55"/>
      <c r="AD897" s="55"/>
      <c r="AE897" s="55"/>
      <c r="AF897" s="55"/>
      <c r="AG897" s="55"/>
      <c r="AH897" s="55"/>
      <c r="AI897" s="55"/>
      <c r="AJ897" s="55"/>
      <c r="AK897" s="55"/>
      <c r="AL897" s="55"/>
      <c r="AM897" s="55"/>
      <c r="AN897" s="55"/>
    </row>
    <row r="898" spans="1:40" ht="14" x14ac:dyDescent="0.35">
      <c r="A898" s="55" t="str">
        <f t="shared" si="0"/>
        <v/>
      </c>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c r="AA898" s="55"/>
      <c r="AB898" s="55"/>
      <c r="AC898" s="55"/>
      <c r="AD898" s="55"/>
      <c r="AE898" s="55"/>
      <c r="AF898" s="55"/>
      <c r="AG898" s="55"/>
      <c r="AH898" s="55"/>
      <c r="AI898" s="55"/>
      <c r="AJ898" s="55"/>
      <c r="AK898" s="55"/>
      <c r="AL898" s="55"/>
      <c r="AM898" s="55"/>
      <c r="AN898" s="55"/>
    </row>
    <row r="899" spans="1:40" ht="14" x14ac:dyDescent="0.35">
      <c r="A899" s="55" t="str">
        <f t="shared" si="0"/>
        <v/>
      </c>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c r="AA899" s="55"/>
      <c r="AB899" s="55"/>
      <c r="AC899" s="55"/>
      <c r="AD899" s="55"/>
      <c r="AE899" s="55"/>
      <c r="AF899" s="55"/>
      <c r="AG899" s="55"/>
      <c r="AH899" s="55"/>
      <c r="AI899" s="55"/>
      <c r="AJ899" s="55"/>
      <c r="AK899" s="55"/>
      <c r="AL899" s="55"/>
      <c r="AM899" s="55"/>
      <c r="AN899" s="55"/>
    </row>
    <row r="900" spans="1:40" ht="14" x14ac:dyDescent="0.35">
      <c r="A900" s="55" t="str">
        <f t="shared" si="0"/>
        <v/>
      </c>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c r="AA900" s="55"/>
      <c r="AB900" s="55"/>
      <c r="AC900" s="55"/>
      <c r="AD900" s="55"/>
      <c r="AE900" s="55"/>
      <c r="AF900" s="55"/>
      <c r="AG900" s="55"/>
      <c r="AH900" s="55"/>
      <c r="AI900" s="55"/>
      <c r="AJ900" s="55"/>
      <c r="AK900" s="55"/>
      <c r="AL900" s="55"/>
      <c r="AM900" s="55"/>
      <c r="AN900" s="55"/>
    </row>
    <row r="901" spans="1:40" ht="14" x14ac:dyDescent="0.35">
      <c r="A901" s="55" t="str">
        <f t="shared" si="0"/>
        <v/>
      </c>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c r="AA901" s="55"/>
      <c r="AB901" s="55"/>
      <c r="AC901" s="55"/>
      <c r="AD901" s="55"/>
      <c r="AE901" s="55"/>
      <c r="AF901" s="55"/>
      <c r="AG901" s="55"/>
      <c r="AH901" s="55"/>
      <c r="AI901" s="55"/>
      <c r="AJ901" s="55"/>
      <c r="AK901" s="55"/>
      <c r="AL901" s="55"/>
      <c r="AM901" s="55"/>
      <c r="AN901" s="55"/>
    </row>
    <row r="902" spans="1:40" ht="14" x14ac:dyDescent="0.35">
      <c r="A902" s="55" t="str">
        <f t="shared" si="0"/>
        <v/>
      </c>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c r="AA902" s="55"/>
      <c r="AB902" s="55"/>
      <c r="AC902" s="55"/>
      <c r="AD902" s="55"/>
      <c r="AE902" s="55"/>
      <c r="AF902" s="55"/>
      <c r="AG902" s="55"/>
      <c r="AH902" s="55"/>
      <c r="AI902" s="55"/>
      <c r="AJ902" s="55"/>
      <c r="AK902" s="55"/>
      <c r="AL902" s="55"/>
      <c r="AM902" s="55"/>
      <c r="AN902" s="55"/>
    </row>
    <row r="903" spans="1:40" ht="14" x14ac:dyDescent="0.35">
      <c r="A903" s="55" t="str">
        <f t="shared" si="0"/>
        <v/>
      </c>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c r="AA903" s="55"/>
      <c r="AB903" s="55"/>
      <c r="AC903" s="55"/>
      <c r="AD903" s="55"/>
      <c r="AE903" s="55"/>
      <c r="AF903" s="55"/>
      <c r="AG903" s="55"/>
      <c r="AH903" s="55"/>
      <c r="AI903" s="55"/>
      <c r="AJ903" s="55"/>
      <c r="AK903" s="55"/>
      <c r="AL903" s="55"/>
      <c r="AM903" s="55"/>
      <c r="AN903" s="55"/>
    </row>
    <row r="904" spans="1:40" ht="14" x14ac:dyDescent="0.35">
      <c r="A904" s="55" t="str">
        <f t="shared" si="0"/>
        <v/>
      </c>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c r="AA904" s="55"/>
      <c r="AB904" s="55"/>
      <c r="AC904" s="55"/>
      <c r="AD904" s="55"/>
      <c r="AE904" s="55"/>
      <c r="AF904" s="55"/>
      <c r="AG904" s="55"/>
      <c r="AH904" s="55"/>
      <c r="AI904" s="55"/>
      <c r="AJ904" s="55"/>
      <c r="AK904" s="55"/>
      <c r="AL904" s="55"/>
      <c r="AM904" s="55"/>
      <c r="AN904" s="55"/>
    </row>
    <row r="905" spans="1:40" ht="14" x14ac:dyDescent="0.35">
      <c r="A905" s="55" t="str">
        <f t="shared" si="0"/>
        <v/>
      </c>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c r="AA905" s="55"/>
      <c r="AB905" s="55"/>
      <c r="AC905" s="55"/>
      <c r="AD905" s="55"/>
      <c r="AE905" s="55"/>
      <c r="AF905" s="55"/>
      <c r="AG905" s="55"/>
      <c r="AH905" s="55"/>
      <c r="AI905" s="55"/>
      <c r="AJ905" s="55"/>
      <c r="AK905" s="55"/>
      <c r="AL905" s="55"/>
      <c r="AM905" s="55"/>
      <c r="AN905" s="55"/>
    </row>
    <row r="906" spans="1:40" ht="14" x14ac:dyDescent="0.35">
      <c r="A906" s="55" t="str">
        <f t="shared" si="0"/>
        <v/>
      </c>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c r="AA906" s="55"/>
      <c r="AB906" s="55"/>
      <c r="AC906" s="55"/>
      <c r="AD906" s="55"/>
      <c r="AE906" s="55"/>
      <c r="AF906" s="55"/>
      <c r="AG906" s="55"/>
      <c r="AH906" s="55"/>
      <c r="AI906" s="55"/>
      <c r="AJ906" s="55"/>
      <c r="AK906" s="55"/>
      <c r="AL906" s="55"/>
      <c r="AM906" s="55"/>
      <c r="AN906" s="55"/>
    </row>
    <row r="907" spans="1:40" ht="14" x14ac:dyDescent="0.35">
      <c r="A907" s="55" t="str">
        <f t="shared" si="0"/>
        <v/>
      </c>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c r="AA907" s="55"/>
      <c r="AB907" s="55"/>
      <c r="AC907" s="55"/>
      <c r="AD907" s="55"/>
      <c r="AE907" s="55"/>
      <c r="AF907" s="55"/>
      <c r="AG907" s="55"/>
      <c r="AH907" s="55"/>
      <c r="AI907" s="55"/>
      <c r="AJ907" s="55"/>
      <c r="AK907" s="55"/>
      <c r="AL907" s="55"/>
      <c r="AM907" s="55"/>
      <c r="AN907" s="55"/>
    </row>
    <row r="908" spans="1:40" ht="14" x14ac:dyDescent="0.35">
      <c r="A908" s="55" t="str">
        <f t="shared" si="0"/>
        <v/>
      </c>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c r="AA908" s="55"/>
      <c r="AB908" s="55"/>
      <c r="AC908" s="55"/>
      <c r="AD908" s="55"/>
      <c r="AE908" s="55"/>
      <c r="AF908" s="55"/>
      <c r="AG908" s="55"/>
      <c r="AH908" s="55"/>
      <c r="AI908" s="55"/>
      <c r="AJ908" s="55"/>
      <c r="AK908" s="55"/>
      <c r="AL908" s="55"/>
      <c r="AM908" s="55"/>
      <c r="AN908" s="55"/>
    </row>
    <row r="909" spans="1:40" ht="14" x14ac:dyDescent="0.35">
      <c r="A909" s="55" t="str">
        <f t="shared" si="0"/>
        <v/>
      </c>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c r="AA909" s="55"/>
      <c r="AB909" s="55"/>
      <c r="AC909" s="55"/>
      <c r="AD909" s="55"/>
      <c r="AE909" s="55"/>
      <c r="AF909" s="55"/>
      <c r="AG909" s="55"/>
      <c r="AH909" s="55"/>
      <c r="AI909" s="55"/>
      <c r="AJ909" s="55"/>
      <c r="AK909" s="55"/>
      <c r="AL909" s="55"/>
      <c r="AM909" s="55"/>
      <c r="AN909" s="55"/>
    </row>
    <row r="910" spans="1:40" ht="14" x14ac:dyDescent="0.35">
      <c r="A910" s="55" t="str">
        <f t="shared" si="0"/>
        <v/>
      </c>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c r="AA910" s="55"/>
      <c r="AB910" s="55"/>
      <c r="AC910" s="55"/>
      <c r="AD910" s="55"/>
      <c r="AE910" s="55"/>
      <c r="AF910" s="55"/>
      <c r="AG910" s="55"/>
      <c r="AH910" s="55"/>
      <c r="AI910" s="55"/>
      <c r="AJ910" s="55"/>
      <c r="AK910" s="55"/>
      <c r="AL910" s="55"/>
      <c r="AM910" s="55"/>
      <c r="AN910" s="55"/>
    </row>
    <row r="911" spans="1:40" ht="14" x14ac:dyDescent="0.35">
      <c r="A911" s="55" t="str">
        <f t="shared" si="0"/>
        <v/>
      </c>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c r="AA911" s="55"/>
      <c r="AB911" s="55"/>
      <c r="AC911" s="55"/>
      <c r="AD911" s="55"/>
      <c r="AE911" s="55"/>
      <c r="AF911" s="55"/>
      <c r="AG911" s="55"/>
      <c r="AH911" s="55"/>
      <c r="AI911" s="55"/>
      <c r="AJ911" s="55"/>
      <c r="AK911" s="55"/>
      <c r="AL911" s="55"/>
      <c r="AM911" s="55"/>
      <c r="AN911" s="55"/>
    </row>
    <row r="912" spans="1:40" ht="14" x14ac:dyDescent="0.35">
      <c r="A912" s="55" t="str">
        <f t="shared" si="0"/>
        <v/>
      </c>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c r="AA912" s="55"/>
      <c r="AB912" s="55"/>
      <c r="AC912" s="55"/>
      <c r="AD912" s="55"/>
      <c r="AE912" s="55"/>
      <c r="AF912" s="55"/>
      <c r="AG912" s="55"/>
      <c r="AH912" s="55"/>
      <c r="AI912" s="55"/>
      <c r="AJ912" s="55"/>
      <c r="AK912" s="55"/>
      <c r="AL912" s="55"/>
      <c r="AM912" s="55"/>
      <c r="AN912" s="55"/>
    </row>
    <row r="913" spans="1:40" ht="14" x14ac:dyDescent="0.35">
      <c r="A913" s="55" t="str">
        <f t="shared" si="0"/>
        <v/>
      </c>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c r="AA913" s="55"/>
      <c r="AB913" s="55"/>
      <c r="AC913" s="55"/>
      <c r="AD913" s="55"/>
      <c r="AE913" s="55"/>
      <c r="AF913" s="55"/>
      <c r="AG913" s="55"/>
      <c r="AH913" s="55"/>
      <c r="AI913" s="55"/>
      <c r="AJ913" s="55"/>
      <c r="AK913" s="55"/>
      <c r="AL913" s="55"/>
      <c r="AM913" s="55"/>
      <c r="AN913" s="55"/>
    </row>
    <row r="914" spans="1:40" ht="14" x14ac:dyDescent="0.35">
      <c r="A914" s="55" t="str">
        <f t="shared" si="0"/>
        <v/>
      </c>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c r="AA914" s="55"/>
      <c r="AB914" s="55"/>
      <c r="AC914" s="55"/>
      <c r="AD914" s="55"/>
      <c r="AE914" s="55"/>
      <c r="AF914" s="55"/>
      <c r="AG914" s="55"/>
      <c r="AH914" s="55"/>
      <c r="AI914" s="55"/>
      <c r="AJ914" s="55"/>
      <c r="AK914" s="55"/>
      <c r="AL914" s="55"/>
      <c r="AM914" s="55"/>
      <c r="AN914" s="55"/>
    </row>
    <row r="915" spans="1:40" ht="14" x14ac:dyDescent="0.35">
      <c r="A915" s="55" t="str">
        <f t="shared" si="0"/>
        <v/>
      </c>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c r="AA915" s="55"/>
      <c r="AB915" s="55"/>
      <c r="AC915" s="55"/>
      <c r="AD915" s="55"/>
      <c r="AE915" s="55"/>
      <c r="AF915" s="55"/>
      <c r="AG915" s="55"/>
      <c r="AH915" s="55"/>
      <c r="AI915" s="55"/>
      <c r="AJ915" s="55"/>
      <c r="AK915" s="55"/>
      <c r="AL915" s="55"/>
      <c r="AM915" s="55"/>
      <c r="AN915" s="55"/>
    </row>
    <row r="916" spans="1:40" ht="14" x14ac:dyDescent="0.35">
      <c r="A916" s="55" t="str">
        <f t="shared" si="0"/>
        <v/>
      </c>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c r="AA916" s="55"/>
      <c r="AB916" s="55"/>
      <c r="AC916" s="55"/>
      <c r="AD916" s="55"/>
      <c r="AE916" s="55"/>
      <c r="AF916" s="55"/>
      <c r="AG916" s="55"/>
      <c r="AH916" s="55"/>
      <c r="AI916" s="55"/>
      <c r="AJ916" s="55"/>
      <c r="AK916" s="55"/>
      <c r="AL916" s="55"/>
      <c r="AM916" s="55"/>
      <c r="AN916" s="55"/>
    </row>
    <row r="917" spans="1:40" ht="14" x14ac:dyDescent="0.35">
      <c r="A917" s="55" t="str">
        <f t="shared" si="0"/>
        <v/>
      </c>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c r="AA917" s="55"/>
      <c r="AB917" s="55"/>
      <c r="AC917" s="55"/>
      <c r="AD917" s="55"/>
      <c r="AE917" s="55"/>
      <c r="AF917" s="55"/>
      <c r="AG917" s="55"/>
      <c r="AH917" s="55"/>
      <c r="AI917" s="55"/>
      <c r="AJ917" s="55"/>
      <c r="AK917" s="55"/>
      <c r="AL917" s="55"/>
      <c r="AM917" s="55"/>
      <c r="AN917" s="55"/>
    </row>
    <row r="918" spans="1:40" ht="14" x14ac:dyDescent="0.35">
      <c r="A918" s="55" t="str">
        <f t="shared" si="0"/>
        <v/>
      </c>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c r="AA918" s="55"/>
      <c r="AB918" s="55"/>
      <c r="AC918" s="55"/>
      <c r="AD918" s="55"/>
      <c r="AE918" s="55"/>
      <c r="AF918" s="55"/>
      <c r="AG918" s="55"/>
      <c r="AH918" s="55"/>
      <c r="AI918" s="55"/>
      <c r="AJ918" s="55"/>
      <c r="AK918" s="55"/>
      <c r="AL918" s="55"/>
      <c r="AM918" s="55"/>
      <c r="AN918" s="55"/>
    </row>
    <row r="919" spans="1:40" ht="14" x14ac:dyDescent="0.35">
      <c r="A919" s="55" t="str">
        <f t="shared" si="0"/>
        <v/>
      </c>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c r="AA919" s="55"/>
      <c r="AB919" s="55"/>
      <c r="AC919" s="55"/>
      <c r="AD919" s="55"/>
      <c r="AE919" s="55"/>
      <c r="AF919" s="55"/>
      <c r="AG919" s="55"/>
      <c r="AH919" s="55"/>
      <c r="AI919" s="55"/>
      <c r="AJ919" s="55"/>
      <c r="AK919" s="55"/>
      <c r="AL919" s="55"/>
      <c r="AM919" s="55"/>
      <c r="AN919" s="55"/>
    </row>
    <row r="920" spans="1:40" ht="14" x14ac:dyDescent="0.35">
      <c r="A920" s="55" t="str">
        <f t="shared" si="0"/>
        <v/>
      </c>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c r="AA920" s="55"/>
      <c r="AB920" s="55"/>
      <c r="AC920" s="55"/>
      <c r="AD920" s="55"/>
      <c r="AE920" s="55"/>
      <c r="AF920" s="55"/>
      <c r="AG920" s="55"/>
      <c r="AH920" s="55"/>
      <c r="AI920" s="55"/>
      <c r="AJ920" s="55"/>
      <c r="AK920" s="55"/>
      <c r="AL920" s="55"/>
      <c r="AM920" s="55"/>
      <c r="AN920" s="55"/>
    </row>
    <row r="921" spans="1:40" ht="14" x14ac:dyDescent="0.35">
      <c r="A921" s="55" t="str">
        <f t="shared" si="0"/>
        <v/>
      </c>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c r="AA921" s="55"/>
      <c r="AB921" s="55"/>
      <c r="AC921" s="55"/>
      <c r="AD921" s="55"/>
      <c r="AE921" s="55"/>
      <c r="AF921" s="55"/>
      <c r="AG921" s="55"/>
      <c r="AH921" s="55"/>
      <c r="AI921" s="55"/>
      <c r="AJ921" s="55"/>
      <c r="AK921" s="55"/>
      <c r="AL921" s="55"/>
      <c r="AM921" s="55"/>
      <c r="AN921" s="55"/>
    </row>
    <row r="922" spans="1:40" ht="14" x14ac:dyDescent="0.35">
      <c r="A922" s="55" t="str">
        <f t="shared" si="0"/>
        <v/>
      </c>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c r="AA922" s="55"/>
      <c r="AB922" s="55"/>
      <c r="AC922" s="55"/>
      <c r="AD922" s="55"/>
      <c r="AE922" s="55"/>
      <c r="AF922" s="55"/>
      <c r="AG922" s="55"/>
      <c r="AH922" s="55"/>
      <c r="AI922" s="55"/>
      <c r="AJ922" s="55"/>
      <c r="AK922" s="55"/>
      <c r="AL922" s="55"/>
      <c r="AM922" s="55"/>
      <c r="AN922" s="55"/>
    </row>
    <row r="923" spans="1:40" ht="14" x14ac:dyDescent="0.35">
      <c r="A923" s="55" t="str">
        <f t="shared" si="0"/>
        <v/>
      </c>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c r="AA923" s="55"/>
      <c r="AB923" s="55"/>
      <c r="AC923" s="55"/>
      <c r="AD923" s="55"/>
      <c r="AE923" s="55"/>
      <c r="AF923" s="55"/>
      <c r="AG923" s="55"/>
      <c r="AH923" s="55"/>
      <c r="AI923" s="55"/>
      <c r="AJ923" s="55"/>
      <c r="AK923" s="55"/>
      <c r="AL923" s="55"/>
      <c r="AM923" s="55"/>
      <c r="AN923" s="55"/>
    </row>
    <row r="924" spans="1:40" ht="14" x14ac:dyDescent="0.35">
      <c r="A924" s="55" t="str">
        <f t="shared" si="0"/>
        <v/>
      </c>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c r="AA924" s="55"/>
      <c r="AB924" s="55"/>
      <c r="AC924" s="55"/>
      <c r="AD924" s="55"/>
      <c r="AE924" s="55"/>
      <c r="AF924" s="55"/>
      <c r="AG924" s="55"/>
      <c r="AH924" s="55"/>
      <c r="AI924" s="55"/>
      <c r="AJ924" s="55"/>
      <c r="AK924" s="55"/>
      <c r="AL924" s="55"/>
      <c r="AM924" s="55"/>
      <c r="AN924" s="55"/>
    </row>
    <row r="925" spans="1:40" ht="14" x14ac:dyDescent="0.35">
      <c r="A925" s="55" t="str">
        <f t="shared" si="0"/>
        <v/>
      </c>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c r="AA925" s="55"/>
      <c r="AB925" s="55"/>
      <c r="AC925" s="55"/>
      <c r="AD925" s="55"/>
      <c r="AE925" s="55"/>
      <c r="AF925" s="55"/>
      <c r="AG925" s="55"/>
      <c r="AH925" s="55"/>
      <c r="AI925" s="55"/>
      <c r="AJ925" s="55"/>
      <c r="AK925" s="55"/>
      <c r="AL925" s="55"/>
      <c r="AM925" s="55"/>
      <c r="AN925" s="55"/>
    </row>
    <row r="926" spans="1:40" ht="14" x14ac:dyDescent="0.35">
      <c r="A926" s="55" t="str">
        <f t="shared" si="0"/>
        <v/>
      </c>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c r="AA926" s="55"/>
      <c r="AB926" s="55"/>
      <c r="AC926" s="55"/>
      <c r="AD926" s="55"/>
      <c r="AE926" s="55"/>
      <c r="AF926" s="55"/>
      <c r="AG926" s="55"/>
      <c r="AH926" s="55"/>
      <c r="AI926" s="55"/>
      <c r="AJ926" s="55"/>
      <c r="AK926" s="55"/>
      <c r="AL926" s="55"/>
      <c r="AM926" s="55"/>
      <c r="AN926" s="55"/>
    </row>
    <row r="927" spans="1:40" ht="14" x14ac:dyDescent="0.35">
      <c r="A927" s="55" t="str">
        <f t="shared" si="0"/>
        <v/>
      </c>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c r="AA927" s="55"/>
      <c r="AB927" s="55"/>
      <c r="AC927" s="55"/>
      <c r="AD927" s="55"/>
      <c r="AE927" s="55"/>
      <c r="AF927" s="55"/>
      <c r="AG927" s="55"/>
      <c r="AH927" s="55"/>
      <c r="AI927" s="55"/>
      <c r="AJ927" s="55"/>
      <c r="AK927" s="55"/>
      <c r="AL927" s="55"/>
      <c r="AM927" s="55"/>
      <c r="AN927" s="55"/>
    </row>
    <row r="928" spans="1:40" ht="14" x14ac:dyDescent="0.35">
      <c r="A928" s="55" t="str">
        <f t="shared" si="0"/>
        <v/>
      </c>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c r="AA928" s="55"/>
      <c r="AB928" s="55"/>
      <c r="AC928" s="55"/>
      <c r="AD928" s="55"/>
      <c r="AE928" s="55"/>
      <c r="AF928" s="55"/>
      <c r="AG928" s="55"/>
      <c r="AH928" s="55"/>
      <c r="AI928" s="55"/>
      <c r="AJ928" s="55"/>
      <c r="AK928" s="55"/>
      <c r="AL928" s="55"/>
      <c r="AM928" s="55"/>
      <c r="AN928" s="55"/>
    </row>
    <row r="929" spans="1:40" ht="14" x14ac:dyDescent="0.35">
      <c r="A929" s="55" t="str">
        <f t="shared" si="0"/>
        <v/>
      </c>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c r="AA929" s="55"/>
      <c r="AB929" s="55"/>
      <c r="AC929" s="55"/>
      <c r="AD929" s="55"/>
      <c r="AE929" s="55"/>
      <c r="AF929" s="55"/>
      <c r="AG929" s="55"/>
      <c r="AH929" s="55"/>
      <c r="AI929" s="55"/>
      <c r="AJ929" s="55"/>
      <c r="AK929" s="55"/>
      <c r="AL929" s="55"/>
      <c r="AM929" s="55"/>
      <c r="AN929" s="55"/>
    </row>
    <row r="930" spans="1:40" ht="14" x14ac:dyDescent="0.35">
      <c r="A930" s="55" t="str">
        <f t="shared" si="0"/>
        <v/>
      </c>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c r="AA930" s="55"/>
      <c r="AB930" s="55"/>
      <c r="AC930" s="55"/>
      <c r="AD930" s="55"/>
      <c r="AE930" s="55"/>
      <c r="AF930" s="55"/>
      <c r="AG930" s="55"/>
      <c r="AH930" s="55"/>
      <c r="AI930" s="55"/>
      <c r="AJ930" s="55"/>
      <c r="AK930" s="55"/>
      <c r="AL930" s="55"/>
      <c r="AM930" s="55"/>
      <c r="AN930" s="55"/>
    </row>
    <row r="931" spans="1:40" ht="14" x14ac:dyDescent="0.35">
      <c r="A931" s="55" t="str">
        <f t="shared" si="0"/>
        <v/>
      </c>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c r="AA931" s="55"/>
      <c r="AB931" s="55"/>
      <c r="AC931" s="55"/>
      <c r="AD931" s="55"/>
      <c r="AE931" s="55"/>
      <c r="AF931" s="55"/>
      <c r="AG931" s="55"/>
      <c r="AH931" s="55"/>
      <c r="AI931" s="55"/>
      <c r="AJ931" s="55"/>
      <c r="AK931" s="55"/>
      <c r="AL931" s="55"/>
      <c r="AM931" s="55"/>
      <c r="AN931" s="55"/>
    </row>
    <row r="932" spans="1:40" ht="14" x14ac:dyDescent="0.35">
      <c r="A932" s="55" t="str">
        <f t="shared" si="0"/>
        <v/>
      </c>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c r="AA932" s="55"/>
      <c r="AB932" s="55"/>
      <c r="AC932" s="55"/>
      <c r="AD932" s="55"/>
      <c r="AE932" s="55"/>
      <c r="AF932" s="55"/>
      <c r="AG932" s="55"/>
      <c r="AH932" s="55"/>
      <c r="AI932" s="55"/>
      <c r="AJ932" s="55"/>
      <c r="AK932" s="55"/>
      <c r="AL932" s="55"/>
      <c r="AM932" s="55"/>
      <c r="AN932" s="55"/>
    </row>
    <row r="933" spans="1:40" ht="14" x14ac:dyDescent="0.35">
      <c r="A933" s="55" t="str">
        <f t="shared" si="0"/>
        <v/>
      </c>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c r="AA933" s="55"/>
      <c r="AB933" s="55"/>
      <c r="AC933" s="55"/>
      <c r="AD933" s="55"/>
      <c r="AE933" s="55"/>
      <c r="AF933" s="55"/>
      <c r="AG933" s="55"/>
      <c r="AH933" s="55"/>
      <c r="AI933" s="55"/>
      <c r="AJ933" s="55"/>
      <c r="AK933" s="55"/>
      <c r="AL933" s="55"/>
      <c r="AM933" s="55"/>
      <c r="AN933" s="55"/>
    </row>
    <row r="934" spans="1:40" ht="14" x14ac:dyDescent="0.35">
      <c r="A934" s="55" t="str">
        <f t="shared" si="0"/>
        <v/>
      </c>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c r="AA934" s="55"/>
      <c r="AB934" s="55"/>
      <c r="AC934" s="55"/>
      <c r="AD934" s="55"/>
      <c r="AE934" s="55"/>
      <c r="AF934" s="55"/>
      <c r="AG934" s="55"/>
      <c r="AH934" s="55"/>
      <c r="AI934" s="55"/>
      <c r="AJ934" s="55"/>
      <c r="AK934" s="55"/>
      <c r="AL934" s="55"/>
      <c r="AM934" s="55"/>
      <c r="AN934" s="55"/>
    </row>
    <row r="935" spans="1:40" ht="14" x14ac:dyDescent="0.35">
      <c r="A935" s="55" t="str">
        <f t="shared" si="0"/>
        <v/>
      </c>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c r="AA935" s="55"/>
      <c r="AB935" s="55"/>
      <c r="AC935" s="55"/>
      <c r="AD935" s="55"/>
      <c r="AE935" s="55"/>
      <c r="AF935" s="55"/>
      <c r="AG935" s="55"/>
      <c r="AH935" s="55"/>
      <c r="AI935" s="55"/>
      <c r="AJ935" s="55"/>
      <c r="AK935" s="55"/>
      <c r="AL935" s="55"/>
      <c r="AM935" s="55"/>
      <c r="AN935" s="55"/>
    </row>
    <row r="936" spans="1:40" ht="14" x14ac:dyDescent="0.35">
      <c r="A936" s="55" t="str">
        <f t="shared" si="0"/>
        <v/>
      </c>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c r="AA936" s="55"/>
      <c r="AB936" s="55"/>
      <c r="AC936" s="55"/>
      <c r="AD936" s="55"/>
      <c r="AE936" s="55"/>
      <c r="AF936" s="55"/>
      <c r="AG936" s="55"/>
      <c r="AH936" s="55"/>
      <c r="AI936" s="55"/>
      <c r="AJ936" s="55"/>
      <c r="AK936" s="55"/>
      <c r="AL936" s="55"/>
      <c r="AM936" s="55"/>
      <c r="AN936" s="55"/>
    </row>
    <row r="937" spans="1:40" ht="14" x14ac:dyDescent="0.35">
      <c r="A937" s="55" t="str">
        <f t="shared" si="0"/>
        <v/>
      </c>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c r="AA937" s="55"/>
      <c r="AB937" s="55"/>
      <c r="AC937" s="55"/>
      <c r="AD937" s="55"/>
      <c r="AE937" s="55"/>
      <c r="AF937" s="55"/>
      <c r="AG937" s="55"/>
      <c r="AH937" s="55"/>
      <c r="AI937" s="55"/>
      <c r="AJ937" s="55"/>
      <c r="AK937" s="55"/>
      <c r="AL937" s="55"/>
      <c r="AM937" s="55"/>
      <c r="AN937" s="55"/>
    </row>
    <row r="938" spans="1:40" ht="14" x14ac:dyDescent="0.35">
      <c r="A938" s="55" t="str">
        <f t="shared" si="0"/>
        <v/>
      </c>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c r="AA938" s="55"/>
      <c r="AB938" s="55"/>
      <c r="AC938" s="55"/>
      <c r="AD938" s="55"/>
      <c r="AE938" s="55"/>
      <c r="AF938" s="55"/>
      <c r="AG938" s="55"/>
      <c r="AH938" s="55"/>
      <c r="AI938" s="55"/>
      <c r="AJ938" s="55"/>
      <c r="AK938" s="55"/>
      <c r="AL938" s="55"/>
      <c r="AM938" s="55"/>
      <c r="AN938" s="55"/>
    </row>
    <row r="939" spans="1:40" ht="14" x14ac:dyDescent="0.35">
      <c r="A939" s="55" t="str">
        <f t="shared" si="0"/>
        <v/>
      </c>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c r="AA939" s="55"/>
      <c r="AB939" s="55"/>
      <c r="AC939" s="55"/>
      <c r="AD939" s="55"/>
      <c r="AE939" s="55"/>
      <c r="AF939" s="55"/>
      <c r="AG939" s="55"/>
      <c r="AH939" s="55"/>
      <c r="AI939" s="55"/>
      <c r="AJ939" s="55"/>
      <c r="AK939" s="55"/>
      <c r="AL939" s="55"/>
      <c r="AM939" s="55"/>
      <c r="AN939" s="55"/>
    </row>
    <row r="940" spans="1:40" ht="14" x14ac:dyDescent="0.35">
      <c r="A940" s="55" t="str">
        <f t="shared" si="0"/>
        <v/>
      </c>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c r="AA940" s="55"/>
      <c r="AB940" s="55"/>
      <c r="AC940" s="55"/>
      <c r="AD940" s="55"/>
      <c r="AE940" s="55"/>
      <c r="AF940" s="55"/>
      <c r="AG940" s="55"/>
      <c r="AH940" s="55"/>
      <c r="AI940" s="55"/>
      <c r="AJ940" s="55"/>
      <c r="AK940" s="55"/>
      <c r="AL940" s="55"/>
      <c r="AM940" s="55"/>
      <c r="AN940" s="55"/>
    </row>
    <row r="941" spans="1:40" ht="14" x14ac:dyDescent="0.35">
      <c r="A941" s="55" t="str">
        <f t="shared" si="0"/>
        <v/>
      </c>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c r="AA941" s="55"/>
      <c r="AB941" s="55"/>
      <c r="AC941" s="55"/>
      <c r="AD941" s="55"/>
      <c r="AE941" s="55"/>
      <c r="AF941" s="55"/>
      <c r="AG941" s="55"/>
      <c r="AH941" s="55"/>
      <c r="AI941" s="55"/>
      <c r="AJ941" s="55"/>
      <c r="AK941" s="55"/>
      <c r="AL941" s="55"/>
      <c r="AM941" s="55"/>
      <c r="AN941" s="55"/>
    </row>
    <row r="942" spans="1:40" ht="14" x14ac:dyDescent="0.35">
      <c r="A942" s="55" t="str">
        <f t="shared" si="0"/>
        <v/>
      </c>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c r="AA942" s="55"/>
      <c r="AB942" s="55"/>
      <c r="AC942" s="55"/>
      <c r="AD942" s="55"/>
      <c r="AE942" s="55"/>
      <c r="AF942" s="55"/>
      <c r="AG942" s="55"/>
      <c r="AH942" s="55"/>
      <c r="AI942" s="55"/>
      <c r="AJ942" s="55"/>
      <c r="AK942" s="55"/>
      <c r="AL942" s="55"/>
      <c r="AM942" s="55"/>
      <c r="AN942" s="55"/>
    </row>
    <row r="943" spans="1:40" ht="14" x14ac:dyDescent="0.35">
      <c r="A943" s="55" t="str">
        <f t="shared" si="0"/>
        <v/>
      </c>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c r="AA943" s="55"/>
      <c r="AB943" s="55"/>
      <c r="AC943" s="55"/>
      <c r="AD943" s="55"/>
      <c r="AE943" s="55"/>
      <c r="AF943" s="55"/>
      <c r="AG943" s="55"/>
      <c r="AH943" s="55"/>
      <c r="AI943" s="55"/>
      <c r="AJ943" s="55"/>
      <c r="AK943" s="55"/>
      <c r="AL943" s="55"/>
      <c r="AM943" s="55"/>
      <c r="AN943" s="55"/>
    </row>
    <row r="944" spans="1:40" ht="14" x14ac:dyDescent="0.35">
      <c r="A944" s="55" t="str">
        <f t="shared" si="0"/>
        <v/>
      </c>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c r="AA944" s="55"/>
      <c r="AB944" s="55"/>
      <c r="AC944" s="55"/>
      <c r="AD944" s="55"/>
      <c r="AE944" s="55"/>
      <c r="AF944" s="55"/>
      <c r="AG944" s="55"/>
      <c r="AH944" s="55"/>
      <c r="AI944" s="55"/>
      <c r="AJ944" s="55"/>
      <c r="AK944" s="55"/>
      <c r="AL944" s="55"/>
      <c r="AM944" s="55"/>
      <c r="AN944" s="55"/>
    </row>
    <row r="945" spans="1:40" ht="14" x14ac:dyDescent="0.35">
      <c r="A945" s="55" t="str">
        <f t="shared" si="0"/>
        <v/>
      </c>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c r="AA945" s="55"/>
      <c r="AB945" s="55"/>
      <c r="AC945" s="55"/>
      <c r="AD945" s="55"/>
      <c r="AE945" s="55"/>
      <c r="AF945" s="55"/>
      <c r="AG945" s="55"/>
      <c r="AH945" s="55"/>
      <c r="AI945" s="55"/>
      <c r="AJ945" s="55"/>
      <c r="AK945" s="55"/>
      <c r="AL945" s="55"/>
      <c r="AM945" s="55"/>
      <c r="AN945" s="55"/>
    </row>
    <row r="946" spans="1:40" ht="14" x14ac:dyDescent="0.35">
      <c r="A946" s="55" t="str">
        <f t="shared" si="0"/>
        <v/>
      </c>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c r="AA946" s="55"/>
      <c r="AB946" s="55"/>
      <c r="AC946" s="55"/>
      <c r="AD946" s="55"/>
      <c r="AE946" s="55"/>
      <c r="AF946" s="55"/>
      <c r="AG946" s="55"/>
      <c r="AH946" s="55"/>
      <c r="AI946" s="55"/>
      <c r="AJ946" s="55"/>
      <c r="AK946" s="55"/>
      <c r="AL946" s="55"/>
      <c r="AM946" s="55"/>
      <c r="AN946" s="55"/>
    </row>
    <row r="947" spans="1:40" ht="14" x14ac:dyDescent="0.35">
      <c r="A947" s="55" t="str">
        <f t="shared" si="0"/>
        <v/>
      </c>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c r="AA947" s="55"/>
      <c r="AB947" s="55"/>
      <c r="AC947" s="55"/>
      <c r="AD947" s="55"/>
      <c r="AE947" s="55"/>
      <c r="AF947" s="55"/>
      <c r="AG947" s="55"/>
      <c r="AH947" s="55"/>
      <c r="AI947" s="55"/>
      <c r="AJ947" s="55"/>
      <c r="AK947" s="55"/>
      <c r="AL947" s="55"/>
      <c r="AM947" s="55"/>
      <c r="AN947" s="55"/>
    </row>
    <row r="948" spans="1:40" ht="14" x14ac:dyDescent="0.35">
      <c r="A948" s="55" t="str">
        <f t="shared" si="0"/>
        <v/>
      </c>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c r="AA948" s="55"/>
      <c r="AB948" s="55"/>
      <c r="AC948" s="55"/>
      <c r="AD948" s="55"/>
      <c r="AE948" s="55"/>
      <c r="AF948" s="55"/>
      <c r="AG948" s="55"/>
      <c r="AH948" s="55"/>
      <c r="AI948" s="55"/>
      <c r="AJ948" s="55"/>
      <c r="AK948" s="55"/>
      <c r="AL948" s="55"/>
      <c r="AM948" s="55"/>
      <c r="AN948" s="55"/>
    </row>
    <row r="949" spans="1:40" ht="14" x14ac:dyDescent="0.35">
      <c r="A949" s="55" t="str">
        <f t="shared" si="0"/>
        <v/>
      </c>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c r="AA949" s="55"/>
      <c r="AB949" s="55"/>
      <c r="AC949" s="55"/>
      <c r="AD949" s="55"/>
      <c r="AE949" s="55"/>
      <c r="AF949" s="55"/>
      <c r="AG949" s="55"/>
      <c r="AH949" s="55"/>
      <c r="AI949" s="55"/>
      <c r="AJ949" s="55"/>
      <c r="AK949" s="55"/>
      <c r="AL949" s="55"/>
      <c r="AM949" s="55"/>
      <c r="AN949" s="55"/>
    </row>
    <row r="950" spans="1:40" ht="14" x14ac:dyDescent="0.35">
      <c r="A950" s="55" t="str">
        <f t="shared" si="0"/>
        <v/>
      </c>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c r="AA950" s="55"/>
      <c r="AB950" s="55"/>
      <c r="AC950" s="55"/>
      <c r="AD950" s="55"/>
      <c r="AE950" s="55"/>
      <c r="AF950" s="55"/>
      <c r="AG950" s="55"/>
      <c r="AH950" s="55"/>
      <c r="AI950" s="55"/>
      <c r="AJ950" s="55"/>
      <c r="AK950" s="55"/>
      <c r="AL950" s="55"/>
      <c r="AM950" s="55"/>
      <c r="AN950" s="55"/>
    </row>
    <row r="951" spans="1:40" ht="14" x14ac:dyDescent="0.35">
      <c r="A951" s="55" t="str">
        <f t="shared" si="0"/>
        <v/>
      </c>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c r="AA951" s="55"/>
      <c r="AB951" s="55"/>
      <c r="AC951" s="55"/>
      <c r="AD951" s="55"/>
      <c r="AE951" s="55"/>
      <c r="AF951" s="55"/>
      <c r="AG951" s="55"/>
      <c r="AH951" s="55"/>
      <c r="AI951" s="55"/>
      <c r="AJ951" s="55"/>
      <c r="AK951" s="55"/>
      <c r="AL951" s="55"/>
      <c r="AM951" s="55"/>
      <c r="AN951" s="55"/>
    </row>
    <row r="952" spans="1:40" ht="14" x14ac:dyDescent="0.35">
      <c r="A952" s="55" t="str">
        <f t="shared" si="0"/>
        <v/>
      </c>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c r="AA952" s="55"/>
      <c r="AB952" s="55"/>
      <c r="AC952" s="55"/>
      <c r="AD952" s="55"/>
      <c r="AE952" s="55"/>
      <c r="AF952" s="55"/>
      <c r="AG952" s="55"/>
      <c r="AH952" s="55"/>
      <c r="AI952" s="55"/>
      <c r="AJ952" s="55"/>
      <c r="AK952" s="55"/>
      <c r="AL952" s="55"/>
      <c r="AM952" s="55"/>
      <c r="AN952" s="55"/>
    </row>
    <row r="953" spans="1:40" ht="14" x14ac:dyDescent="0.35">
      <c r="A953" s="55" t="str">
        <f t="shared" si="0"/>
        <v/>
      </c>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c r="AA953" s="55"/>
      <c r="AB953" s="55"/>
      <c r="AC953" s="55"/>
      <c r="AD953" s="55"/>
      <c r="AE953" s="55"/>
      <c r="AF953" s="55"/>
      <c r="AG953" s="55"/>
      <c r="AH953" s="55"/>
      <c r="AI953" s="55"/>
      <c r="AJ953" s="55"/>
      <c r="AK953" s="55"/>
      <c r="AL953" s="55"/>
      <c r="AM953" s="55"/>
      <c r="AN953" s="55"/>
    </row>
    <row r="954" spans="1:40" ht="14" x14ac:dyDescent="0.35">
      <c r="A954" s="55" t="str">
        <f t="shared" si="0"/>
        <v/>
      </c>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c r="AA954" s="55"/>
      <c r="AB954" s="55"/>
      <c r="AC954" s="55"/>
      <c r="AD954" s="55"/>
      <c r="AE954" s="55"/>
      <c r="AF954" s="55"/>
      <c r="AG954" s="55"/>
      <c r="AH954" s="55"/>
      <c r="AI954" s="55"/>
      <c r="AJ954" s="55"/>
      <c r="AK954" s="55"/>
      <c r="AL954" s="55"/>
      <c r="AM954" s="55"/>
      <c r="AN954" s="55"/>
    </row>
    <row r="955" spans="1:40" ht="14" x14ac:dyDescent="0.35">
      <c r="A955" s="55" t="str">
        <f t="shared" si="0"/>
        <v/>
      </c>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c r="AA955" s="55"/>
      <c r="AB955" s="55"/>
      <c r="AC955" s="55"/>
      <c r="AD955" s="55"/>
      <c r="AE955" s="55"/>
      <c r="AF955" s="55"/>
      <c r="AG955" s="55"/>
      <c r="AH955" s="55"/>
      <c r="AI955" s="55"/>
      <c r="AJ955" s="55"/>
      <c r="AK955" s="55"/>
      <c r="AL955" s="55"/>
      <c r="AM955" s="55"/>
      <c r="AN955" s="55"/>
    </row>
    <row r="956" spans="1:40" ht="14" x14ac:dyDescent="0.35">
      <c r="A956" s="55" t="str">
        <f t="shared" si="0"/>
        <v/>
      </c>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c r="AA956" s="55"/>
      <c r="AB956" s="55"/>
      <c r="AC956" s="55"/>
      <c r="AD956" s="55"/>
      <c r="AE956" s="55"/>
      <c r="AF956" s="55"/>
      <c r="AG956" s="55"/>
      <c r="AH956" s="55"/>
      <c r="AI956" s="55"/>
      <c r="AJ956" s="55"/>
      <c r="AK956" s="55"/>
      <c r="AL956" s="55"/>
      <c r="AM956" s="55"/>
      <c r="AN956" s="55"/>
    </row>
    <row r="957" spans="1:40" ht="14" x14ac:dyDescent="0.35">
      <c r="A957" s="55" t="str">
        <f t="shared" si="0"/>
        <v/>
      </c>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c r="AA957" s="55"/>
      <c r="AB957" s="55"/>
      <c r="AC957" s="55"/>
      <c r="AD957" s="55"/>
      <c r="AE957" s="55"/>
      <c r="AF957" s="55"/>
      <c r="AG957" s="55"/>
      <c r="AH957" s="55"/>
      <c r="AI957" s="55"/>
      <c r="AJ957" s="55"/>
      <c r="AK957" s="55"/>
      <c r="AL957" s="55"/>
      <c r="AM957" s="55"/>
      <c r="AN957" s="55"/>
    </row>
    <row r="958" spans="1:40" ht="14" x14ac:dyDescent="0.35">
      <c r="A958" s="55" t="str">
        <f t="shared" si="0"/>
        <v/>
      </c>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c r="AA958" s="55"/>
      <c r="AB958" s="55"/>
      <c r="AC958" s="55"/>
      <c r="AD958" s="55"/>
      <c r="AE958" s="55"/>
      <c r="AF958" s="55"/>
      <c r="AG958" s="55"/>
      <c r="AH958" s="55"/>
      <c r="AI958" s="55"/>
      <c r="AJ958" s="55"/>
      <c r="AK958" s="55"/>
      <c r="AL958" s="55"/>
      <c r="AM958" s="55"/>
      <c r="AN958" s="55"/>
    </row>
    <row r="959" spans="1:40" ht="14" x14ac:dyDescent="0.35">
      <c r="A959" s="55" t="str">
        <f t="shared" si="0"/>
        <v/>
      </c>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c r="AA959" s="55"/>
      <c r="AB959" s="55"/>
      <c r="AC959" s="55"/>
      <c r="AD959" s="55"/>
      <c r="AE959" s="55"/>
      <c r="AF959" s="55"/>
      <c r="AG959" s="55"/>
      <c r="AH959" s="55"/>
      <c r="AI959" s="55"/>
      <c r="AJ959" s="55"/>
      <c r="AK959" s="55"/>
      <c r="AL959" s="55"/>
      <c r="AM959" s="55"/>
      <c r="AN959" s="55"/>
    </row>
    <row r="960" spans="1:40" ht="14" x14ac:dyDescent="0.35">
      <c r="A960" s="55" t="str">
        <f t="shared" si="0"/>
        <v/>
      </c>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c r="AA960" s="55"/>
      <c r="AB960" s="55"/>
      <c r="AC960" s="55"/>
      <c r="AD960" s="55"/>
      <c r="AE960" s="55"/>
      <c r="AF960" s="55"/>
      <c r="AG960" s="55"/>
      <c r="AH960" s="55"/>
      <c r="AI960" s="55"/>
      <c r="AJ960" s="55"/>
      <c r="AK960" s="55"/>
      <c r="AL960" s="55"/>
      <c r="AM960" s="55"/>
      <c r="AN960" s="55"/>
    </row>
    <row r="961" spans="1:40" ht="14" x14ac:dyDescent="0.35">
      <c r="A961" s="55" t="str">
        <f t="shared" si="0"/>
        <v/>
      </c>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c r="AA961" s="55"/>
      <c r="AB961" s="55"/>
      <c r="AC961" s="55"/>
      <c r="AD961" s="55"/>
      <c r="AE961" s="55"/>
      <c r="AF961" s="55"/>
      <c r="AG961" s="55"/>
      <c r="AH961" s="55"/>
      <c r="AI961" s="55"/>
      <c r="AJ961" s="55"/>
      <c r="AK961" s="55"/>
      <c r="AL961" s="55"/>
      <c r="AM961" s="55"/>
      <c r="AN961" s="55"/>
    </row>
    <row r="962" spans="1:40" ht="14" x14ac:dyDescent="0.35">
      <c r="A962" s="55" t="str">
        <f t="shared" si="0"/>
        <v/>
      </c>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c r="AA962" s="55"/>
      <c r="AB962" s="55"/>
      <c r="AC962" s="55"/>
      <c r="AD962" s="55"/>
      <c r="AE962" s="55"/>
      <c r="AF962" s="55"/>
      <c r="AG962" s="55"/>
      <c r="AH962" s="55"/>
      <c r="AI962" s="55"/>
      <c r="AJ962" s="55"/>
      <c r="AK962" s="55"/>
      <c r="AL962" s="55"/>
      <c r="AM962" s="55"/>
      <c r="AN962" s="55"/>
    </row>
    <row r="963" spans="1:40" ht="14" x14ac:dyDescent="0.35">
      <c r="A963" s="55" t="str">
        <f t="shared" si="0"/>
        <v/>
      </c>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c r="AA963" s="55"/>
      <c r="AB963" s="55"/>
      <c r="AC963" s="55"/>
      <c r="AD963" s="55"/>
      <c r="AE963" s="55"/>
      <c r="AF963" s="55"/>
      <c r="AG963" s="55"/>
      <c r="AH963" s="55"/>
      <c r="AI963" s="55"/>
      <c r="AJ963" s="55"/>
      <c r="AK963" s="55"/>
      <c r="AL963" s="55"/>
      <c r="AM963" s="55"/>
      <c r="AN963" s="55"/>
    </row>
    <row r="964" spans="1:40" ht="14" x14ac:dyDescent="0.35">
      <c r="A964" s="55" t="str">
        <f t="shared" si="0"/>
        <v/>
      </c>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c r="AA964" s="55"/>
      <c r="AB964" s="55"/>
      <c r="AC964" s="55"/>
      <c r="AD964" s="55"/>
      <c r="AE964" s="55"/>
      <c r="AF964" s="55"/>
      <c r="AG964" s="55"/>
      <c r="AH964" s="55"/>
      <c r="AI964" s="55"/>
      <c r="AJ964" s="55"/>
      <c r="AK964" s="55"/>
      <c r="AL964" s="55"/>
      <c r="AM964" s="55"/>
      <c r="AN964" s="55"/>
    </row>
    <row r="965" spans="1:40" ht="14" x14ac:dyDescent="0.35">
      <c r="A965" s="55" t="str">
        <f t="shared" si="0"/>
        <v/>
      </c>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c r="AA965" s="55"/>
      <c r="AB965" s="55"/>
      <c r="AC965" s="55"/>
      <c r="AD965" s="55"/>
      <c r="AE965" s="55"/>
      <c r="AF965" s="55"/>
      <c r="AG965" s="55"/>
      <c r="AH965" s="55"/>
      <c r="AI965" s="55"/>
      <c r="AJ965" s="55"/>
      <c r="AK965" s="55"/>
      <c r="AL965" s="55"/>
      <c r="AM965" s="55"/>
      <c r="AN965" s="55"/>
    </row>
    <row r="966" spans="1:40" ht="14" x14ac:dyDescent="0.35">
      <c r="A966" s="55" t="str">
        <f t="shared" si="0"/>
        <v/>
      </c>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c r="AA966" s="55"/>
      <c r="AB966" s="55"/>
      <c r="AC966" s="55"/>
      <c r="AD966" s="55"/>
      <c r="AE966" s="55"/>
      <c r="AF966" s="55"/>
      <c r="AG966" s="55"/>
      <c r="AH966" s="55"/>
      <c r="AI966" s="55"/>
      <c r="AJ966" s="55"/>
      <c r="AK966" s="55"/>
      <c r="AL966" s="55"/>
      <c r="AM966" s="55"/>
      <c r="AN966" s="55"/>
    </row>
    <row r="967" spans="1:40" ht="14" x14ac:dyDescent="0.35">
      <c r="A967" s="55" t="str">
        <f t="shared" si="0"/>
        <v/>
      </c>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c r="AA967" s="55"/>
      <c r="AB967" s="55"/>
      <c r="AC967" s="55"/>
      <c r="AD967" s="55"/>
      <c r="AE967" s="55"/>
      <c r="AF967" s="55"/>
      <c r="AG967" s="55"/>
      <c r="AH967" s="55"/>
      <c r="AI967" s="55"/>
      <c r="AJ967" s="55"/>
      <c r="AK967" s="55"/>
      <c r="AL967" s="55"/>
      <c r="AM967" s="55"/>
      <c r="AN967" s="55"/>
    </row>
    <row r="968" spans="1:40" ht="14" x14ac:dyDescent="0.35">
      <c r="A968" s="55" t="str">
        <f t="shared" si="0"/>
        <v/>
      </c>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c r="AA968" s="55"/>
      <c r="AB968" s="55"/>
      <c r="AC968" s="55"/>
      <c r="AD968" s="55"/>
      <c r="AE968" s="55"/>
      <c r="AF968" s="55"/>
      <c r="AG968" s="55"/>
      <c r="AH968" s="55"/>
      <c r="AI968" s="55"/>
      <c r="AJ968" s="55"/>
      <c r="AK968" s="55"/>
      <c r="AL968" s="55"/>
      <c r="AM968" s="55"/>
      <c r="AN968" s="55"/>
    </row>
    <row r="969" spans="1:40" ht="14" x14ac:dyDescent="0.35">
      <c r="A969" s="55" t="str">
        <f t="shared" si="0"/>
        <v/>
      </c>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c r="AA969" s="55"/>
      <c r="AB969" s="55"/>
      <c r="AC969" s="55"/>
      <c r="AD969" s="55"/>
      <c r="AE969" s="55"/>
      <c r="AF969" s="55"/>
      <c r="AG969" s="55"/>
      <c r="AH969" s="55"/>
      <c r="AI969" s="55"/>
      <c r="AJ969" s="55"/>
      <c r="AK969" s="55"/>
      <c r="AL969" s="55"/>
      <c r="AM969" s="55"/>
      <c r="AN969" s="55"/>
    </row>
    <row r="970" spans="1:40" ht="14" x14ac:dyDescent="0.35">
      <c r="A970" s="55" t="str">
        <f t="shared" si="0"/>
        <v/>
      </c>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c r="AA970" s="55"/>
      <c r="AB970" s="55"/>
      <c r="AC970" s="55"/>
      <c r="AD970" s="55"/>
      <c r="AE970" s="55"/>
      <c r="AF970" s="55"/>
      <c r="AG970" s="55"/>
      <c r="AH970" s="55"/>
      <c r="AI970" s="55"/>
      <c r="AJ970" s="55"/>
      <c r="AK970" s="55"/>
      <c r="AL970" s="55"/>
      <c r="AM970" s="55"/>
      <c r="AN970" s="55"/>
    </row>
    <row r="971" spans="1:40" ht="14" x14ac:dyDescent="0.35">
      <c r="A971" s="55" t="str">
        <f t="shared" si="0"/>
        <v/>
      </c>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c r="AA971" s="55"/>
      <c r="AB971" s="55"/>
      <c r="AC971" s="55"/>
      <c r="AD971" s="55"/>
      <c r="AE971" s="55"/>
      <c r="AF971" s="55"/>
      <c r="AG971" s="55"/>
      <c r="AH971" s="55"/>
      <c r="AI971" s="55"/>
      <c r="AJ971" s="55"/>
      <c r="AK971" s="55"/>
      <c r="AL971" s="55"/>
      <c r="AM971" s="55"/>
      <c r="AN971" s="55"/>
    </row>
    <row r="972" spans="1:40" ht="14" x14ac:dyDescent="0.35">
      <c r="A972" s="55" t="str">
        <f t="shared" si="0"/>
        <v/>
      </c>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c r="AA972" s="55"/>
      <c r="AB972" s="55"/>
      <c r="AC972" s="55"/>
      <c r="AD972" s="55"/>
      <c r="AE972" s="55"/>
      <c r="AF972" s="55"/>
      <c r="AG972" s="55"/>
      <c r="AH972" s="55"/>
      <c r="AI972" s="55"/>
      <c r="AJ972" s="55"/>
      <c r="AK972" s="55"/>
      <c r="AL972" s="55"/>
      <c r="AM972" s="55"/>
      <c r="AN972" s="55"/>
    </row>
    <row r="973" spans="1:40" ht="14" x14ac:dyDescent="0.35">
      <c r="A973" s="55" t="str">
        <f t="shared" si="0"/>
        <v/>
      </c>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c r="AA973" s="55"/>
      <c r="AB973" s="55"/>
      <c r="AC973" s="55"/>
      <c r="AD973" s="55"/>
      <c r="AE973" s="55"/>
      <c r="AF973" s="55"/>
      <c r="AG973" s="55"/>
      <c r="AH973" s="55"/>
      <c r="AI973" s="55"/>
      <c r="AJ973" s="55"/>
      <c r="AK973" s="55"/>
      <c r="AL973" s="55"/>
      <c r="AM973" s="55"/>
      <c r="AN973" s="55"/>
    </row>
    <row r="974" spans="1:40" ht="14" x14ac:dyDescent="0.35">
      <c r="A974" s="55" t="str">
        <f t="shared" si="0"/>
        <v/>
      </c>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c r="AA974" s="55"/>
      <c r="AB974" s="55"/>
      <c r="AC974" s="55"/>
      <c r="AD974" s="55"/>
      <c r="AE974" s="55"/>
      <c r="AF974" s="55"/>
      <c r="AG974" s="55"/>
      <c r="AH974" s="55"/>
      <c r="AI974" s="55"/>
      <c r="AJ974" s="55"/>
      <c r="AK974" s="55"/>
      <c r="AL974" s="55"/>
      <c r="AM974" s="55"/>
      <c r="AN974" s="55"/>
    </row>
    <row r="975" spans="1:40" ht="14" x14ac:dyDescent="0.35">
      <c r="A975" s="55" t="str">
        <f t="shared" si="0"/>
        <v/>
      </c>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c r="AA975" s="55"/>
      <c r="AB975" s="55"/>
      <c r="AC975" s="55"/>
      <c r="AD975" s="55"/>
      <c r="AE975" s="55"/>
      <c r="AF975" s="55"/>
      <c r="AG975" s="55"/>
      <c r="AH975" s="55"/>
      <c r="AI975" s="55"/>
      <c r="AJ975" s="55"/>
      <c r="AK975" s="55"/>
      <c r="AL975" s="55"/>
      <c r="AM975" s="55"/>
      <c r="AN975" s="55"/>
    </row>
    <row r="976" spans="1:40" ht="14" x14ac:dyDescent="0.35">
      <c r="A976" s="55" t="str">
        <f t="shared" si="0"/>
        <v/>
      </c>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c r="AA976" s="55"/>
      <c r="AB976" s="55"/>
      <c r="AC976" s="55"/>
      <c r="AD976" s="55"/>
      <c r="AE976" s="55"/>
      <c r="AF976" s="55"/>
      <c r="AG976" s="55"/>
      <c r="AH976" s="55"/>
      <c r="AI976" s="55"/>
      <c r="AJ976" s="55"/>
      <c r="AK976" s="55"/>
      <c r="AL976" s="55"/>
      <c r="AM976" s="55"/>
      <c r="AN976" s="55"/>
    </row>
    <row r="977" spans="1:40" ht="14" x14ac:dyDescent="0.35">
      <c r="A977" s="55" t="str">
        <f t="shared" si="0"/>
        <v/>
      </c>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c r="AA977" s="55"/>
      <c r="AB977" s="55"/>
      <c r="AC977" s="55"/>
      <c r="AD977" s="55"/>
      <c r="AE977" s="55"/>
      <c r="AF977" s="55"/>
      <c r="AG977" s="55"/>
      <c r="AH977" s="55"/>
      <c r="AI977" s="55"/>
      <c r="AJ977" s="55"/>
      <c r="AK977" s="55"/>
      <c r="AL977" s="55"/>
      <c r="AM977" s="55"/>
      <c r="AN977" s="55"/>
    </row>
    <row r="978" spans="1:40" ht="14" x14ac:dyDescent="0.35">
      <c r="A978" s="55" t="str">
        <f t="shared" si="0"/>
        <v/>
      </c>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c r="AA978" s="55"/>
      <c r="AB978" s="55"/>
      <c r="AC978" s="55"/>
      <c r="AD978" s="55"/>
      <c r="AE978" s="55"/>
      <c r="AF978" s="55"/>
      <c r="AG978" s="55"/>
      <c r="AH978" s="55"/>
      <c r="AI978" s="55"/>
      <c r="AJ978" s="55"/>
      <c r="AK978" s="55"/>
      <c r="AL978" s="55"/>
      <c r="AM978" s="55"/>
      <c r="AN978" s="55"/>
    </row>
    <row r="979" spans="1:40" ht="14" x14ac:dyDescent="0.35">
      <c r="A979" s="55" t="str">
        <f t="shared" si="0"/>
        <v/>
      </c>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c r="AA979" s="55"/>
      <c r="AB979" s="55"/>
      <c r="AC979" s="55"/>
      <c r="AD979" s="55"/>
      <c r="AE979" s="55"/>
      <c r="AF979" s="55"/>
      <c r="AG979" s="55"/>
      <c r="AH979" s="55"/>
      <c r="AI979" s="55"/>
      <c r="AJ979" s="55"/>
      <c r="AK979" s="55"/>
      <c r="AL979" s="55"/>
      <c r="AM979" s="55"/>
      <c r="AN979" s="55"/>
    </row>
    <row r="980" spans="1:40" ht="14" x14ac:dyDescent="0.35">
      <c r="A980" s="55" t="str">
        <f t="shared" si="0"/>
        <v/>
      </c>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c r="AA980" s="55"/>
      <c r="AB980" s="55"/>
      <c r="AC980" s="55"/>
      <c r="AD980" s="55"/>
      <c r="AE980" s="55"/>
      <c r="AF980" s="55"/>
      <c r="AG980" s="55"/>
      <c r="AH980" s="55"/>
      <c r="AI980" s="55"/>
      <c r="AJ980" s="55"/>
      <c r="AK980" s="55"/>
      <c r="AL980" s="55"/>
      <c r="AM980" s="55"/>
      <c r="AN980" s="55"/>
    </row>
    <row r="981" spans="1:40" ht="14" x14ac:dyDescent="0.35">
      <c r="A981" s="55" t="str">
        <f t="shared" si="0"/>
        <v/>
      </c>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c r="AA981" s="55"/>
      <c r="AB981" s="55"/>
      <c r="AC981" s="55"/>
      <c r="AD981" s="55"/>
      <c r="AE981" s="55"/>
      <c r="AF981" s="55"/>
      <c r="AG981" s="55"/>
      <c r="AH981" s="55"/>
      <c r="AI981" s="55"/>
      <c r="AJ981" s="55"/>
      <c r="AK981" s="55"/>
      <c r="AL981" s="55"/>
      <c r="AM981" s="55"/>
      <c r="AN981" s="55"/>
    </row>
    <row r="982" spans="1:40" ht="14" x14ac:dyDescent="0.35">
      <c r="A982" s="55" t="str">
        <f t="shared" si="0"/>
        <v/>
      </c>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c r="AA982" s="55"/>
      <c r="AB982" s="55"/>
      <c r="AC982" s="55"/>
      <c r="AD982" s="55"/>
      <c r="AE982" s="55"/>
      <c r="AF982" s="55"/>
      <c r="AG982" s="55"/>
      <c r="AH982" s="55"/>
      <c r="AI982" s="55"/>
      <c r="AJ982" s="55"/>
      <c r="AK982" s="55"/>
      <c r="AL982" s="55"/>
      <c r="AM982" s="55"/>
      <c r="AN982" s="55"/>
    </row>
    <row r="983" spans="1:40" ht="14" x14ac:dyDescent="0.35">
      <c r="A983" s="55" t="str">
        <f t="shared" si="0"/>
        <v/>
      </c>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c r="AA983" s="55"/>
      <c r="AB983" s="55"/>
      <c r="AC983" s="55"/>
      <c r="AD983" s="55"/>
      <c r="AE983" s="55"/>
      <c r="AF983" s="55"/>
      <c r="AG983" s="55"/>
      <c r="AH983" s="55"/>
      <c r="AI983" s="55"/>
      <c r="AJ983" s="55"/>
      <c r="AK983" s="55"/>
      <c r="AL983" s="55"/>
      <c r="AM983" s="55"/>
      <c r="AN983" s="55"/>
    </row>
    <row r="984" spans="1:40" ht="14" x14ac:dyDescent="0.35">
      <c r="A984" s="55" t="str">
        <f t="shared" si="0"/>
        <v/>
      </c>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c r="AA984" s="55"/>
      <c r="AB984" s="55"/>
      <c r="AC984" s="55"/>
      <c r="AD984" s="55"/>
      <c r="AE984" s="55"/>
      <c r="AF984" s="55"/>
      <c r="AG984" s="55"/>
      <c r="AH984" s="55"/>
      <c r="AI984" s="55"/>
      <c r="AJ984" s="55"/>
      <c r="AK984" s="55"/>
      <c r="AL984" s="55"/>
      <c r="AM984" s="55"/>
      <c r="AN984" s="55"/>
    </row>
    <row r="985" spans="1:40" ht="14" x14ac:dyDescent="0.35">
      <c r="A985" s="55" t="str">
        <f t="shared" si="0"/>
        <v/>
      </c>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c r="AA985" s="55"/>
      <c r="AB985" s="55"/>
      <c r="AC985" s="55"/>
      <c r="AD985" s="55"/>
      <c r="AE985" s="55"/>
      <c r="AF985" s="55"/>
      <c r="AG985" s="55"/>
      <c r="AH985" s="55"/>
      <c r="AI985" s="55"/>
      <c r="AJ985" s="55"/>
      <c r="AK985" s="55"/>
      <c r="AL985" s="55"/>
      <c r="AM985" s="55"/>
      <c r="AN985" s="55"/>
    </row>
    <row r="986" spans="1:40" ht="14" x14ac:dyDescent="0.35">
      <c r="A986" s="55" t="str">
        <f t="shared" si="0"/>
        <v/>
      </c>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c r="AA986" s="55"/>
      <c r="AB986" s="55"/>
      <c r="AC986" s="55"/>
      <c r="AD986" s="55"/>
      <c r="AE986" s="55"/>
      <c r="AF986" s="55"/>
      <c r="AG986" s="55"/>
      <c r="AH986" s="55"/>
      <c r="AI986" s="55"/>
      <c r="AJ986" s="55"/>
      <c r="AK986" s="55"/>
      <c r="AL986" s="55"/>
      <c r="AM986" s="55"/>
      <c r="AN986" s="55"/>
    </row>
    <row r="987" spans="1:40" ht="14" x14ac:dyDescent="0.35">
      <c r="A987" s="55" t="str">
        <f t="shared" si="0"/>
        <v/>
      </c>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c r="AA987" s="55"/>
      <c r="AB987" s="55"/>
      <c r="AC987" s="55"/>
      <c r="AD987" s="55"/>
      <c r="AE987" s="55"/>
      <c r="AF987" s="55"/>
      <c r="AG987" s="55"/>
      <c r="AH987" s="55"/>
      <c r="AI987" s="55"/>
      <c r="AJ987" s="55"/>
      <c r="AK987" s="55"/>
      <c r="AL987" s="55"/>
      <c r="AM987" s="55"/>
      <c r="AN987" s="55"/>
    </row>
    <row r="988" spans="1:40" ht="14" x14ac:dyDescent="0.35">
      <c r="A988" s="55" t="str">
        <f t="shared" si="0"/>
        <v/>
      </c>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c r="AA988" s="55"/>
      <c r="AB988" s="55"/>
      <c r="AC988" s="55"/>
      <c r="AD988" s="55"/>
      <c r="AE988" s="55"/>
      <c r="AF988" s="55"/>
      <c r="AG988" s="55"/>
      <c r="AH988" s="55"/>
      <c r="AI988" s="55"/>
      <c r="AJ988" s="55"/>
      <c r="AK988" s="55"/>
      <c r="AL988" s="55"/>
      <c r="AM988" s="55"/>
      <c r="AN988" s="55"/>
    </row>
    <row r="989" spans="1:40" ht="14" x14ac:dyDescent="0.35">
      <c r="A989" s="55" t="str">
        <f t="shared" si="0"/>
        <v/>
      </c>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c r="AA989" s="55"/>
      <c r="AB989" s="55"/>
      <c r="AC989" s="55"/>
      <c r="AD989" s="55"/>
      <c r="AE989" s="55"/>
      <c r="AF989" s="55"/>
      <c r="AG989" s="55"/>
      <c r="AH989" s="55"/>
      <c r="AI989" s="55"/>
      <c r="AJ989" s="55"/>
      <c r="AK989" s="55"/>
      <c r="AL989" s="55"/>
      <c r="AM989" s="55"/>
      <c r="AN989" s="55"/>
    </row>
    <row r="990" spans="1:40" ht="14" x14ac:dyDescent="0.35">
      <c r="A990" s="55" t="str">
        <f t="shared" si="0"/>
        <v/>
      </c>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c r="AA990" s="55"/>
      <c r="AB990" s="55"/>
      <c r="AC990" s="55"/>
      <c r="AD990" s="55"/>
      <c r="AE990" s="55"/>
      <c r="AF990" s="55"/>
      <c r="AG990" s="55"/>
      <c r="AH990" s="55"/>
      <c r="AI990" s="55"/>
      <c r="AJ990" s="55"/>
      <c r="AK990" s="55"/>
      <c r="AL990" s="55"/>
      <c r="AM990" s="55"/>
      <c r="AN990" s="55"/>
    </row>
    <row r="991" spans="1:40" ht="14" x14ac:dyDescent="0.35">
      <c r="A991" s="55" t="str">
        <f t="shared" si="0"/>
        <v/>
      </c>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c r="AA991" s="55"/>
      <c r="AB991" s="55"/>
      <c r="AC991" s="55"/>
      <c r="AD991" s="55"/>
      <c r="AE991" s="55"/>
      <c r="AF991" s="55"/>
      <c r="AG991" s="55"/>
      <c r="AH991" s="55"/>
      <c r="AI991" s="55"/>
      <c r="AJ991" s="55"/>
      <c r="AK991" s="55"/>
      <c r="AL991" s="55"/>
      <c r="AM991" s="55"/>
      <c r="AN991" s="55"/>
    </row>
    <row r="992" spans="1:40" ht="14" x14ac:dyDescent="0.35">
      <c r="A992" s="55" t="str">
        <f t="shared" si="0"/>
        <v/>
      </c>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c r="AA992" s="55"/>
      <c r="AB992" s="55"/>
      <c r="AC992" s="55"/>
      <c r="AD992" s="55"/>
      <c r="AE992" s="55"/>
      <c r="AF992" s="55"/>
      <c r="AG992" s="55"/>
      <c r="AH992" s="55"/>
      <c r="AI992" s="55"/>
      <c r="AJ992" s="55"/>
      <c r="AK992" s="55"/>
      <c r="AL992" s="55"/>
      <c r="AM992" s="55"/>
      <c r="AN992" s="55"/>
    </row>
    <row r="993" spans="1:40" ht="14" x14ac:dyDescent="0.35">
      <c r="A993" s="55" t="str">
        <f t="shared" si="0"/>
        <v/>
      </c>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c r="AA993" s="55"/>
      <c r="AB993" s="55"/>
      <c r="AC993" s="55"/>
      <c r="AD993" s="55"/>
      <c r="AE993" s="55"/>
      <c r="AF993" s="55"/>
      <c r="AG993" s="55"/>
      <c r="AH993" s="55"/>
      <c r="AI993" s="55"/>
      <c r="AJ993" s="55"/>
      <c r="AK993" s="55"/>
      <c r="AL993" s="55"/>
      <c r="AM993" s="55"/>
      <c r="AN993" s="55"/>
    </row>
    <row r="994" spans="1:40" ht="14" x14ac:dyDescent="0.35">
      <c r="A994" s="55" t="str">
        <f t="shared" si="0"/>
        <v/>
      </c>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c r="AA994" s="55"/>
      <c r="AB994" s="55"/>
      <c r="AC994" s="55"/>
      <c r="AD994" s="55"/>
      <c r="AE994" s="55"/>
      <c r="AF994" s="55"/>
      <c r="AG994" s="55"/>
      <c r="AH994" s="55"/>
      <c r="AI994" s="55"/>
      <c r="AJ994" s="55"/>
      <c r="AK994" s="55"/>
      <c r="AL994" s="55"/>
      <c r="AM994" s="55"/>
      <c r="AN994" s="55"/>
    </row>
    <row r="995" spans="1:40" ht="14" x14ac:dyDescent="0.35">
      <c r="A995" s="55" t="str">
        <f t="shared" si="0"/>
        <v/>
      </c>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c r="AA995" s="55"/>
      <c r="AB995" s="55"/>
      <c r="AC995" s="55"/>
      <c r="AD995" s="55"/>
      <c r="AE995" s="55"/>
      <c r="AF995" s="55"/>
      <c r="AG995" s="55"/>
      <c r="AH995" s="55"/>
      <c r="AI995" s="55"/>
      <c r="AJ995" s="55"/>
      <c r="AK995" s="55"/>
      <c r="AL995" s="55"/>
      <c r="AM995" s="55"/>
      <c r="AN995" s="55"/>
    </row>
    <row r="996" spans="1:40" ht="14" x14ac:dyDescent="0.35">
      <c r="A996" s="55" t="str">
        <f t="shared" si="0"/>
        <v/>
      </c>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c r="AA996" s="55"/>
      <c r="AB996" s="55"/>
      <c r="AC996" s="55"/>
      <c r="AD996" s="55"/>
      <c r="AE996" s="55"/>
      <c r="AF996" s="55"/>
      <c r="AG996" s="55"/>
      <c r="AH996" s="55"/>
      <c r="AI996" s="55"/>
      <c r="AJ996" s="55"/>
      <c r="AK996" s="55"/>
      <c r="AL996" s="55"/>
      <c r="AM996" s="55"/>
      <c r="AN996" s="55"/>
    </row>
    <row r="997" spans="1:40" ht="14" x14ac:dyDescent="0.35">
      <c r="A997" s="55" t="str">
        <f t="shared" si="0"/>
        <v/>
      </c>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c r="AA997" s="55"/>
      <c r="AB997" s="55"/>
      <c r="AC997" s="55"/>
      <c r="AD997" s="55"/>
      <c r="AE997" s="55"/>
      <c r="AF997" s="55"/>
      <c r="AG997" s="55"/>
      <c r="AH997" s="55"/>
      <c r="AI997" s="55"/>
      <c r="AJ997" s="55"/>
      <c r="AK997" s="55"/>
      <c r="AL997" s="55"/>
      <c r="AM997" s="55"/>
      <c r="AN997" s="55"/>
    </row>
    <row r="998" spans="1:40" ht="14" x14ac:dyDescent="0.35">
      <c r="A998" s="55" t="str">
        <f t="shared" si="0"/>
        <v/>
      </c>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c r="AA998" s="55"/>
      <c r="AB998" s="55"/>
      <c r="AC998" s="55"/>
      <c r="AD998" s="55"/>
      <c r="AE998" s="55"/>
      <c r="AF998" s="55"/>
      <c r="AG998" s="55"/>
      <c r="AH998" s="55"/>
      <c r="AI998" s="55"/>
      <c r="AJ998" s="55"/>
      <c r="AK998" s="55"/>
      <c r="AL998" s="55"/>
      <c r="AM998" s="55"/>
      <c r="AN998" s="55"/>
    </row>
    <row r="999" spans="1:40" ht="14" x14ac:dyDescent="0.35">
      <c r="A999" s="55" t="str">
        <f t="shared" si="0"/>
        <v/>
      </c>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c r="AA999" s="55"/>
      <c r="AB999" s="55"/>
      <c r="AC999" s="55"/>
      <c r="AD999" s="55"/>
      <c r="AE999" s="55"/>
      <c r="AF999" s="55"/>
      <c r="AG999" s="55"/>
      <c r="AH999" s="55"/>
      <c r="AI999" s="55"/>
      <c r="AJ999" s="55"/>
      <c r="AK999" s="55"/>
      <c r="AL999" s="55"/>
      <c r="AM999" s="55"/>
      <c r="AN999" s="55"/>
    </row>
    <row r="1000" spans="1:40" ht="14" x14ac:dyDescent="0.35">
      <c r="A1000" s="55" t="str">
        <f t="shared" si="0"/>
        <v/>
      </c>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c r="AA1000" s="55"/>
      <c r="AB1000" s="55"/>
      <c r="AC1000" s="55"/>
      <c r="AD1000" s="55"/>
      <c r="AE1000" s="55"/>
      <c r="AF1000" s="55"/>
      <c r="AG1000" s="55"/>
      <c r="AH1000" s="55"/>
      <c r="AI1000" s="55"/>
      <c r="AJ1000" s="55"/>
      <c r="AK1000" s="55"/>
      <c r="AL1000" s="55"/>
      <c r="AM1000" s="55"/>
      <c r="AN1000" s="55"/>
    </row>
    <row r="1001" spans="1:40" ht="14" x14ac:dyDescent="0.35">
      <c r="A1001" s="55" t="str">
        <f t="shared" si="0"/>
        <v/>
      </c>
      <c r="B1001" s="55"/>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5"/>
      <c r="Z1001" s="55"/>
      <c r="AA1001" s="55"/>
      <c r="AB1001" s="55"/>
      <c r="AC1001" s="55"/>
      <c r="AD1001" s="55"/>
      <c r="AE1001" s="55"/>
      <c r="AF1001" s="55"/>
      <c r="AG1001" s="55"/>
      <c r="AH1001" s="55"/>
      <c r="AI1001" s="55"/>
      <c r="AJ1001" s="55"/>
      <c r="AK1001" s="55"/>
      <c r="AL1001" s="55"/>
      <c r="AM1001" s="55"/>
      <c r="AN1001" s="55"/>
    </row>
  </sheetData>
  <hyperlinks>
    <hyperlink ref="D2" r:id="rId1" display="https://docs.google.com/spreadsheets/d/1mPgfoZgF4PhbDsiQ_0qd8lfKCJ6XGZmxfPFl2fDy57w/edit?usp=drivesdk" xr:uid="{00000000-0004-0000-1000-000000000000}"/>
    <hyperlink ref="D3" r:id="rId2" display="https://docs.google.com/spreadsheets/d/1ahdED2zJRfju5nI4ubL9kzam2tENrLFqMDZI-gJWvFk/edit?usp=drivesdk" xr:uid="{00000000-0004-0000-1000-000001000000}"/>
    <hyperlink ref="D4" r:id="rId3" display="https://docs.google.com/spreadsheets/d/1usypukxC_ov9AvPiIbNgBLxbwZIXxmJt3_kfGVfcehM/edit?usp=drivesdk" xr:uid="{00000000-0004-0000-1000-000002000000}"/>
    <hyperlink ref="D5" r:id="rId4" display="https://docs.google.com/spreadsheets/d/1qx5iRO20yN2eOkW2-rBnWV8JolW1LfaCSATWOq4MROw/edit?usp=drivesdk" xr:uid="{00000000-0004-0000-1000-000003000000}"/>
    <hyperlink ref="D6" r:id="rId5" display="https://docs.google.com/spreadsheets/d/1QN1epae2bPH8_4TyqFjpIWKJ30u9qmKn_hapL1McE3U/edit?usp=drivesdk" xr:uid="{00000000-0004-0000-1000-000004000000}"/>
    <hyperlink ref="D7" r:id="rId6" display="https://docs.google.com/spreadsheets/d/1awItbh2XvVXgJ7eNVKBIcVWFOr15CnfraILODAkKZf8/edit?usp=drivesdk" xr:uid="{00000000-0004-0000-1000-000005000000}"/>
    <hyperlink ref="D8" r:id="rId7" display="https://docs.google.com/spreadsheets/d/1PpI0hh9KFEs5vWbGLGEKOgnCY9AB903B1JB7OyOifBM/edit?usp=drivesdk" xr:uid="{00000000-0004-0000-1000-000006000000}"/>
    <hyperlink ref="D9" r:id="rId8" display="https://docs.google.com/spreadsheets/d/1AXVWJxlSkvWhmTpX5td10yBI89MuvBDRyQS4uqvRMVI/edit?usp=drivesdk" xr:uid="{00000000-0004-0000-1000-000007000000}"/>
    <hyperlink ref="D10" r:id="rId9" display="https://docs.google.com/spreadsheets/d/1qKYi1Fh6SSij2egmU6fPp5-mR1PKg9Rj5bmSFU89icY/edit?usp=drivesdk" xr:uid="{00000000-0004-0000-1000-000008000000}"/>
    <hyperlink ref="D11" r:id="rId10" display="https://docs.google.com/spreadsheets/d/10pBF9cVTnYK3zTowI48m9ElnHqjFUwFpGAxNMZ3dqbk/edit?usp=drivesdk" xr:uid="{00000000-0004-0000-1000-000009000000}"/>
    <hyperlink ref="D12" r:id="rId11" display="https://docs.google.com/spreadsheets/d/1qBCZNwRoBVu4D75xnlAeo7Guiuy2Fhr7FCouhD1ncyg/edit?usp=drivesdk" xr:uid="{00000000-0004-0000-1000-00000A000000}"/>
    <hyperlink ref="D13" r:id="rId12" display="https://docs.google.com/spreadsheets/d/1vt7Deu3xfKtm44_tGmXcOJbkjHJvVIwPwyjNLKJPJKE/edit?usp=drivesdk" xr:uid="{00000000-0004-0000-1000-00000B000000}"/>
    <hyperlink ref="D14" r:id="rId13" display="https://docs.google.com/spreadsheets/d/11gDnhf4cNCoaoConTucYfoi-h-yyOvSpWevuqVgE-Bc/edit?usp=drivesdk" xr:uid="{00000000-0004-0000-1000-00000C000000}"/>
    <hyperlink ref="D15" r:id="rId14" display="https://docs.google.com/spreadsheets/d/1xFihTiBvpKtGwwMzjJPPhnlifLVIvnKPqbcTCFZrHBo/edit?usp=drivesdk" xr:uid="{00000000-0004-0000-1000-00000D000000}"/>
    <hyperlink ref="D16" r:id="rId15" display="https://docs.google.com/spreadsheets/d/1WhZFAmWiqApSyAREZt7fleZa4blrUY4knRp0fzHtsx4/edit?usp=drivesdk" xr:uid="{00000000-0004-0000-1000-00000E000000}"/>
    <hyperlink ref="D17" r:id="rId16" display="https://docs.google.com/spreadsheets/d/1P0sWPEAEHX3Ka3yS0O26dYtc1mMjYmBPO7pJ7Ly7Bnk/edit?usp=drivesdk" xr:uid="{00000000-0004-0000-1000-00000F000000}"/>
    <hyperlink ref="D18" r:id="rId17" display="https://docs.google.com/spreadsheets/d/1EqbUvZ11JKLyiOW3Zz0vZjG2Z3YmFEAoZiD-UpXa4UI/edit?usp=drivesdk" xr:uid="{00000000-0004-0000-1000-000010000000}"/>
    <hyperlink ref="D19" r:id="rId18" display="https://docs.google.com/spreadsheets/d/13WTqOVBE8a_pnjyuOiJRC4MJrA2do08bA9YS5Ret1DE/edit?usp=drivesdk" xr:uid="{00000000-0004-0000-1000-000011000000}"/>
    <hyperlink ref="D20" r:id="rId19" display="https://docs.google.com/spreadsheets/d/1eMbzZsjgYHGCkj9q0Rbkz6CJ6stVcTPs91VCDC9f53M/edit?usp=drivesdk" xr:uid="{00000000-0004-0000-1000-000012000000}"/>
    <hyperlink ref="D21" r:id="rId20" display="https://docs.google.com/spreadsheets/d/1OXltdxdt8vM2D7GQkBMNM41WiMrlO6Y9nrG-aoL3NIA/edit?usp=drivesdk" xr:uid="{00000000-0004-0000-1000-000013000000}"/>
    <hyperlink ref="D22" r:id="rId21" display="https://docs.google.com/spreadsheets/d/1tDFntjgWdblyHA3IvfgUvWDFpFA9aBKhoqKlvR9-jy8/edit?usp=drivesdk" xr:uid="{00000000-0004-0000-1000-000014000000}"/>
    <hyperlink ref="D23" r:id="rId22" display="https://docs.google.com/spreadsheets/d/1Q7lTOqLQj7HalAZIngT9KejhtK-t0-VEOBoqrB8M404/edit?usp=drivesdk" xr:uid="{00000000-0004-0000-1000-000015000000}"/>
    <hyperlink ref="D24" r:id="rId23" display="https://docs.google.com/spreadsheets/d/1traOHBIzmGWJfWdV1vUSXZ-ZI_NBT_0pCYEChfAgs7s/edit?usp=drivesdk" xr:uid="{00000000-0004-0000-1000-000016000000}"/>
    <hyperlink ref="D25" r:id="rId24" display="https://docs.google.com/spreadsheets/d/1yeTelbccxCtZNZ2tpfavKhFWEEHhunlAvhT1rWG22sU/edit?usp=drivesdk" xr:uid="{00000000-0004-0000-1000-000017000000}"/>
    <hyperlink ref="D26" r:id="rId25" display="https://docs.google.com/spreadsheets/d/1KNPni632Nmd_Wsi2t688FZOcBFfp_-L4j3pu6KqQPRQ/edit?usp=drivesdk" xr:uid="{00000000-0004-0000-1000-000018000000}"/>
    <hyperlink ref="D27" r:id="rId26" display="https://docs.google.com/spreadsheets/d/1x1huiCxKTKKDbq5c8f1AYGu5FEcGddxGn8YEuH8O8I0/edit?usp=drivesdk" xr:uid="{00000000-0004-0000-1000-000019000000}"/>
    <hyperlink ref="D28" r:id="rId27" display="https://docs.google.com/spreadsheets/d/1sLHLheq2tqahRbaDCeQrFIZr0UB9JsUNLRl8veSrdrs/edit?usp=drivesdk" xr:uid="{00000000-0004-0000-1000-00001A000000}"/>
    <hyperlink ref="D29" r:id="rId28" display="https://docs.google.com/spreadsheets/d/1wbnQhGsofuFAY-uQz_RFCV2KYEHy8N8CPpLvCawmG70/edit?usp=drivesdk" xr:uid="{00000000-0004-0000-1000-00001B000000}"/>
    <hyperlink ref="D30" r:id="rId29" display="https://docs.google.com/spreadsheets/d/181N4FHLC_Ct2QfI5zh-lwIigV6X0O_VG-DDpayUIHeU/edit?usp=drivesdk" xr:uid="{00000000-0004-0000-1000-00001C000000}"/>
    <hyperlink ref="D31" r:id="rId30" display="https://docs.google.com/spreadsheets/d/1lH31CzHYXfzde9MVY3-o_QafmrCJiuhnVg31nfflNqs/edit?usp=drivesdk" xr:uid="{00000000-0004-0000-1000-00001D000000}"/>
    <hyperlink ref="D32" r:id="rId31" display="https://docs.google.com/spreadsheets/d/1jd_qlxxwe8YSuvG-HRQO-9EItqyW2sgzM1IVApGyUvw/edit?usp=drivesdk" xr:uid="{00000000-0004-0000-1000-00001E000000}"/>
    <hyperlink ref="D33" r:id="rId32" display="https://docs.google.com/spreadsheets/d/1O-k6wdIDlkMJpNJkFQYYgFDZzl1Dqoku044f3eGjH4A/edit?usp=drivesdk" xr:uid="{00000000-0004-0000-1000-00001F000000}"/>
    <hyperlink ref="D34" r:id="rId33" display="https://docs.google.com/spreadsheets/d/11gzgV_AMbaWUtpA83IaVkdS2cA2e-8PmDtzwkrD9FqE/edit?usp=drivesdk" xr:uid="{00000000-0004-0000-1000-000020000000}"/>
    <hyperlink ref="D35" r:id="rId34" display="https://docs.google.com/spreadsheets/d/1aWusT47ZNlwAtE3zq8oK8IUAvPaSHapq77hmOFJiZ3I/edit?usp=drivesdk" xr:uid="{00000000-0004-0000-1000-000021000000}"/>
    <hyperlink ref="D36" r:id="rId35" display="https://docs.google.com/spreadsheets/d/1X78-qzp81SZc3zUQ6Jjc7k8uHQAC8ZV94VFVo-eg3fg/edit?usp=drivesdk" xr:uid="{00000000-0004-0000-1000-000022000000}"/>
    <hyperlink ref="D37" r:id="rId36" display="https://docs.google.com/spreadsheets/d/1LklL3roRcRt5BuB9lzFnPeWhbsde159x5VHNHZUCDS8/edit?usp=drivesdk" xr:uid="{00000000-0004-0000-1000-000023000000}"/>
    <hyperlink ref="D38" r:id="rId37" display="https://docs.google.com/spreadsheets/d/1GLQDlnCgBPf7q31zXK3-bzUn7LlanEQjLCQ2XMr8Lps/edit?usp=drivesdk" xr:uid="{00000000-0004-0000-1000-000024000000}"/>
    <hyperlink ref="D39" r:id="rId38" display="https://docs.google.com/spreadsheets/d/1rOpb9RiNOfAZbyfCo7nZSU7ozPyhd3tajrdN54uwMC8/edit?usp=drivesdk" xr:uid="{00000000-0004-0000-1000-000025000000}"/>
    <hyperlink ref="D40" r:id="rId39" display="https://docs.google.com/spreadsheets/d/1swPcQ91oYK-WQTcmqBtlED3EYP9xRXUADeSoxNV4xFY/edit?usp=drivesdk" xr:uid="{00000000-0004-0000-1000-000026000000}"/>
    <hyperlink ref="D41" r:id="rId40" display="https://docs.google.com/spreadsheets/d/1C0yLoC66PTzazCJLEKK5hJQCufYnqQJ4RKNjcu5Wmgc/edit?usp=drivesdk" xr:uid="{00000000-0004-0000-1000-000027000000}"/>
    <hyperlink ref="D42" r:id="rId41" display="https://docs.google.com/spreadsheets/d/1a3ujvQyKz2rcZ0VsHwrELEdxRBUAwTpAAF30xXAbcrU/edit?usp=drivesdk" xr:uid="{00000000-0004-0000-1000-000028000000}"/>
    <hyperlink ref="D43" r:id="rId42" display="https://docs.google.com/spreadsheets/d/1R06bjq7aLcNMIZjcD44myVOxxgFjNbaimnUiZTP1f1g/edit?usp=drivesdk" xr:uid="{00000000-0004-0000-1000-000029000000}"/>
    <hyperlink ref="D44" r:id="rId43" display="https://docs.google.com/spreadsheets/d/1WAQc-X_12Yj7uXeKpKLjJqE1LD5qfUIg1oVgOnd2hAU/edit?usp=drivesdk" xr:uid="{00000000-0004-0000-1000-00002A000000}"/>
    <hyperlink ref="D45" r:id="rId44" display="https://docs.google.com/spreadsheets/d/14mShOqH8FUFuLgyCzKPAtEn-n1faCYjvxAP-vrHmFxw/edit?usp=drivesdk" xr:uid="{00000000-0004-0000-1000-00002B000000}"/>
    <hyperlink ref="D46" r:id="rId45" display="https://docs.google.com/spreadsheets/d/1hFt-2MJ_opfClFBxGKlQZR0zU718MEZ2SN83TjZaO9I/edit?usp=drivesdk" xr:uid="{00000000-0004-0000-1000-00002C000000}"/>
    <hyperlink ref="D47" r:id="rId46" display="https://docs.google.com/spreadsheets/d/1NrSFNWMsiiSjWa6byPkwkJop46_Ay_v89b1RYKngIBw/edit?usp=drivesdk" xr:uid="{00000000-0004-0000-1000-00002D000000}"/>
    <hyperlink ref="D48" r:id="rId47" display="https://docs.google.com/spreadsheets/d/1_fTjPrupBXRfPTWuqWHQo5QI2bHO0j5vrahrDJChifA/edit?usp=drivesdk" xr:uid="{00000000-0004-0000-1000-00002E000000}"/>
    <hyperlink ref="D49" r:id="rId48" display="https://docs.google.com/spreadsheets/d/1k5Fn7IyyucS64PdaJvihu02U6YiNRKNtqBaQYaGAoxo/edit?usp=drivesdk" xr:uid="{00000000-0004-0000-1000-00002F000000}"/>
    <hyperlink ref="D50" r:id="rId49" display="https://docs.google.com/spreadsheets/d/1X3F3V_8iE_3J9Wzd21LcZYAk8omuHP9bmOwWFayC_OQ/edit?usp=drivesdk" xr:uid="{00000000-0004-0000-1000-000030000000}"/>
    <hyperlink ref="D51" r:id="rId50" display="https://docs.google.com/spreadsheets/d/1Hh8chDDyAKCFTDe3gv4F1bK3huc8EYinZh3qEVd3TfU/edit?usp=drivesdk" xr:uid="{00000000-0004-0000-1000-000031000000}"/>
    <hyperlink ref="D52" r:id="rId51" display="https://docs.google.com/spreadsheets/d/1wJ4LJlg2KaBp-FXu0ayJY5TnjE_F1k_L-TiF3Jr8Jqs/edit?usp=drivesdk" xr:uid="{00000000-0004-0000-1000-000032000000}"/>
    <hyperlink ref="D53" r:id="rId52" display="https://docs.google.com/spreadsheets/d/1n9bstZxEBe4JNwg0pvd0DLKlmWSk6jP12J9mkjVjrNo/edit?usp=drivesdk" xr:uid="{00000000-0004-0000-1000-000033000000}"/>
    <hyperlink ref="D54" r:id="rId53" display="https://docs.google.com/spreadsheets/d/1mMvAq3hu5zFXMonY-xbwHanj7tWWY_9m-Raa0ZswFII/edit?usp=drivesdk" xr:uid="{00000000-0004-0000-1000-000034000000}"/>
    <hyperlink ref="D55" r:id="rId54" display="https://docs.google.com/spreadsheets/d/1CQsE4dDu12ZMbMXLFffHZHZKoMlMwy-ebyrauPyZH18/edit?usp=drivesdk" xr:uid="{00000000-0004-0000-1000-000035000000}"/>
    <hyperlink ref="D56" r:id="rId55" display="https://docs.google.com/spreadsheets/d/1I47jdViY3apKn7D-zVUVX6Q98Cghr4ExxEsw_VLai0Y/edit?usp=drivesdk" xr:uid="{00000000-0004-0000-1000-000036000000}"/>
    <hyperlink ref="D57" r:id="rId56" display="https://docs.google.com/spreadsheets/d/1h44MIdt5pKZWDr-ijDH07vYuL_36ht_Tq_w9teOl7Xg/edit?usp=drivesdk" xr:uid="{00000000-0004-0000-1000-000037000000}"/>
    <hyperlink ref="D58" r:id="rId57" display="https://docs.google.com/spreadsheets/d/1JHnSTmqgd9otzPoP4H8WAO7E5gpSA-eostMsRo3cw6g/edit?usp=drivesdk" xr:uid="{00000000-0004-0000-1000-000038000000}"/>
    <hyperlink ref="D59" r:id="rId58" display="https://docs.google.com/spreadsheets/d/1Yh755r_NJbhIl5RLiGxqWOe9mYI45vyUd8GmBozIiPc/edit?usp=drivesdk" xr:uid="{00000000-0004-0000-1000-000039000000}"/>
    <hyperlink ref="D60" r:id="rId59" display="https://docs.google.com/spreadsheets/d/1WTuh8yoCtan-gB4Wn1LO3X2sdEWdIFp8PWzuSTl2ZvA/edit?usp=drivesdk" xr:uid="{00000000-0004-0000-1000-00003A000000}"/>
    <hyperlink ref="D61" r:id="rId60" display="https://docs.google.com/spreadsheets/d/1cyzYcMc0MckPCTedLY8_1_F2BAbiJd0M7rI868I85Vc/edit?usp=drivesdk" xr:uid="{00000000-0004-0000-1000-00003B000000}"/>
    <hyperlink ref="D62" r:id="rId61" display="https://docs.google.com/spreadsheets/d/1duDf4PFxrDZwA6bWPzKp4U8BsM07qSMlyNCQx8Vp7qc/edit?usp=drivesdk" xr:uid="{00000000-0004-0000-1000-00003C000000}"/>
    <hyperlink ref="D63" r:id="rId62" display="https://docs.google.com/spreadsheets/d/1WUrzV8gz5aJQ34syzBrHehw6mB8YMCB-2ym4MAgIr3I/edit?usp=drivesdk" xr:uid="{00000000-0004-0000-1000-00003D000000}"/>
    <hyperlink ref="D64" r:id="rId63" display="https://docs.google.com/spreadsheets/d/1nmp5gZoAjr9QCe78GBPdG65-ElfczKmsuJsADTbTCh0/edit?usp=drivesdk" xr:uid="{00000000-0004-0000-1000-00003E000000}"/>
    <hyperlink ref="D65" r:id="rId64" display="https://docs.google.com/spreadsheets/d/1jg4yYtHnl5vTKju9WjihlGH4HWnoRzehInmrynrrDmc/edit?usp=drivesdk" xr:uid="{00000000-0004-0000-1000-00003F000000}"/>
    <hyperlink ref="D66" r:id="rId65" display="https://docs.google.com/spreadsheets/d/1t9ggz45bIUudpoasoVe9BADAICCRc31N32kLiIx_Tuk/edit?usp=drivesdk" xr:uid="{00000000-0004-0000-1000-000040000000}"/>
    <hyperlink ref="D67" r:id="rId66" display="https://docs.google.com/spreadsheets/d/1loeRhdVPaj2bfg7p_IinWHtWUxAYFpQy7kp-XX0Edp0/edit?usp=drivesdk" xr:uid="{00000000-0004-0000-1000-000041000000}"/>
    <hyperlink ref="D68" r:id="rId67" display="https://docs.google.com/spreadsheets/d/1SZ9TUpaOpk17lsEmfy6DgYWwRmyDRglauBQ3aTr80K8/edit?usp=drivesdk" xr:uid="{00000000-0004-0000-1000-000042000000}"/>
    <hyperlink ref="D69" r:id="rId68" display="https://docs.google.com/spreadsheets/d/15OS3718XjfLYzxC12w4dww0biL5Io7206zea_7a0_Hk/edit?usp=drivesdk" xr:uid="{00000000-0004-0000-1000-000043000000}"/>
    <hyperlink ref="D70" r:id="rId69" display="https://docs.google.com/spreadsheets/d/1ZNlw92gxE7873cpjUxV9SyRiWtgknCIquq4Y7j7wYhI/edit?usp=drivesdk" xr:uid="{00000000-0004-0000-1000-000044000000}"/>
    <hyperlink ref="D71" r:id="rId70" display="https://docs.google.com/spreadsheets/d/1lZAOZXT0-avLFzsNCgWOHWZNrLe19Vsm00zJqOldpuM/edit?usp=drivesdk" xr:uid="{00000000-0004-0000-1000-000045000000}"/>
    <hyperlink ref="D72" r:id="rId71" display="https://docs.google.com/spreadsheets/d/1MPiJ_CXZ5wky1YCGyCBdiHlhpVWqB8cpu3DUGbHn_Fk/edit?usp=drivesdk" xr:uid="{00000000-0004-0000-1000-000046000000}"/>
    <hyperlink ref="D73" r:id="rId72" display="https://docs.google.com/spreadsheets/d/1qoAhh5SD119eGbItEDotaMyu0zpkVWpZ3qy4j1WUcgo/edit?usp=drivesdk" xr:uid="{00000000-0004-0000-1000-000047000000}"/>
    <hyperlink ref="D74" r:id="rId73" display="https://docs.google.com/spreadsheets/d/1J2sI5i_RiN7ysOkMuSb1DO5SBvVWGzB-jze1KKdJuUs/edit?usp=drivesdk" xr:uid="{00000000-0004-0000-1000-000048000000}"/>
    <hyperlink ref="D75" r:id="rId74" display="https://docs.google.com/spreadsheets/d/1fV9T3nwYkPgjTb3QYwLIi9c2EEOwCSuZyBHAUyQL4T8/edit?usp=drivesdk" xr:uid="{00000000-0004-0000-1000-000049000000}"/>
    <hyperlink ref="D76" r:id="rId75" display="https://docs.google.com/spreadsheets/d/1wqI_9MUQvQesWwoqlTBbIf1_P6ewwkHVPpS8vghBfWQ/edit?usp=drivesdk" xr:uid="{00000000-0004-0000-1000-00004A000000}"/>
    <hyperlink ref="D77" r:id="rId76" display="https://docs.google.com/spreadsheets/d/1l3ZNF3OYIkfDk_nGeH1kJ-qx_o9acjIE8nRJ9IhXXc0/edit?usp=drivesdk" xr:uid="{00000000-0004-0000-1000-00004B000000}"/>
    <hyperlink ref="D78" r:id="rId77" display="https://docs.google.com/spreadsheets/d/12Si81BHsQ85z8E2yPpLtW-B2zObf0Qr6iIe_D68WbFE/edit?usp=drivesdk" xr:uid="{00000000-0004-0000-1000-00004C000000}"/>
    <hyperlink ref="D79" r:id="rId78" display="https://docs.google.com/spreadsheets/d/1XJgdWKy1PakbojnAJa0F5tbMpzfrTyUQQIfosA5mIPU/edit?usp=drivesdk" xr:uid="{00000000-0004-0000-1000-00004D000000}"/>
    <hyperlink ref="D80" r:id="rId79" display="https://docs.google.com/spreadsheets/d/1x4MxDxMxJld5x67NQiegvWrdJg1FnSxlIDOi3E91we0/edit?usp=drivesdk" xr:uid="{00000000-0004-0000-1000-00004E000000}"/>
    <hyperlink ref="D81" r:id="rId80" display="https://docs.google.com/spreadsheets/d/1F9YHn1GgNwFgl1Mq9rH4FjKzzAODuFkmssfBttkfd2U/edit?usp=drivesdk" xr:uid="{00000000-0004-0000-1000-00004F000000}"/>
    <hyperlink ref="D82" r:id="rId81" display="https://docs.google.com/spreadsheets/d/1AvVrv5qgTOKMQQeBKooSoy1TNpoms9is6NZNg8O22bU/edit?usp=drivesdk" xr:uid="{00000000-0004-0000-1000-000050000000}"/>
    <hyperlink ref="D83" r:id="rId82" display="https://docs.google.com/spreadsheets/d/18QTzySxQCn4BPjvceArR2RZkFkZW699uVZ_ymX3Ux04/edit?usp=drivesdk" xr:uid="{00000000-0004-0000-1000-000051000000}"/>
    <hyperlink ref="D84" r:id="rId83" display="https://docs.google.com/spreadsheets/d/1LHPn9cuSWwJ1lMdAWMyDO34e_viCcN1y7Ll4uyGnqqI/edit?usp=drivesdk" xr:uid="{00000000-0004-0000-1000-000052000000}"/>
    <hyperlink ref="D85" r:id="rId84" display="https://docs.google.com/spreadsheets/d/1C8x8Ia8THZq9X3GhY-8BHIJAIVfrcl7eeVVc3TvJlFw/edit?usp=drivesdk" xr:uid="{00000000-0004-0000-1000-000053000000}"/>
    <hyperlink ref="D86" r:id="rId85" display="https://docs.google.com/spreadsheets/d/1NGA2iZ7UA1JAWMoRb89xvK7FNUk0r1YHLsXdbJf47eU/edit?usp=drivesdk" xr:uid="{00000000-0004-0000-1000-000054000000}"/>
    <hyperlink ref="D87" r:id="rId86" display="https://docs.google.com/spreadsheets/d/1guqxnJoJl4C4sFiHvQibjhSpLSg0mEOJSo5oCHbQJ6s/edit?usp=drivesdk" xr:uid="{00000000-0004-0000-1000-000055000000}"/>
    <hyperlink ref="D88" r:id="rId87" display="https://docs.google.com/spreadsheets/d/1UcDbrgtZZGxQ9QiB74gFBDEKDTshDgLaMpfUkYPjnmI/edit?usp=drivesdk" xr:uid="{00000000-0004-0000-1000-000056000000}"/>
    <hyperlink ref="D89" r:id="rId88" display="https://docs.google.com/spreadsheets/d/1G2hhM4aVMOaE2XVFpv3T-PAIsXN_BmnmUUyfRjPeOE4/edit?usp=drivesdk" xr:uid="{00000000-0004-0000-1000-000057000000}"/>
    <hyperlink ref="D90" r:id="rId89" display="https://docs.google.com/spreadsheets/d/1e0ixqPXayjltUrwYBU0bFnCyFy38Dqi6CxYgbix2a58/edit?usp=drivesdk" xr:uid="{00000000-0004-0000-1000-000058000000}"/>
    <hyperlink ref="D91" r:id="rId90" display="https://docs.google.com/spreadsheets/d/1_8-beV9QV2eEOm6vGY_Fu5LTxqb9o1T_6zKhyPlaDIc/edit?usp=drivesdk" xr:uid="{00000000-0004-0000-1000-000059000000}"/>
    <hyperlink ref="D92" r:id="rId91" display="https://docs.google.com/spreadsheets/d/1UUTZmlVuFSXwI23yPi0430GRTTOOf5f_eaERjCe8_9s/edit?usp=drivesdk" xr:uid="{00000000-0004-0000-1000-00005A000000}"/>
    <hyperlink ref="D93" r:id="rId92" display="https://docs.google.com/spreadsheets/d/15opuX87TZYf_18Kot8lh48NkRncl3JyYoUeVPVycEbw/edit?usp=drivesdk" xr:uid="{00000000-0004-0000-1000-00005B000000}"/>
    <hyperlink ref="D94" r:id="rId93" display="https://docs.google.com/spreadsheets/d/1WwfezWrXgUURJ3T4jqChNAS6Mq5CAcvNkx1is1CaeRw/edit?usp=drivesdk" xr:uid="{00000000-0004-0000-1000-00005C000000}"/>
    <hyperlink ref="D95" r:id="rId94" display="https://docs.google.com/spreadsheets/d/1AQfbFHFz-NdoVQ3szVOpOiijpx83CHbJr63fit181wc/edit?usp=drivesdk" xr:uid="{00000000-0004-0000-1000-00005D000000}"/>
    <hyperlink ref="D96" r:id="rId95" display="https://docs.google.com/spreadsheets/d/1dbS-PehzjhjTChAGBWKJdIYH-j3UTYLeVwgg0vCYHxQ/edit?usp=drivesdk" xr:uid="{00000000-0004-0000-1000-00005E000000}"/>
    <hyperlink ref="D97" r:id="rId96" display="https://docs.google.com/spreadsheets/d/1DR7UlFxVqZ0kMWJ8cWVb18imuyrthcH6OVm09gf-aCY/edit?usp=drivesdk" xr:uid="{00000000-0004-0000-1000-00005F000000}"/>
    <hyperlink ref="D98" r:id="rId97" display="https://docs.google.com/spreadsheets/d/1VGsTY_Rqj8lKgzIHfMSqP1krOM5Q9uc1IL3shLHnV4o/edit?usp=drivesdk" xr:uid="{00000000-0004-0000-1000-000060000000}"/>
    <hyperlink ref="D99" r:id="rId98" display="https://docs.google.com/spreadsheets/d/1I-fMIzvQI47z-oz8qemN6xiwJ_0e7YL2xIKzjd435XY/edit?usp=drivesdk" xr:uid="{00000000-0004-0000-1000-000061000000}"/>
    <hyperlink ref="D100" r:id="rId99" display="https://docs.google.com/spreadsheets/d/14zBiv2Kf9VvoHpmSMv_5Bltn2XUbP_WpbQp6N4FRbf8/edit?usp=drivesdk" xr:uid="{00000000-0004-0000-1000-000062000000}"/>
    <hyperlink ref="D101" r:id="rId100" display="https://docs.google.com/spreadsheets/d/1q0YflCtITrAQ4ETANxe2mSyy1jZwgls9jItl2mx-ZMg/edit?usp=drivesdk" xr:uid="{00000000-0004-0000-1000-000063000000}"/>
    <hyperlink ref="D102" r:id="rId101" display="https://docs.google.com/spreadsheets/d/1J-j8xwyhI6WSV7uKjPxsC5FNAdSHfkcBfioFtVB1mM0/edit?usp=drivesdk" xr:uid="{00000000-0004-0000-1000-000064000000}"/>
    <hyperlink ref="D103" r:id="rId102" display="https://docs.google.com/spreadsheets/d/1uHnY1njpbn501rqwV9QxTO1ToBk1i7T1V24rECxaVz4/edit?usp=drivesdk" xr:uid="{00000000-0004-0000-1000-000065000000}"/>
    <hyperlink ref="D104" r:id="rId103" display="https://docs.google.com/spreadsheets/d/1ZutDNqy0w88tkblK2SOADvKRPOUKsfRAlfXJRswfzzc/edit?usp=drivesdk" xr:uid="{00000000-0004-0000-1000-000066000000}"/>
    <hyperlink ref="D105" r:id="rId104" display="https://docs.google.com/spreadsheets/d/1HGff_BvT_twnwi4uLt333B21GZReVpGGIEUEF5oPITo/edit?usp=drivesdk" xr:uid="{00000000-0004-0000-1000-000067000000}"/>
    <hyperlink ref="D106" r:id="rId105" display="https://docs.google.com/spreadsheets/d/1AT_gnMXhW0alF5LpI4vUyAw5zLU56Qblo7pmQSi--WU/edit?usp=drivesdk" xr:uid="{00000000-0004-0000-1000-000068000000}"/>
    <hyperlink ref="D107" r:id="rId106" display="https://docs.google.com/spreadsheets/d/1nANAPEBfv4rKu-Bn8hmJnSWMeP17HhHiCIGkrUK9wfM/edit?usp=drivesdk" xr:uid="{00000000-0004-0000-1000-000069000000}"/>
    <hyperlink ref="D108" r:id="rId107" display="https://docs.google.com/spreadsheets/d/16hc3YkRQmt2aWL4NW_dDufZ10b9eQ3KLutgJkRZFZas/edit?usp=drivesdk" xr:uid="{00000000-0004-0000-1000-00006A000000}"/>
    <hyperlink ref="D109" r:id="rId108" display="https://docs.google.com/spreadsheets/d/1MJ1OuW7Ut3mR35uS4YXdw6T43m1Mw1Py0udQPnBH82I/edit?usp=drivesdk" xr:uid="{00000000-0004-0000-1000-00006B000000}"/>
    <hyperlink ref="D110" r:id="rId109" display="https://docs.google.com/spreadsheets/d/1TjsUyap-u2UCfkiJXiGNH8plXGRd6Pl-r-vv2M6ju3A/edit?usp=drivesdk" xr:uid="{00000000-0004-0000-1000-00006C000000}"/>
    <hyperlink ref="D111" r:id="rId110" display="https://docs.google.com/spreadsheets/d/1rHW8CmLjEWhSSGOR3UJ-4FFkCa5uHHbZlzPyctNiuac/edit?usp=drivesdk" xr:uid="{00000000-0004-0000-1000-00006D000000}"/>
    <hyperlink ref="D112" r:id="rId111" display="https://docs.google.com/spreadsheets/d/1dRoqt_4utRP89_KWAhpHMSpj_QvHbTxm84ZEsWnbIhs/edit?usp=drivesdk" xr:uid="{00000000-0004-0000-1000-00006E000000}"/>
    <hyperlink ref="D113" r:id="rId112" display="https://docs.google.com/spreadsheets/d/1sak1bfc94-RluYjYBNX5pTjn9bInMdpBJVUotIcOegg/edit?usp=drivesdk" xr:uid="{00000000-0004-0000-1000-00006F000000}"/>
    <hyperlink ref="D114" r:id="rId113" display="https://docs.google.com/spreadsheets/d/1KsfzafFGfiIPZxT9zAOcSg5g5J0Q8tq6Pl9hgmwN37c/edit?usp=drivesdk" xr:uid="{00000000-0004-0000-1000-000070000000}"/>
    <hyperlink ref="D115" r:id="rId114" display="https://docs.google.com/spreadsheets/d/1r01IIrjECtdS6yzA3a-mSV_iaAfFdk-fJCT6HSXZ_t4/edit?usp=drivesdk" xr:uid="{00000000-0004-0000-1000-000071000000}"/>
    <hyperlink ref="D116" r:id="rId115" display="https://docs.google.com/spreadsheets/d/12T-QoPuhWXWYpioPZKzY1oKfOBKhAY0kMTuPc2GHQcI/edit?usp=drivesdk" xr:uid="{00000000-0004-0000-1000-000072000000}"/>
    <hyperlink ref="D117" r:id="rId116" display="https://docs.google.com/spreadsheets/d/13qAJrHmcM716rVlct4gKsvOBli23TuLB_qw2h7QfHro/edit?usp=drivesdk" xr:uid="{00000000-0004-0000-1000-000073000000}"/>
    <hyperlink ref="D118" r:id="rId117" display="https://docs.google.com/spreadsheets/d/1uENfTtZKIn1T1BeGcyniaNJEzx2zR0BG_D1SDQwiUbc/edit?usp=drivesdk" xr:uid="{00000000-0004-0000-1000-000074000000}"/>
    <hyperlink ref="D119" r:id="rId118" display="https://docs.google.com/spreadsheets/d/1Yv1jxWU3neT8DKubQ3DaVpHyDohkK_OwlWIAIO9xLGc/edit?usp=drivesdk" xr:uid="{00000000-0004-0000-1000-000075000000}"/>
    <hyperlink ref="D120" r:id="rId119" display="https://docs.google.com/spreadsheets/d/1i_7vOdaFxg16_v_nF28gjQuFsJeBeS7cyfuMKWKbcik/edit?usp=drivesdk" xr:uid="{00000000-0004-0000-1000-000076000000}"/>
    <hyperlink ref="D121" r:id="rId120" display="https://docs.google.com/spreadsheets/d/1DXjuLhGy4he0X9iN1NRlnyrO1gjlSEJ-yF_YiGEPESk/edit?usp=drivesdk" xr:uid="{00000000-0004-0000-1000-000077000000}"/>
    <hyperlink ref="D122" r:id="rId121" display="https://docs.google.com/spreadsheets/d/1-r4oBWBff2GnX4ccbVMhAOiYuuU5i9_5fdRnL2yPbPE/edit?usp=drivesdk" xr:uid="{00000000-0004-0000-1000-000078000000}"/>
    <hyperlink ref="D123" r:id="rId122" display="https://docs.google.com/spreadsheets/d/1joskARu068v82ujKuYzl4rFtqM_Fj8VxAUWL2FnEv0U/edit?usp=drivesdk" xr:uid="{00000000-0004-0000-1000-000079000000}"/>
    <hyperlink ref="D124" r:id="rId123" display="https://docs.google.com/spreadsheets/d/1t69ioS8Rt5Vm08iD-8XSdBloeTDNqUAgutlHCbcrVLI/edit?usp=drivesdk" xr:uid="{00000000-0004-0000-1000-00007A000000}"/>
    <hyperlink ref="D125" r:id="rId124" display="https://docs.google.com/spreadsheets/d/1LU2UnkHO1NoRONNgKrnZ4OjY2Q-fhXHQ97j_ZEAfkLk/edit?usp=drivesdk" xr:uid="{00000000-0004-0000-1000-00007B000000}"/>
    <hyperlink ref="D126" r:id="rId125" display="https://docs.google.com/spreadsheets/d/1Krbz4aQvJmbnTDAhAqwL_RD94U8ES3yKSDvedTFjQdI/edit?usp=drivesdk" xr:uid="{00000000-0004-0000-1000-00007C000000}"/>
    <hyperlink ref="D127" r:id="rId126" display="https://docs.google.com/spreadsheets/d/1vgs2M_3QDqxNib2_GIUSD9Ac1lbiLRs_Gz2zzcR0zXg/edit?usp=drivesdk" xr:uid="{00000000-0004-0000-1000-00007D000000}"/>
    <hyperlink ref="D128" r:id="rId127" display="https://docs.google.com/spreadsheets/d/1uexF15kcV889ABYGE9GjfNKVHJb1m0UJZnAEB7qu5sc/edit?usp=drivesdk" xr:uid="{00000000-0004-0000-1000-00007E000000}"/>
    <hyperlink ref="D129" r:id="rId128" display="https://docs.google.com/spreadsheets/d/11R04PGcgMcMER020nuPnHCRaIAgXIOKshaXp5wprgyU/edit?usp=drivesdk" xr:uid="{00000000-0004-0000-1000-00007F000000}"/>
    <hyperlink ref="D130" r:id="rId129" display="https://docs.google.com/spreadsheets/d/1ME8tJuBBw2fevg8Ze8WWuJlJ5GSKQGURdK5Co5VOq0Q/edit?usp=drivesdk" xr:uid="{00000000-0004-0000-1000-000080000000}"/>
    <hyperlink ref="D131" r:id="rId130" display="https://docs.google.com/spreadsheets/d/1zmxRbEwzPMPfMvWnG-614gii02-K2AzJRUCD4wrrcN4/edit?usp=drivesdk" xr:uid="{00000000-0004-0000-1000-000081000000}"/>
    <hyperlink ref="D132" r:id="rId131" display="https://docs.google.com/spreadsheets/d/1Cqb7VUiCPfJU8plmvhzoSalrF8Lm4bNX0POvq7SDnxI/edit?usp=drivesdk" xr:uid="{00000000-0004-0000-1000-000082000000}"/>
    <hyperlink ref="D133" r:id="rId132" display="https://docs.google.com/spreadsheets/d/1OG_Cbyr9ygagI-DRs4tRyOPJBKpzdPa-nzNBMf5YzcM/edit?usp=drivesdk" xr:uid="{00000000-0004-0000-1000-000083000000}"/>
    <hyperlink ref="D134" r:id="rId133" display="https://docs.google.com/spreadsheets/d/1ZzL_DvDV4Sw8eoFu28ufokOt5qJ7gBx4mcJ0Ylor25w/edit?usp=drivesdk" xr:uid="{00000000-0004-0000-1000-000084000000}"/>
    <hyperlink ref="D135" r:id="rId134" display="https://docs.google.com/spreadsheets/d/1uSHgthxp1OGekLjYESMt6aTZBG9Q1Fr0cEuAmvqdnBY/edit?usp=drivesdk" xr:uid="{00000000-0004-0000-1000-000085000000}"/>
    <hyperlink ref="D136" r:id="rId135" display="https://docs.google.com/spreadsheets/d/1NBINXnFmJK8khEOckoSv524mIpBBgSS041EudZWd8GY/edit?usp=drivesdk" xr:uid="{00000000-0004-0000-1000-000086000000}"/>
    <hyperlink ref="D137" r:id="rId136" display="https://docs.google.com/spreadsheets/d/15Xsz5Vk_d8ydcT9_tGPrKZh2ipLoePP8xuOtglLI5iM/edit?usp=drivesdk" xr:uid="{00000000-0004-0000-1000-000087000000}"/>
    <hyperlink ref="D138" r:id="rId137" display="https://docs.google.com/spreadsheets/d/1gSClPmlha1VvUv7Eu1YfbMzL4yIM74V_2Gtv9oqs9eo/edit?usp=drivesdk" xr:uid="{00000000-0004-0000-1000-000088000000}"/>
    <hyperlink ref="D139" r:id="rId138" display="https://docs.google.com/spreadsheets/d/1lSFGi3Sf8Pr2upESwQUw6FI1qXmne0sRazZRidMgOuk/edit?usp=drivesdk" xr:uid="{00000000-0004-0000-1000-000089000000}"/>
    <hyperlink ref="D140" r:id="rId139" display="https://docs.google.com/spreadsheets/d/1CY0pcdvs5iY4cNQoc5Sr4NpyR81CIgRLVdilFy3KwoA/edit?usp=drivesdk" xr:uid="{00000000-0004-0000-1000-00008A000000}"/>
    <hyperlink ref="D141" r:id="rId140" display="https://docs.google.com/spreadsheets/d/1Zey2qZa-dQuoU5BLJOI8bCQQkZwBepKuTZCH6C-GSF0/edit?usp=drivesdk" xr:uid="{00000000-0004-0000-1000-00008B000000}"/>
    <hyperlink ref="D142" r:id="rId141" display="https://docs.google.com/spreadsheets/d/1RtbPjgMyseDanQGS8wlcFj2OBl2IrTWUK8_jJGQ19eU/edit?usp=drivesdk" xr:uid="{00000000-0004-0000-1000-00008C000000}"/>
    <hyperlink ref="D143" r:id="rId142" display="https://docs.google.com/spreadsheets/d/1eoyjxonLnk8eT2F7CEvIXzJPlqTaxTsNwYnoSHJXvN4" xr:uid="{00000000-0004-0000-1000-00008D000000}"/>
    <hyperlink ref="D144" r:id="rId143" display="https://docs.google.com/spreadsheets/d/18jtJ8o34XAYPGK0oXFNWmXZ-xj2OWoSVdW0rDqyz3Xo" xr:uid="{00000000-0004-0000-1000-00008E000000}"/>
    <hyperlink ref="D145" r:id="rId144" display="https://docs.google.com/spreadsheets/d/1TRVUV0_R8w8L255nF8giCzggxbE8-sAJjqvhumIudiU" xr:uid="{00000000-0004-0000-1000-00008F000000}"/>
    <hyperlink ref="D146" r:id="rId145" display="https://docs.google.com/spreadsheets/d/1cNgF5PYvWfcuWbv54tfoJnu_1M1P4Y8jvIlzPS5puDM" xr:uid="{00000000-0004-0000-1000-000090000000}"/>
    <hyperlink ref="D147" r:id="rId146" display="https://docs.google.com/spreadsheets/d/1b27G4_VSzGUxvzI2a46xF19FQEguZ3hQQ2dF6xaJN38" xr:uid="{00000000-0004-0000-1000-000091000000}"/>
    <hyperlink ref="D148" r:id="rId147" display="https://docs.google.com/spreadsheets/d/12rn8vWRRzgeb4SZ64z-xcDviQ9O7Q-XhQ40G2I3PvmE" xr:uid="{00000000-0004-0000-1000-000092000000}"/>
    <hyperlink ref="D149" r:id="rId148" display="https://docs.google.com/spreadsheets/d/1GLGUJ83q9wmxfeXV8nCjcCN2fmvwir941jSg-fD0MNs" xr:uid="{00000000-0004-0000-1000-000093000000}"/>
    <hyperlink ref="D150" r:id="rId149" display="https://docs.google.com/spreadsheets/d/1Buo4MSlSVKSfOLKZnDCAFrR6iHYDixv7h0rn0nnlPIg" xr:uid="{00000000-0004-0000-1000-000094000000}"/>
    <hyperlink ref="D151" r:id="rId150" display="https://docs.google.com/spreadsheets/d/1HX1gtybRdOnqfrOWhjNZSkaHPinyiHcON4Mumx8t76o" xr:uid="{00000000-0004-0000-1000-000095000000}"/>
    <hyperlink ref="D152" r:id="rId151" display="https://docs.google.com/spreadsheets/d/1s10F0pEcqOYjlDJoAJMxPm9O4BDyAt70r-CLDfnqyy8" xr:uid="{00000000-0004-0000-1000-000096000000}"/>
    <hyperlink ref="D153" r:id="rId152" display="https://docs.google.com/spreadsheets/d/1MHTsILib_Qhc4GDwcNr1WhcTKhkw4tSDblXv3hcweJM" xr:uid="{00000000-0004-0000-1000-000097000000}"/>
    <hyperlink ref="D154" r:id="rId153" display="https://docs.google.com/spreadsheets/d/1T-iwcTmdKcsrmUOnq_Ls5zpgt3LfjeE72vV9zjps2Tk" xr:uid="{00000000-0004-0000-1000-000098000000}"/>
    <hyperlink ref="D155" r:id="rId154" display="https://docs.google.com/spreadsheets/d/1_JSwxFHfprCKqY8Wez7TlDPusoMuu1dO0X4H8Z2DoBc" xr:uid="{00000000-0004-0000-1000-000099000000}"/>
    <hyperlink ref="D156" r:id="rId155" display="https://docs.google.com/spreadsheets/d/1S2Xgy6APj59Q2s_JTXLRd1g8o9_jGoLxAJFE-yZVH6k" xr:uid="{00000000-0004-0000-1000-00009A000000}"/>
    <hyperlink ref="D157" r:id="rId156" display="https://docs.google.com/spreadsheets/d/1dS6eQFNvMQOKMbjCLQsVNpM0zNTHTOAnerY44jdXOPU" xr:uid="{00000000-0004-0000-1000-00009B000000}"/>
    <hyperlink ref="D158" r:id="rId157" display="https://docs.google.com/spreadsheets/d/1qY8rgVOpDM5HDDCdR6g6PU1i5awkvFwUQvsM8jl3oxs" xr:uid="{00000000-0004-0000-1000-00009C000000}"/>
    <hyperlink ref="D159" r:id="rId158" display="https://docs.google.com/spreadsheets/d/1WtsADbkfVqgmZ9kKgd-WrcQYJ-Sgu9y45czdpVs_O8U" xr:uid="{00000000-0004-0000-1000-00009D000000}"/>
    <hyperlink ref="D160" r:id="rId159" display="https://docs.google.com/spreadsheets/d/1x6AyfJ2VQpQMmbtf-dEmZG8z2cOWLMKxKpN6YnVpKVU" xr:uid="{00000000-0004-0000-1000-00009E000000}"/>
    <hyperlink ref="D161" r:id="rId160" display="https://docs.google.com/spreadsheets/d/1yu-BwNFJ0QdU330_JEpVup-U4BjIJ0A1bYMHLufuNcg" xr:uid="{00000000-0004-0000-1000-00009F000000}"/>
    <hyperlink ref="D162" r:id="rId161" display="https://docs.google.com/spreadsheets/d/1LCbNJPn_tBuaiSAbG-NDTHX43XZ6J1OhSroDpCjbF2A" xr:uid="{00000000-0004-0000-1000-0000A0000000}"/>
    <hyperlink ref="D163" r:id="rId162" display="https://docs.google.com/spreadsheets/d/1dVqui44elhM1OxLUxRA9zI92bUH26KmnyLqGvfRdeSs" xr:uid="{00000000-0004-0000-1000-0000A1000000}"/>
    <hyperlink ref="D164" r:id="rId163" display="https://docs.google.com/spreadsheets/d/1c7Sby1TtafhA7zF2wgljVCA1yBBNIuqvDPpzAAKvECY" xr:uid="{00000000-0004-0000-1000-0000A2000000}"/>
    <hyperlink ref="D165" r:id="rId164" display="https://docs.google.com/spreadsheets/d/1pPEJ48zeagAhnJIH0xXnppj8d-OK0mNVpvT6l8ubzvI" xr:uid="{00000000-0004-0000-1000-0000A3000000}"/>
    <hyperlink ref="D166" r:id="rId165" display="https://docs.google.com/spreadsheets/d/1wZ4wCoqndn_oe5F3gE6V1D0Loc3l9XHWwvhF-5S6-Yw" xr:uid="{00000000-0004-0000-1000-0000A4000000}"/>
    <hyperlink ref="D167" r:id="rId166" display="https://docs.google.com/spreadsheets/d/1e3a2REUQdsBNWZCS7wy_VGxmJ29yuzY3yV-OoUK-hZo" xr:uid="{00000000-0004-0000-1000-0000A5000000}"/>
    <hyperlink ref="D168" r:id="rId167" display="https://docs.google.com/spreadsheets/d/1LaGU-tPvGV1TolcGxH2WlnVkqMH8AER2Q2nQ3c3fGtY" xr:uid="{00000000-0004-0000-1000-0000A6000000}"/>
    <hyperlink ref="D169" r:id="rId168" display="https://docs.google.com/spreadsheets/d/1uD9LPRGAyEqViSLZcoZb66MiywCfumFtcoOjIn9A5ns" xr:uid="{00000000-0004-0000-1000-0000A7000000}"/>
    <hyperlink ref="D170" r:id="rId169" display="https://docs.google.com/spreadsheets/d/1-jnjFsYhaZ7ge_AAfSRqTrVWpUGJ_EY6pY1CzYGzo9o" xr:uid="{00000000-0004-0000-1000-0000A8000000}"/>
    <hyperlink ref="D171" r:id="rId170" display="https://docs.google.com/spreadsheets/d/1cYq3s-wxnuX4V09Pflx7Ans4fIDwEFn2Do11m5qYIz0" xr:uid="{00000000-0004-0000-1000-0000A9000000}"/>
    <hyperlink ref="D172" r:id="rId171" display="https://docs.google.com/spreadsheets/d/1xWXjRcIyYt_FWH5Vfvdr0xPk_vNVRjp7DGKjI6wysnQ" xr:uid="{00000000-0004-0000-1000-0000AA000000}"/>
    <hyperlink ref="D173" r:id="rId172" display="https://docs.google.com/spreadsheets/d/1QlIuW_gTyAZEax8SZL1Xur2ga-6I5Zb1M0xXqwe_X4o" xr:uid="{00000000-0004-0000-1000-0000AB000000}"/>
    <hyperlink ref="D174" r:id="rId173" display="https://docs.google.com/spreadsheets/d/1G5iXmYy9W0nqM_ieDLrpttzm2vvfsoGNZCZM3wNl8Po" xr:uid="{00000000-0004-0000-1000-0000AC000000}"/>
    <hyperlink ref="D175" r:id="rId174" display="https://docs.google.com/spreadsheets/d/18QG7yAUANvgNIgCMwNTp7OFpHoVCISIZSWPzKV6GkJs" xr:uid="{00000000-0004-0000-1000-0000AD000000}"/>
    <hyperlink ref="D176" r:id="rId175" display="https://docs.google.com/spreadsheets/d/1LZ7BqYauTSgF83Sp5jQ3QfyAiJfTiopagMk5B6v40jY" xr:uid="{00000000-0004-0000-1000-0000AE000000}"/>
    <hyperlink ref="D177" r:id="rId176" display="https://docs.google.com/spreadsheets/d/1_073m75DS73-a_fQkCLTA7taeh3wRXhYg5XK1MWKY5U" xr:uid="{00000000-0004-0000-1000-0000AF000000}"/>
    <hyperlink ref="D178" r:id="rId177" display="https://docs.google.com/spreadsheets/d/1EorS1t_tA44KmK-G_W_yrF-ccH_hDAtibkNeBSgcbhc" xr:uid="{00000000-0004-0000-1000-0000B0000000}"/>
    <hyperlink ref="D179" r:id="rId178" display="https://docs.google.com/spreadsheets/d/1I_Skyz-knDvVWFViALX5CvGUew0MAOue2lN1U-A8zV4" xr:uid="{00000000-0004-0000-1000-0000B1000000}"/>
    <hyperlink ref="D180" r:id="rId179" display="https://docs.google.com/spreadsheets/d/1hpSYiErB9lMycIAXfL1VE0aAeFADfFrQ6I3mz0KHD9g" xr:uid="{00000000-0004-0000-1000-0000B2000000}"/>
    <hyperlink ref="D181" r:id="rId180" display="https://docs.google.com/spreadsheets/d/1vZt60Htm5H4AzoieZqyyQJpQhc_aQrnHP1YCKYfLlo0" xr:uid="{00000000-0004-0000-1000-0000B3000000}"/>
    <hyperlink ref="D182" r:id="rId181" display="https://docs.google.com/spreadsheets/d/19ykqeN7ctCCAuPG6_qrY0feiRt3cO5HTqM7s1856f4E" xr:uid="{00000000-0004-0000-1000-0000B4000000}"/>
    <hyperlink ref="D183" r:id="rId182" display="https://docs.google.com/spreadsheets/d/1TUbG13Y1ivR9v4-AAqEKwHCQHqudp3xHs1n6BvjlNiM" xr:uid="{00000000-0004-0000-1000-0000B5000000}"/>
    <hyperlink ref="D184" r:id="rId183" display="https://docs.google.com/spreadsheets/d/1i6wtv9bdL6VZGUAoK4vywzGDcUMMlxIFP90pMWSwrNU" xr:uid="{00000000-0004-0000-1000-0000B6000000}"/>
    <hyperlink ref="D185" r:id="rId184" display="https://docs.google.com/spreadsheets/d/180gzLN2wO1Vti6MfycY1QJHKfANCnSxsm1NFijYFR0c" xr:uid="{00000000-0004-0000-1000-0000B7000000}"/>
    <hyperlink ref="D186" r:id="rId185" display="https://docs.google.com/spreadsheets/d/1oOmLLoruA5HMKdOxGZpBEHdq0yOl7Pqn2ZMmv0lAqxo" xr:uid="{00000000-0004-0000-1000-0000B8000000}"/>
    <hyperlink ref="D187" r:id="rId186" display="https://docs.google.com/spreadsheets/d/1suf5RpeqvC3wIhGzF8_-6wCxUM7rOSvRPT9XbtDZh1E" xr:uid="{00000000-0004-0000-1000-0000B9000000}"/>
    <hyperlink ref="D188" r:id="rId187" display="https://docs.google.com/spreadsheets/d/1sXWZDMhBqgRA0yVaXDXRhUywzST142Qo6-irBhJYfHs" xr:uid="{00000000-0004-0000-1000-0000BA000000}"/>
  </hyperlink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X1000"/>
  <sheetViews>
    <sheetView workbookViewId="0"/>
  </sheetViews>
  <sheetFormatPr defaultColWidth="12.54296875" defaultRowHeight="15.75" customHeight="1" outlineLevelCol="1" x14ac:dyDescent="0.25"/>
  <cols>
    <col min="15" max="15" width="12.54296875" collapsed="1"/>
    <col min="16" max="23" width="12.54296875" hidden="1" outlineLevel="1"/>
  </cols>
  <sheetData>
    <row r="1" spans="1:24" ht="15.75" customHeight="1" x14ac:dyDescent="0.25">
      <c r="A1" s="58" t="str">
        <f ca="1">IFERROR(__xludf.DUMMYFUNCTION("QUERY(IMPORTRANGE(""https://docs.google.com/spreadsheets/d/1CzOwgQsDbRE8j7zf6BO1lxr0qX5UO7Fz5Q21VONlDf0/edit?gid=1696899933#gid=1696899933"",""CERTIFICAÇÃO!B1:Y""),""SELECT * WHERE Col10='004/2025'"")"),"CPF")</f>
        <v>CPF</v>
      </c>
      <c r="B1" s="58" t="str">
        <f ca="1">IFERROR(__xludf.DUMMYFUNCTION("""COMPUTED_VALUE"""),"NOME")</f>
        <v>NOME</v>
      </c>
      <c r="C1" s="58" t="str">
        <f ca="1">IFERROR(__xludf.DUMMYFUNCTION("""COMPUTED_VALUE"""),"EMAIL")</f>
        <v>EMAIL</v>
      </c>
      <c r="D1" s="58" t="str">
        <f ca="1">IFERROR(__xludf.DUMMYFUNCTION("""COMPUTED_VALUE"""),"PERFIL")</f>
        <v>PERFIL</v>
      </c>
      <c r="E1" s="58" t="str">
        <f ca="1">IFERROR(__xludf.DUMMYFUNCTION("""COMPUTED_VALUE"""),"TURMA")</f>
        <v>TURMA</v>
      </c>
      <c r="F1" s="58" t="str">
        <f ca="1">IFERROR(__xludf.DUMMYFUNCTION("""COMPUTED_VALUE"""),"MÊS")</f>
        <v>MÊS</v>
      </c>
      <c r="G1" s="58" t="str">
        <f ca="1">IFERROR(__xludf.DUMMYFUNCTION("""COMPUTED_VALUE"""),"ANO")</f>
        <v>ANO</v>
      </c>
      <c r="H1" s="58" t="str">
        <f ca="1">IFERROR(__xludf.DUMMYFUNCTION("""COMPUTED_VALUE"""),"FORMAÇÃO")</f>
        <v>FORMAÇÃO</v>
      </c>
      <c r="I1" s="58" t="str">
        <f ca="1">IFERROR(__xludf.DUMMYFUNCTION("""COMPUTED_VALUE"""),"DUPLICIDADE")</f>
        <v>DUPLICIDADE</v>
      </c>
      <c r="J1" s="58" t="str">
        <f ca="1">IFERROR(__xludf.DUMMYFUNCTION("""COMPUTED_VALUE"""),"EDITAL")</f>
        <v>EDITAL</v>
      </c>
      <c r="K1" s="58" t="str">
        <f ca="1">IFERROR(__xludf.DUMMYFUNCTION("""COMPUTED_VALUE"""),"DATA DE INÍCIO")</f>
        <v>DATA DE INÍCIO</v>
      </c>
      <c r="L1" s="58" t="str">
        <f ca="1">IFERROR(__xludf.DUMMYFUNCTION("""COMPUTED_VALUE"""),"DATA DE TÉRMINO")</f>
        <v>DATA DE TÉRMINO</v>
      </c>
      <c r="M1" s="58" t="str">
        <f ca="1">IFERROR(__xludf.DUMMYFUNCTION("""COMPUTED_VALUE"""),"CÓDIGO")</f>
        <v>CÓDIGO</v>
      </c>
      <c r="N1" s="58" t="str">
        <f ca="1">IFERROR(__xludf.DUMMYFUNCTION("""COMPUTED_VALUE"""),"STATUS")</f>
        <v>STATUS</v>
      </c>
      <c r="O1" s="58" t="str">
        <f ca="1">IFERROR(__xludf.DUMMYFUNCTION("""COMPUTED_VALUE"""),"DESISTÊNCIA")</f>
        <v>DESISTÊNCIA</v>
      </c>
      <c r="P1" s="58" t="str">
        <f ca="1">IFERROR(__xludf.DUMMYFUNCTION("""COMPUTED_VALUE"""),"GERAR")</f>
        <v>GERAR</v>
      </c>
      <c r="Q1" s="58" t="str">
        <f ca="1">IFERROR(__xludf.DUMMYFUNCTION("""COMPUTED_VALUE"""),"Merged Doc ID - CERTIFICAÇÃO - EQUIPE")</f>
        <v>Merged Doc ID - CERTIFICAÇÃO - EQUIPE</v>
      </c>
      <c r="R1" s="58" t="str">
        <f ca="1">IFERROR(__xludf.DUMMYFUNCTION("""COMPUTED_VALUE"""),"Merged Doc URL - CERTIFICAÇÃO - EQUIPE")</f>
        <v>Merged Doc URL - CERTIFICAÇÃO - EQUIPE</v>
      </c>
      <c r="S1" s="58" t="str">
        <f ca="1">IFERROR(__xludf.DUMMYFUNCTION("""COMPUTED_VALUE"""),"Link to merged Doc - CERTIFICAÇÃO - EQUIPE")</f>
        <v>Link to merged Doc - CERTIFICAÇÃO - EQUIPE</v>
      </c>
      <c r="T1" s="58" t="str">
        <f ca="1">IFERROR(__xludf.DUMMYFUNCTION("""COMPUTED_VALUE"""),"Document Merge Status - CERTIFICAÇÃO - EQUIPE")</f>
        <v>Document Merge Status - CERTIFICAÇÃO - EQUIPE</v>
      </c>
      <c r="U1" s="58" t="str">
        <f ca="1">IFERROR(__xludf.DUMMYFUNCTION("""COMPUTED_VALUE"""),"Merged Doc ID - CERTIFICAÇÃO - PROFESSOR")</f>
        <v>Merged Doc ID - CERTIFICAÇÃO - PROFESSOR</v>
      </c>
      <c r="V1" s="58" t="str">
        <f ca="1">IFERROR(__xludf.DUMMYFUNCTION("""COMPUTED_VALUE"""),"Merged Doc URL - CERTIFICAÇÃO - PROFESSOR")</f>
        <v>Merged Doc URL - CERTIFICAÇÃO - PROFESSOR</v>
      </c>
      <c r="W1" s="58" t="str">
        <f ca="1">IFERROR(__xludf.DUMMYFUNCTION("""COMPUTED_VALUE"""),"Link to merged Doc - CERTIFICAÇÃO - PROFESSOR")</f>
        <v>Link to merged Doc - CERTIFICAÇÃO - PROFESSOR</v>
      </c>
      <c r="X1" s="59" t="str">
        <f ca="1">IFERROR(__xludf.DUMMYFUNCTION("""COMPUTED_VALUE"""),"Document Merge Status - CERTIFICAÇÃO - PROFESSOR")</f>
        <v>Document Merge Status - CERTIFICAÇÃO - PROFESSOR</v>
      </c>
    </row>
    <row r="2" spans="1:24" ht="15.75" customHeight="1" x14ac:dyDescent="0.25">
      <c r="A2" s="58" t="str">
        <f ca="1">IFERROR(__xludf.DUMMYFUNCTION("""COMPUTED_VALUE"""),"095.093.424-08")</f>
        <v>095.093.424-08</v>
      </c>
      <c r="B2" s="58" t="str">
        <f ca="1">IFERROR(__xludf.DUMMYFUNCTION("""COMPUTED_VALUE"""),"JOANITA FRAZIELLY PEREIRA GOMES")</f>
        <v>JOANITA FRAZIELLY PEREIRA GOMES</v>
      </c>
      <c r="C2" s="58" t="str">
        <f ca="1">IFERROR(__xludf.DUMMYFUNCTION("""COMPUTED_VALUE"""),"frazy15@gmail.com")</f>
        <v>frazy15@gmail.com</v>
      </c>
      <c r="D2" s="58" t="str">
        <f ca="1">IFERROR(__xludf.DUMMYFUNCTION("""COMPUTED_VALUE"""),"PERFIL FORMAÇÃO: EQUIPE LOCAL")</f>
        <v>PERFIL FORMAÇÃO: EQUIPE LOCAL</v>
      </c>
      <c r="E2" s="58" t="str">
        <f ca="1">IFERROR(__xludf.DUMMYFUNCTION("""COMPUTED_VALUE"""),"EQUIPE LOCAL")</f>
        <v>EQUIPE LOCAL</v>
      </c>
      <c r="F2" s="58" t="str">
        <f ca="1">IFERROR(__xludf.DUMMYFUNCTION("""COMPUTED_VALUE"""),"MAIO")</f>
        <v>MAIO</v>
      </c>
      <c r="G2" s="58">
        <f ca="1">IFERROR(__xludf.DUMMYFUNCTION("""COMPUTED_VALUE"""),2025)</f>
        <v>2025</v>
      </c>
      <c r="H2" s="58" t="str">
        <f ca="1">IFERROR(__xludf.DUMMYFUNCTION("""COMPUTED_VALUE"""),"FORMAÇÃO/2025.3")</f>
        <v>FORMAÇÃO/2025.3</v>
      </c>
      <c r="I2" s="58" t="str">
        <f ca="1">IFERROR(__xludf.DUMMYFUNCTION("""COMPUTED_VALUE"""),"ÚNICO")</f>
        <v>ÚNICO</v>
      </c>
      <c r="J2" s="58" t="str">
        <f ca="1">IFERROR(__xludf.DUMMYFUNCTION("""COMPUTED_VALUE"""),"004/2025")</f>
        <v>004/2025</v>
      </c>
      <c r="K2" s="58" t="str">
        <f ca="1">IFERROR(__xludf.DUMMYFUNCTION("""COMPUTED_VALUE"""),"05/05/2025")</f>
        <v>05/05/2025</v>
      </c>
      <c r="L2" s="58" t="str">
        <f ca="1">IFERROR(__xludf.DUMMYFUNCTION("""COMPUTED_VALUE"""),"16/05/2025")</f>
        <v>16/05/2025</v>
      </c>
      <c r="M2" s="58" t="str">
        <f ca="1">IFERROR(__xludf.DUMMYFUNCTION("""COMPUTED_VALUE"""),"642-744-951-034")</f>
        <v>642-744-951-034</v>
      </c>
      <c r="N2" s="58" t="str">
        <f ca="1">IFERROR(__xludf.DUMMYFUNCTION("""COMPUTED_VALUE"""),"PENDENTE")</f>
        <v>PENDENTE</v>
      </c>
      <c r="O2" s="58" t="str">
        <f ca="1">IFERROR(__xludf.DUMMYFUNCTION("""COMPUTED_VALUE"""),"NÃO")</f>
        <v>NÃO</v>
      </c>
      <c r="P2" s="58" t="str">
        <f ca="1">IFERROR(__xludf.DUMMYFUNCTION("""COMPUTED_VALUE"""),"NÃO")</f>
        <v>NÃO</v>
      </c>
      <c r="Q2" s="58"/>
      <c r="R2" s="58"/>
      <c r="S2" s="58"/>
      <c r="T2" s="58"/>
      <c r="U2" s="58"/>
      <c r="V2" s="58"/>
      <c r="W2" s="58"/>
      <c r="X2" s="59"/>
    </row>
    <row r="3" spans="1:24" ht="15.75" customHeight="1" x14ac:dyDescent="0.25">
      <c r="A3" s="58" t="str">
        <f ca="1">IFERROR(__xludf.DUMMYFUNCTION("""COMPUTED_VALUE"""),"095.728.144-78")</f>
        <v>095.728.144-78</v>
      </c>
      <c r="B3" s="58" t="str">
        <f ca="1">IFERROR(__xludf.DUMMYFUNCTION("""COMPUTED_VALUE"""),"CINTHIA RAQUEL DE FRANÇA RODRIGUES")</f>
        <v>CINTHIA RAQUEL DE FRANÇA RODRIGUES</v>
      </c>
      <c r="C3" s="58" t="str">
        <f ca="1">IFERROR(__xludf.DUMMYFUNCTION("""COMPUTED_VALUE"""),"cinthiaraqueldfr@gmail.com")</f>
        <v>cinthiaraqueldfr@gmail.com</v>
      </c>
      <c r="D3" s="58" t="str">
        <f ca="1">IFERROR(__xludf.DUMMYFUNCTION("""COMPUTED_VALUE"""),"PERFIL FORMAÇÃO: EQUIPE LOCAL")</f>
        <v>PERFIL FORMAÇÃO: EQUIPE LOCAL</v>
      </c>
      <c r="E3" s="58" t="str">
        <f ca="1">IFERROR(__xludf.DUMMYFUNCTION("""COMPUTED_VALUE"""),"EQUIPE LOCAL")</f>
        <v>EQUIPE LOCAL</v>
      </c>
      <c r="F3" s="58" t="str">
        <f ca="1">IFERROR(__xludf.DUMMYFUNCTION("""COMPUTED_VALUE"""),"MAIO")</f>
        <v>MAIO</v>
      </c>
      <c r="G3" s="58">
        <f ca="1">IFERROR(__xludf.DUMMYFUNCTION("""COMPUTED_VALUE"""),2025)</f>
        <v>2025</v>
      </c>
      <c r="H3" s="58" t="str">
        <f ca="1">IFERROR(__xludf.DUMMYFUNCTION("""COMPUTED_VALUE"""),"FORMAÇÃO/2025.3")</f>
        <v>FORMAÇÃO/2025.3</v>
      </c>
      <c r="I3" s="58" t="str">
        <f ca="1">IFERROR(__xludf.DUMMYFUNCTION("""COMPUTED_VALUE"""),"ÚNICO")</f>
        <v>ÚNICO</v>
      </c>
      <c r="J3" s="58" t="str">
        <f ca="1">IFERROR(__xludf.DUMMYFUNCTION("""COMPUTED_VALUE"""),"004/2025")</f>
        <v>004/2025</v>
      </c>
      <c r="K3" s="58" t="str">
        <f ca="1">IFERROR(__xludf.DUMMYFUNCTION("""COMPUTED_VALUE"""),"05/05/2025")</f>
        <v>05/05/2025</v>
      </c>
      <c r="L3" s="58" t="str">
        <f ca="1">IFERROR(__xludf.DUMMYFUNCTION("""COMPUTED_VALUE"""),"16/05/2025")</f>
        <v>16/05/2025</v>
      </c>
      <c r="M3" s="58" t="str">
        <f ca="1">IFERROR(__xludf.DUMMYFUNCTION("""COMPUTED_VALUE"""),"252-438-715-860")</f>
        <v>252-438-715-860</v>
      </c>
      <c r="N3" s="58" t="str">
        <f ca="1">IFERROR(__xludf.DUMMYFUNCTION("""COMPUTED_VALUE"""),"APROVADO")</f>
        <v>APROVADO</v>
      </c>
      <c r="O3" s="58" t="str">
        <f ca="1">IFERROR(__xludf.DUMMYFUNCTION("""COMPUTED_VALUE"""),"NÃO")</f>
        <v>NÃO</v>
      </c>
      <c r="P3" s="58" t="str">
        <f ca="1">IFERROR(__xludf.DUMMYFUNCTION("""COMPUTED_VALUE"""),"NÃO")</f>
        <v>NÃO</v>
      </c>
      <c r="Q3" s="58"/>
      <c r="R3" s="58"/>
      <c r="S3" s="58"/>
      <c r="T3" s="58"/>
      <c r="U3" s="58"/>
      <c r="V3" s="58"/>
      <c r="W3" s="58"/>
      <c r="X3" s="59"/>
    </row>
    <row r="4" spans="1:24" ht="15.75" customHeight="1" x14ac:dyDescent="0.25">
      <c r="A4" s="58" t="str">
        <f ca="1">IFERROR(__xludf.DUMMYFUNCTION("""COMPUTED_VALUE"""),"657.706.842-91")</f>
        <v>657.706.842-91</v>
      </c>
      <c r="B4" s="58" t="str">
        <f ca="1">IFERROR(__xludf.DUMMYFUNCTION("""COMPUTED_VALUE"""),"ALLAN PABLO DO NASCIMENTO LAMEIRA")</f>
        <v>ALLAN PABLO DO NASCIMENTO LAMEIRA</v>
      </c>
      <c r="C4" s="58" t="str">
        <f ca="1">IFERROR(__xludf.DUMMYFUNCTION("""COMPUTED_VALUE"""),"allanpablolameira@gmail.com")</f>
        <v>allanpablolameira@gmail.com</v>
      </c>
      <c r="D4" s="58" t="str">
        <f ca="1">IFERROR(__xludf.DUMMYFUNCTION("""COMPUTED_VALUE"""),"PERFIL FORMAÇÃO: EQUIPE LOCAL")</f>
        <v>PERFIL FORMAÇÃO: EQUIPE LOCAL</v>
      </c>
      <c r="E4" s="58" t="str">
        <f ca="1">IFERROR(__xludf.DUMMYFUNCTION("""COMPUTED_VALUE"""),"EQUIPE LOCAL")</f>
        <v>EQUIPE LOCAL</v>
      </c>
      <c r="F4" s="58" t="str">
        <f ca="1">IFERROR(__xludf.DUMMYFUNCTION("""COMPUTED_VALUE"""),"MAIO")</f>
        <v>MAIO</v>
      </c>
      <c r="G4" s="58">
        <f ca="1">IFERROR(__xludf.DUMMYFUNCTION("""COMPUTED_VALUE"""),2025)</f>
        <v>2025</v>
      </c>
      <c r="H4" s="58" t="str">
        <f ca="1">IFERROR(__xludf.DUMMYFUNCTION("""COMPUTED_VALUE"""),"FORMAÇÃO/2025.3")</f>
        <v>FORMAÇÃO/2025.3</v>
      </c>
      <c r="I4" s="58" t="str">
        <f ca="1">IFERROR(__xludf.DUMMYFUNCTION("""COMPUTED_VALUE"""),"ÚNICO")</f>
        <v>ÚNICO</v>
      </c>
      <c r="J4" s="58" t="str">
        <f ca="1">IFERROR(__xludf.DUMMYFUNCTION("""COMPUTED_VALUE"""),"004/2025")</f>
        <v>004/2025</v>
      </c>
      <c r="K4" s="58" t="str">
        <f ca="1">IFERROR(__xludf.DUMMYFUNCTION("""COMPUTED_VALUE"""),"05/05/2025")</f>
        <v>05/05/2025</v>
      </c>
      <c r="L4" s="58" t="str">
        <f ca="1">IFERROR(__xludf.DUMMYFUNCTION("""COMPUTED_VALUE"""),"16/05/2025")</f>
        <v>16/05/2025</v>
      </c>
      <c r="M4" s="58" t="str">
        <f ca="1">IFERROR(__xludf.DUMMYFUNCTION("""COMPUTED_VALUE"""),"826-349-187-777")</f>
        <v>826-349-187-777</v>
      </c>
      <c r="N4" s="58" t="str">
        <f ca="1">IFERROR(__xludf.DUMMYFUNCTION("""COMPUTED_VALUE"""),"PENDENTE")</f>
        <v>PENDENTE</v>
      </c>
      <c r="O4" s="58" t="str">
        <f ca="1">IFERROR(__xludf.DUMMYFUNCTION("""COMPUTED_VALUE"""),"NÃO")</f>
        <v>NÃO</v>
      </c>
      <c r="P4" s="58" t="str">
        <f ca="1">IFERROR(__xludf.DUMMYFUNCTION("""COMPUTED_VALUE"""),"NÃO")</f>
        <v>NÃO</v>
      </c>
      <c r="Q4" s="58"/>
      <c r="R4" s="58"/>
      <c r="S4" s="58"/>
      <c r="T4" s="58"/>
      <c r="U4" s="58"/>
      <c r="V4" s="58"/>
      <c r="W4" s="58"/>
      <c r="X4" s="59"/>
    </row>
    <row r="5" spans="1:24" ht="15.75" customHeight="1" x14ac:dyDescent="0.25">
      <c r="A5" s="58" t="str">
        <f ca="1">IFERROR(__xludf.DUMMYFUNCTION("""COMPUTED_VALUE"""),"893.666.464-68")</f>
        <v>893.666.464-68</v>
      </c>
      <c r="B5" s="58" t="str">
        <f ca="1">IFERROR(__xludf.DUMMYFUNCTION("""COMPUTED_VALUE"""),"ALESSANDRA BASILIO DA SILVA")</f>
        <v>ALESSANDRA BASILIO DA SILVA</v>
      </c>
      <c r="C5" s="58" t="str">
        <f ca="1">IFERROR(__xludf.DUMMYFUNCTION("""COMPUTED_VALUE"""),"basiliodasilva18@gmail.com")</f>
        <v>basiliodasilva18@gmail.com</v>
      </c>
      <c r="D5" s="58" t="str">
        <f ca="1">IFERROR(__xludf.DUMMYFUNCTION("""COMPUTED_VALUE"""),"PERFIL FORMAÇÃO: EQUIPE LOCAL")</f>
        <v>PERFIL FORMAÇÃO: EQUIPE LOCAL</v>
      </c>
      <c r="E5" s="58" t="str">
        <f ca="1">IFERROR(__xludf.DUMMYFUNCTION("""COMPUTED_VALUE"""),"EQUIPE LOCAL")</f>
        <v>EQUIPE LOCAL</v>
      </c>
      <c r="F5" s="58" t="str">
        <f ca="1">IFERROR(__xludf.DUMMYFUNCTION("""COMPUTED_VALUE"""),"MAIO")</f>
        <v>MAIO</v>
      </c>
      <c r="G5" s="58">
        <f ca="1">IFERROR(__xludf.DUMMYFUNCTION("""COMPUTED_VALUE"""),2025)</f>
        <v>2025</v>
      </c>
      <c r="H5" s="58" t="str">
        <f ca="1">IFERROR(__xludf.DUMMYFUNCTION("""COMPUTED_VALUE"""),"FORMAÇÃO/2025.3")</f>
        <v>FORMAÇÃO/2025.3</v>
      </c>
      <c r="I5" s="58" t="str">
        <f ca="1">IFERROR(__xludf.DUMMYFUNCTION("""COMPUTED_VALUE"""),"ÚNICO")</f>
        <v>ÚNICO</v>
      </c>
      <c r="J5" s="58" t="str">
        <f ca="1">IFERROR(__xludf.DUMMYFUNCTION("""COMPUTED_VALUE"""),"004/2025")</f>
        <v>004/2025</v>
      </c>
      <c r="K5" s="58" t="str">
        <f ca="1">IFERROR(__xludf.DUMMYFUNCTION("""COMPUTED_VALUE"""),"05/05/2025")</f>
        <v>05/05/2025</v>
      </c>
      <c r="L5" s="58" t="str">
        <f ca="1">IFERROR(__xludf.DUMMYFUNCTION("""COMPUTED_VALUE"""),"16/05/2025")</f>
        <v>16/05/2025</v>
      </c>
      <c r="M5" s="58" t="str">
        <f ca="1">IFERROR(__xludf.DUMMYFUNCTION("""COMPUTED_VALUE"""),"777-763-062-577")</f>
        <v>777-763-062-577</v>
      </c>
      <c r="N5" s="58" t="str">
        <f ca="1">IFERROR(__xludf.DUMMYFUNCTION("""COMPUTED_VALUE"""),"APROVADO")</f>
        <v>APROVADO</v>
      </c>
      <c r="O5" s="58" t="str">
        <f ca="1">IFERROR(__xludf.DUMMYFUNCTION("""COMPUTED_VALUE"""),"NÃO")</f>
        <v>NÃO</v>
      </c>
      <c r="P5" s="58" t="str">
        <f ca="1">IFERROR(__xludf.DUMMYFUNCTION("""COMPUTED_VALUE"""),"NÃO")</f>
        <v>NÃO</v>
      </c>
      <c r="Q5" s="58"/>
      <c r="R5" s="58"/>
      <c r="S5" s="58"/>
      <c r="T5" s="58"/>
      <c r="U5" s="58"/>
      <c r="V5" s="58"/>
      <c r="W5" s="58"/>
      <c r="X5" s="59"/>
    </row>
    <row r="6" spans="1:24" ht="15.75" customHeight="1" x14ac:dyDescent="0.25">
      <c r="A6" s="58" t="str">
        <f ca="1">IFERROR(__xludf.DUMMYFUNCTION("""COMPUTED_VALUE"""),"095.126.584-96")</f>
        <v>095.126.584-96</v>
      </c>
      <c r="B6" s="58" t="str">
        <f ca="1">IFERROR(__xludf.DUMMYFUNCTION("""COMPUTED_VALUE"""),"PAULO SÉRGIO DA SILVA")</f>
        <v>PAULO SÉRGIO DA SILVA</v>
      </c>
      <c r="C6" s="58" t="str">
        <f ca="1">IFERROR(__xludf.DUMMYFUNCTION("""COMPUTED_VALUE"""),"paolubratilesilva@gmail.com")</f>
        <v>paolubratilesilva@gmail.com</v>
      </c>
      <c r="D6" s="58" t="str">
        <f ca="1">IFERROR(__xludf.DUMMYFUNCTION("""COMPUTED_VALUE"""),"PERFIL FORMAÇÃO: PROFESSORES")</f>
        <v>PERFIL FORMAÇÃO: PROFESSORES</v>
      </c>
      <c r="E6" s="58" t="str">
        <f ca="1">IFERROR(__xludf.DUMMYFUNCTION("""COMPUTED_VALUE"""),"PROFESSORES")</f>
        <v>PROFESSORES</v>
      </c>
      <c r="F6" s="58" t="str">
        <f ca="1">IFERROR(__xludf.DUMMYFUNCTION("""COMPUTED_VALUE"""),"MAIO")</f>
        <v>MAIO</v>
      </c>
      <c r="G6" s="58">
        <f ca="1">IFERROR(__xludf.DUMMYFUNCTION("""COMPUTED_VALUE"""),2025)</f>
        <v>2025</v>
      </c>
      <c r="H6" s="58" t="str">
        <f ca="1">IFERROR(__xludf.DUMMYFUNCTION("""COMPUTED_VALUE"""),"FORMAÇÃO/2025.3")</f>
        <v>FORMAÇÃO/2025.3</v>
      </c>
      <c r="I6" s="58" t="str">
        <f ca="1">IFERROR(__xludf.DUMMYFUNCTION("""COMPUTED_VALUE"""),"ÚNICO")</f>
        <v>ÚNICO</v>
      </c>
      <c r="J6" s="58" t="str">
        <f ca="1">IFERROR(__xludf.DUMMYFUNCTION("""COMPUTED_VALUE"""),"004/2025")</f>
        <v>004/2025</v>
      </c>
      <c r="K6" s="58" t="str">
        <f ca="1">IFERROR(__xludf.DUMMYFUNCTION("""COMPUTED_VALUE"""),"05/05/2025")</f>
        <v>05/05/2025</v>
      </c>
      <c r="L6" s="58" t="str">
        <f ca="1">IFERROR(__xludf.DUMMYFUNCTION("""COMPUTED_VALUE"""),"16/05/2025")</f>
        <v>16/05/2025</v>
      </c>
      <c r="M6" s="58" t="str">
        <f ca="1">IFERROR(__xludf.DUMMYFUNCTION("""COMPUTED_VALUE"""),"900-935-355-198")</f>
        <v>900-935-355-198</v>
      </c>
      <c r="N6" s="58" t="str">
        <f ca="1">IFERROR(__xludf.DUMMYFUNCTION("""COMPUTED_VALUE"""),"PENDENTE")</f>
        <v>PENDENTE</v>
      </c>
      <c r="O6" s="58" t="str">
        <f ca="1">IFERROR(__xludf.DUMMYFUNCTION("""COMPUTED_VALUE"""),"SIM")</f>
        <v>SIM</v>
      </c>
      <c r="P6" s="58" t="str">
        <f ca="1">IFERROR(__xludf.DUMMYFUNCTION("""COMPUTED_VALUE"""),"NÃO")</f>
        <v>NÃO</v>
      </c>
      <c r="Q6" s="58"/>
      <c r="R6" s="58"/>
      <c r="S6" s="58"/>
      <c r="T6" s="58"/>
      <c r="U6" s="58"/>
      <c r="V6" s="58"/>
      <c r="W6" s="58"/>
      <c r="X6" s="59"/>
    </row>
    <row r="7" spans="1:24" ht="15.75" customHeight="1" x14ac:dyDescent="0.25">
      <c r="A7" s="58" t="str">
        <f ca="1">IFERROR(__xludf.DUMMYFUNCTION("""COMPUTED_VALUE"""),"093.701.694-23")</f>
        <v>093.701.694-23</v>
      </c>
      <c r="B7" s="58" t="str">
        <f ca="1">IFERROR(__xludf.DUMMYFUNCTION("""COMPUTED_VALUE"""),"EDUARDO LOPES MARQUES XAVIER")</f>
        <v>EDUARDO LOPES MARQUES XAVIER</v>
      </c>
      <c r="C7" s="58" t="str">
        <f ca="1">IFERROR(__xludf.DUMMYFUNCTION("""COMPUTED_VALUE"""),"eduardolmx20@gmail.com")</f>
        <v>eduardolmx20@gmail.com</v>
      </c>
      <c r="D7" s="58" t="str">
        <f ca="1">IFERROR(__xludf.DUMMYFUNCTION("""COMPUTED_VALUE"""),"PERFIL FORMAÇÃO: PROFESSORES")</f>
        <v>PERFIL FORMAÇÃO: PROFESSORES</v>
      </c>
      <c r="E7" s="58" t="str">
        <f ca="1">IFERROR(__xludf.DUMMYFUNCTION("""COMPUTED_VALUE"""),"PROFESSORES")</f>
        <v>PROFESSORES</v>
      </c>
      <c r="F7" s="58" t="str">
        <f ca="1">IFERROR(__xludf.DUMMYFUNCTION("""COMPUTED_VALUE"""),"MAIO")</f>
        <v>MAIO</v>
      </c>
      <c r="G7" s="58">
        <f ca="1">IFERROR(__xludf.DUMMYFUNCTION("""COMPUTED_VALUE"""),2025)</f>
        <v>2025</v>
      </c>
      <c r="H7" s="58" t="str">
        <f ca="1">IFERROR(__xludf.DUMMYFUNCTION("""COMPUTED_VALUE"""),"FORMAÇÃO/2025.3")</f>
        <v>FORMAÇÃO/2025.3</v>
      </c>
      <c r="I7" s="58" t="str">
        <f ca="1">IFERROR(__xludf.DUMMYFUNCTION("""COMPUTED_VALUE"""),"ÚNICO")</f>
        <v>ÚNICO</v>
      </c>
      <c r="J7" s="58" t="str">
        <f ca="1">IFERROR(__xludf.DUMMYFUNCTION("""COMPUTED_VALUE"""),"004/2025")</f>
        <v>004/2025</v>
      </c>
      <c r="K7" s="58" t="str">
        <f ca="1">IFERROR(__xludf.DUMMYFUNCTION("""COMPUTED_VALUE"""),"05/05/2025")</f>
        <v>05/05/2025</v>
      </c>
      <c r="L7" s="58" t="str">
        <f ca="1">IFERROR(__xludf.DUMMYFUNCTION("""COMPUTED_VALUE"""),"16/05/2025")</f>
        <v>16/05/2025</v>
      </c>
      <c r="M7" s="58" t="str">
        <f ca="1">IFERROR(__xludf.DUMMYFUNCTION("""COMPUTED_VALUE"""),"951-599-779-983")</f>
        <v>951-599-779-983</v>
      </c>
      <c r="N7" s="58" t="str">
        <f ca="1">IFERROR(__xludf.DUMMYFUNCTION("""COMPUTED_VALUE"""),"APROVADO")</f>
        <v>APROVADO</v>
      </c>
      <c r="O7" s="58" t="str">
        <f ca="1">IFERROR(__xludf.DUMMYFUNCTION("""COMPUTED_VALUE"""),"NÃO")</f>
        <v>NÃO</v>
      </c>
      <c r="P7" s="58" t="str">
        <f ca="1">IFERROR(__xludf.DUMMYFUNCTION("""COMPUTED_VALUE"""),"NÃO")</f>
        <v>NÃO</v>
      </c>
      <c r="Q7" s="58"/>
      <c r="R7" s="58"/>
      <c r="S7" s="58"/>
      <c r="T7" s="58"/>
      <c r="U7" s="58"/>
      <c r="V7" s="58"/>
      <c r="W7" s="58"/>
      <c r="X7" s="59"/>
    </row>
    <row r="8" spans="1:24" ht="15.75" customHeight="1" x14ac:dyDescent="0.25">
      <c r="A8" s="58" t="str">
        <f ca="1">IFERROR(__xludf.DUMMYFUNCTION("""COMPUTED_VALUE"""),"032.924.404-32")</f>
        <v>032.924.404-32</v>
      </c>
      <c r="B8" s="58" t="str">
        <f ca="1">IFERROR(__xludf.DUMMYFUNCTION("""COMPUTED_VALUE"""),"ANDREIA LOURENÇO DA SILVA")</f>
        <v>ANDREIA LOURENÇO DA SILVA</v>
      </c>
      <c r="C8" s="58" t="str">
        <f ca="1">IFERROR(__xludf.DUMMYFUNCTION("""COMPUTED_VALUE"""),"andtutorabap@gmail.com")</f>
        <v>andtutorabap@gmail.com</v>
      </c>
      <c r="D8" s="58" t="str">
        <f ca="1">IFERROR(__xludf.DUMMYFUNCTION("""COMPUTED_VALUE"""),"PERFIL FORMAÇÃO: PROFESSORES")</f>
        <v>PERFIL FORMAÇÃO: PROFESSORES</v>
      </c>
      <c r="E8" s="58" t="str">
        <f ca="1">IFERROR(__xludf.DUMMYFUNCTION("""COMPUTED_VALUE"""),"PROFESSORES")</f>
        <v>PROFESSORES</v>
      </c>
      <c r="F8" s="58" t="str">
        <f ca="1">IFERROR(__xludf.DUMMYFUNCTION("""COMPUTED_VALUE"""),"MAIO")</f>
        <v>MAIO</v>
      </c>
      <c r="G8" s="58">
        <f ca="1">IFERROR(__xludf.DUMMYFUNCTION("""COMPUTED_VALUE"""),2025)</f>
        <v>2025</v>
      </c>
      <c r="H8" s="58" t="str">
        <f ca="1">IFERROR(__xludf.DUMMYFUNCTION("""COMPUTED_VALUE"""),"FORMAÇÃO/2025.3")</f>
        <v>FORMAÇÃO/2025.3</v>
      </c>
      <c r="I8" s="58" t="str">
        <f ca="1">IFERROR(__xludf.DUMMYFUNCTION("""COMPUTED_VALUE"""),"ÚNICO")</f>
        <v>ÚNICO</v>
      </c>
      <c r="J8" s="58" t="str">
        <f ca="1">IFERROR(__xludf.DUMMYFUNCTION("""COMPUTED_VALUE"""),"004/2025")</f>
        <v>004/2025</v>
      </c>
      <c r="K8" s="58" t="str">
        <f ca="1">IFERROR(__xludf.DUMMYFUNCTION("""COMPUTED_VALUE"""),"05/05/2025")</f>
        <v>05/05/2025</v>
      </c>
      <c r="L8" s="58" t="str">
        <f ca="1">IFERROR(__xludf.DUMMYFUNCTION("""COMPUTED_VALUE"""),"16/05/2025")</f>
        <v>16/05/2025</v>
      </c>
      <c r="M8" s="58" t="str">
        <f ca="1">IFERROR(__xludf.DUMMYFUNCTION("""COMPUTED_VALUE"""),"243-602-552-385")</f>
        <v>243-602-552-385</v>
      </c>
      <c r="N8" s="58" t="str">
        <f ca="1">IFERROR(__xludf.DUMMYFUNCTION("""COMPUTED_VALUE"""),"APROVADO")</f>
        <v>APROVADO</v>
      </c>
      <c r="O8" s="58" t="str">
        <f ca="1">IFERROR(__xludf.DUMMYFUNCTION("""COMPUTED_VALUE"""),"NÃO")</f>
        <v>NÃO</v>
      </c>
      <c r="P8" s="58" t="str">
        <f ca="1">IFERROR(__xludf.DUMMYFUNCTION("""COMPUTED_VALUE"""),"NÃO")</f>
        <v>NÃO</v>
      </c>
      <c r="Q8" s="58"/>
      <c r="R8" s="58"/>
      <c r="S8" s="58"/>
      <c r="T8" s="58"/>
      <c r="U8" s="58"/>
      <c r="V8" s="58"/>
      <c r="W8" s="58"/>
      <c r="X8" s="59"/>
    </row>
    <row r="9" spans="1:24" ht="15.75" customHeight="1" x14ac:dyDescent="0.25">
      <c r="A9" s="58" t="str">
        <f ca="1">IFERROR(__xludf.DUMMYFUNCTION("""COMPUTED_VALUE"""),"113.312.544-18")</f>
        <v>113.312.544-18</v>
      </c>
      <c r="B9" s="58" t="str">
        <f ca="1">IFERROR(__xludf.DUMMYFUNCTION("""COMPUTED_VALUE"""),"KESSIA JEOVANA SOARES DE ALMEIDA")</f>
        <v>KESSIA JEOVANA SOARES DE ALMEIDA</v>
      </c>
      <c r="C9" s="58" t="str">
        <f ca="1">IFERROR(__xludf.DUMMYFUNCTION("""COMPUTED_VALUE"""),"k.jeovannatf@gmail.com")</f>
        <v>k.jeovannatf@gmail.com</v>
      </c>
      <c r="D9" s="58" t="str">
        <f ca="1">IFERROR(__xludf.DUMMYFUNCTION("""COMPUTED_VALUE"""),"PERFIL FORMAÇÃO: PROFESSORES")</f>
        <v>PERFIL FORMAÇÃO: PROFESSORES</v>
      </c>
      <c r="E9" s="58" t="str">
        <f ca="1">IFERROR(__xludf.DUMMYFUNCTION("""COMPUTED_VALUE"""),"PROFESSORES")</f>
        <v>PROFESSORES</v>
      </c>
      <c r="F9" s="58" t="str">
        <f ca="1">IFERROR(__xludf.DUMMYFUNCTION("""COMPUTED_VALUE"""),"MAIO")</f>
        <v>MAIO</v>
      </c>
      <c r="G9" s="58">
        <f ca="1">IFERROR(__xludf.DUMMYFUNCTION("""COMPUTED_VALUE"""),2025)</f>
        <v>2025</v>
      </c>
      <c r="H9" s="58" t="str">
        <f ca="1">IFERROR(__xludf.DUMMYFUNCTION("""COMPUTED_VALUE"""),"FORMAÇÃO/2025.3")</f>
        <v>FORMAÇÃO/2025.3</v>
      </c>
      <c r="I9" s="58" t="str">
        <f ca="1">IFERROR(__xludf.DUMMYFUNCTION("""COMPUTED_VALUE"""),"ÚNICO")</f>
        <v>ÚNICO</v>
      </c>
      <c r="J9" s="58" t="str">
        <f ca="1">IFERROR(__xludf.DUMMYFUNCTION("""COMPUTED_VALUE"""),"004/2025")</f>
        <v>004/2025</v>
      </c>
      <c r="K9" s="58" t="str">
        <f ca="1">IFERROR(__xludf.DUMMYFUNCTION("""COMPUTED_VALUE"""),"05/05/2025")</f>
        <v>05/05/2025</v>
      </c>
      <c r="L9" s="58" t="str">
        <f ca="1">IFERROR(__xludf.DUMMYFUNCTION("""COMPUTED_VALUE"""),"16/05/2025")</f>
        <v>16/05/2025</v>
      </c>
      <c r="M9" s="58" t="str">
        <f ca="1">IFERROR(__xludf.DUMMYFUNCTION("""COMPUTED_VALUE"""),"453-929-125-382")</f>
        <v>453-929-125-382</v>
      </c>
      <c r="N9" s="58" t="str">
        <f ca="1">IFERROR(__xludf.DUMMYFUNCTION("""COMPUTED_VALUE"""),"APROVADO")</f>
        <v>APROVADO</v>
      </c>
      <c r="O9" s="58" t="str">
        <f ca="1">IFERROR(__xludf.DUMMYFUNCTION("""COMPUTED_VALUE"""),"NÃO")</f>
        <v>NÃO</v>
      </c>
      <c r="P9" s="58" t="str">
        <f ca="1">IFERROR(__xludf.DUMMYFUNCTION("""COMPUTED_VALUE"""),"NÃO")</f>
        <v>NÃO</v>
      </c>
      <c r="Q9" s="58"/>
      <c r="R9" s="58"/>
      <c r="S9" s="58"/>
      <c r="T9" s="58"/>
      <c r="U9" s="58"/>
      <c r="V9" s="58"/>
      <c r="W9" s="58"/>
      <c r="X9" s="59"/>
    </row>
    <row r="10" spans="1:24" ht="15.75" customHeight="1" x14ac:dyDescent="0.25">
      <c r="A10" s="58" t="str">
        <f ca="1">IFERROR(__xludf.DUMMYFUNCTION("""COMPUTED_VALUE"""),"046.897.674-40")</f>
        <v>046.897.674-40</v>
      </c>
      <c r="B10" s="58" t="str">
        <f ca="1">IFERROR(__xludf.DUMMYFUNCTION("""COMPUTED_VALUE"""),"GIRLENE SANTOS RIBEIRO FRANÇA")</f>
        <v>GIRLENE SANTOS RIBEIRO FRANÇA</v>
      </c>
      <c r="C10" s="58" t="str">
        <f ca="1">IFERROR(__xludf.DUMMYFUNCTION("""COMPUTED_VALUE"""),"gifranca1530@gmail.com")</f>
        <v>gifranca1530@gmail.com</v>
      </c>
      <c r="D10" s="58" t="str">
        <f ca="1">IFERROR(__xludf.DUMMYFUNCTION("""COMPUTED_VALUE"""),"PERFIL FORMAÇÃO: EQUIPE LOCAL")</f>
        <v>PERFIL FORMAÇÃO: EQUIPE LOCAL</v>
      </c>
      <c r="E10" s="58" t="str">
        <f ca="1">IFERROR(__xludf.DUMMYFUNCTION("""COMPUTED_VALUE"""),"EQUIPE LOCAL")</f>
        <v>EQUIPE LOCAL</v>
      </c>
      <c r="F10" s="58" t="str">
        <f ca="1">IFERROR(__xludf.DUMMYFUNCTION("""COMPUTED_VALUE"""),"MAIO")</f>
        <v>MAIO</v>
      </c>
      <c r="G10" s="58">
        <f ca="1">IFERROR(__xludf.DUMMYFUNCTION("""COMPUTED_VALUE"""),2025)</f>
        <v>2025</v>
      </c>
      <c r="H10" s="58" t="str">
        <f ca="1">IFERROR(__xludf.DUMMYFUNCTION("""COMPUTED_VALUE"""),"FORMAÇÃO/2025.3")</f>
        <v>FORMAÇÃO/2025.3</v>
      </c>
      <c r="I10" s="58" t="str">
        <f ca="1">IFERROR(__xludf.DUMMYFUNCTION("""COMPUTED_VALUE"""),"ÚNICO")</f>
        <v>ÚNICO</v>
      </c>
      <c r="J10" s="58" t="str">
        <f ca="1">IFERROR(__xludf.DUMMYFUNCTION("""COMPUTED_VALUE"""),"004/2025")</f>
        <v>004/2025</v>
      </c>
      <c r="K10" s="58" t="str">
        <f ca="1">IFERROR(__xludf.DUMMYFUNCTION("""COMPUTED_VALUE"""),"05/05/2025")</f>
        <v>05/05/2025</v>
      </c>
      <c r="L10" s="58" t="str">
        <f ca="1">IFERROR(__xludf.DUMMYFUNCTION("""COMPUTED_VALUE"""),"16/05/2025")</f>
        <v>16/05/2025</v>
      </c>
      <c r="M10" s="58" t="str">
        <f ca="1">IFERROR(__xludf.DUMMYFUNCTION("""COMPUTED_VALUE"""),"463-778-033-053")</f>
        <v>463-778-033-053</v>
      </c>
      <c r="N10" s="58" t="str">
        <f ca="1">IFERROR(__xludf.DUMMYFUNCTION("""COMPUTED_VALUE"""),"APROVADO")</f>
        <v>APROVADO</v>
      </c>
      <c r="O10" s="58" t="str">
        <f ca="1">IFERROR(__xludf.DUMMYFUNCTION("""COMPUTED_VALUE"""),"NÃO")</f>
        <v>NÃO</v>
      </c>
      <c r="P10" s="58" t="str">
        <f ca="1">IFERROR(__xludf.DUMMYFUNCTION("""COMPUTED_VALUE"""),"NÃO")</f>
        <v>NÃO</v>
      </c>
      <c r="Q10" s="58"/>
      <c r="R10" s="58"/>
      <c r="S10" s="58"/>
      <c r="T10" s="58"/>
      <c r="U10" s="58"/>
      <c r="V10" s="58"/>
      <c r="W10" s="58"/>
      <c r="X10" s="59"/>
    </row>
    <row r="11" spans="1:24" ht="15.75" customHeight="1" x14ac:dyDescent="0.25">
      <c r="A11" s="58" t="str">
        <f ca="1">IFERROR(__xludf.DUMMYFUNCTION("""COMPUTED_VALUE"""),"001.248.244-71")</f>
        <v>001.248.244-71</v>
      </c>
      <c r="B11" s="58" t="str">
        <f ca="1">IFERROR(__xludf.DUMMYFUNCTION("""COMPUTED_VALUE"""),"ANDREA ANDRADE SILVA")</f>
        <v>ANDREA ANDRADE SILVA</v>
      </c>
      <c r="C11" s="58" t="str">
        <f ca="1">IFERROR(__xludf.DUMMYFUNCTION("""COMPUTED_VALUE"""),"andreaandradetrabalho7@gmail.com")</f>
        <v>andreaandradetrabalho7@gmail.com</v>
      </c>
      <c r="D11" s="58" t="str">
        <f ca="1">IFERROR(__xludf.DUMMYFUNCTION("""COMPUTED_VALUE"""),"PERFIL FORMAÇÃO: EQUIPE LOCAL")</f>
        <v>PERFIL FORMAÇÃO: EQUIPE LOCAL</v>
      </c>
      <c r="E11" s="58" t="str">
        <f ca="1">IFERROR(__xludf.DUMMYFUNCTION("""COMPUTED_VALUE"""),"EQUIPE LOCAL")</f>
        <v>EQUIPE LOCAL</v>
      </c>
      <c r="F11" s="58" t="str">
        <f ca="1">IFERROR(__xludf.DUMMYFUNCTION("""COMPUTED_VALUE"""),"MAIO")</f>
        <v>MAIO</v>
      </c>
      <c r="G11" s="58">
        <f ca="1">IFERROR(__xludf.DUMMYFUNCTION("""COMPUTED_VALUE"""),2025)</f>
        <v>2025</v>
      </c>
      <c r="H11" s="58" t="str">
        <f ca="1">IFERROR(__xludf.DUMMYFUNCTION("""COMPUTED_VALUE"""),"FORMAÇÃO/2025.3")</f>
        <v>FORMAÇÃO/2025.3</v>
      </c>
      <c r="I11" s="58" t="str">
        <f ca="1">IFERROR(__xludf.DUMMYFUNCTION("""COMPUTED_VALUE"""),"ÚNICO")</f>
        <v>ÚNICO</v>
      </c>
      <c r="J11" s="58" t="str">
        <f ca="1">IFERROR(__xludf.DUMMYFUNCTION("""COMPUTED_VALUE"""),"004/2025")</f>
        <v>004/2025</v>
      </c>
      <c r="K11" s="58" t="str">
        <f ca="1">IFERROR(__xludf.DUMMYFUNCTION("""COMPUTED_VALUE"""),"05/05/2025")</f>
        <v>05/05/2025</v>
      </c>
      <c r="L11" s="58" t="str">
        <f ca="1">IFERROR(__xludf.DUMMYFUNCTION("""COMPUTED_VALUE"""),"16/05/2025")</f>
        <v>16/05/2025</v>
      </c>
      <c r="M11" s="58" t="str">
        <f ca="1">IFERROR(__xludf.DUMMYFUNCTION("""COMPUTED_VALUE"""),"185-973-544-727")</f>
        <v>185-973-544-727</v>
      </c>
      <c r="N11" s="58" t="str">
        <f ca="1">IFERROR(__xludf.DUMMYFUNCTION("""COMPUTED_VALUE"""),"APROVADO")</f>
        <v>APROVADO</v>
      </c>
      <c r="O11" s="58" t="str">
        <f ca="1">IFERROR(__xludf.DUMMYFUNCTION("""COMPUTED_VALUE"""),"NÃO")</f>
        <v>NÃO</v>
      </c>
      <c r="P11" s="58" t="str">
        <f ca="1">IFERROR(__xludf.DUMMYFUNCTION("""COMPUTED_VALUE"""),"NÃO")</f>
        <v>NÃO</v>
      </c>
      <c r="Q11" s="58"/>
      <c r="R11" s="58"/>
      <c r="S11" s="58"/>
      <c r="T11" s="58"/>
      <c r="U11" s="58"/>
      <c r="V11" s="58"/>
      <c r="W11" s="58"/>
      <c r="X11" s="59"/>
    </row>
    <row r="12" spans="1:24" ht="15.75" customHeight="1" x14ac:dyDescent="0.25">
      <c r="A12" s="58" t="str">
        <f ca="1">IFERROR(__xludf.DUMMYFUNCTION("""COMPUTED_VALUE"""),"103.874.534-90")</f>
        <v>103.874.534-90</v>
      </c>
      <c r="B12" s="58" t="str">
        <f ca="1">IFERROR(__xludf.DUMMYFUNCTION("""COMPUTED_VALUE"""),"JUCIARA NOARA SANTANA DE ARAÚJO COSTA")</f>
        <v>JUCIARA NOARA SANTANA DE ARAÚJO COSTA</v>
      </c>
      <c r="C12" s="58" t="str">
        <f ca="1">IFERROR(__xludf.DUMMYFUNCTION("""COMPUTED_VALUE"""),"juciara.noara@gmail.com")</f>
        <v>juciara.noara@gmail.com</v>
      </c>
      <c r="D12" s="58" t="str">
        <f ca="1">IFERROR(__xludf.DUMMYFUNCTION("""COMPUTED_VALUE"""),"PERFIL FORMAÇÃO: EQUIPE LOCAL")</f>
        <v>PERFIL FORMAÇÃO: EQUIPE LOCAL</v>
      </c>
      <c r="E12" s="58" t="str">
        <f ca="1">IFERROR(__xludf.DUMMYFUNCTION("""COMPUTED_VALUE"""),"EQUIPE LOCAL")</f>
        <v>EQUIPE LOCAL</v>
      </c>
      <c r="F12" s="58" t="str">
        <f ca="1">IFERROR(__xludf.DUMMYFUNCTION("""COMPUTED_VALUE"""),"MAIO")</f>
        <v>MAIO</v>
      </c>
      <c r="G12" s="58">
        <f ca="1">IFERROR(__xludf.DUMMYFUNCTION("""COMPUTED_VALUE"""),2025)</f>
        <v>2025</v>
      </c>
      <c r="H12" s="58" t="str">
        <f ca="1">IFERROR(__xludf.DUMMYFUNCTION("""COMPUTED_VALUE"""),"FORMAÇÃO/2025.3")</f>
        <v>FORMAÇÃO/2025.3</v>
      </c>
      <c r="I12" s="58" t="str">
        <f ca="1">IFERROR(__xludf.DUMMYFUNCTION("""COMPUTED_VALUE"""),"ÚNICO")</f>
        <v>ÚNICO</v>
      </c>
      <c r="J12" s="58" t="str">
        <f ca="1">IFERROR(__xludf.DUMMYFUNCTION("""COMPUTED_VALUE"""),"004/2025")</f>
        <v>004/2025</v>
      </c>
      <c r="K12" s="58" t="str">
        <f ca="1">IFERROR(__xludf.DUMMYFUNCTION("""COMPUTED_VALUE"""),"05/05/2025")</f>
        <v>05/05/2025</v>
      </c>
      <c r="L12" s="58" t="str">
        <f ca="1">IFERROR(__xludf.DUMMYFUNCTION("""COMPUTED_VALUE"""),"16/05/2025")</f>
        <v>16/05/2025</v>
      </c>
      <c r="M12" s="58" t="str">
        <f ca="1">IFERROR(__xludf.DUMMYFUNCTION("""COMPUTED_VALUE"""),"617-002-896-129")</f>
        <v>617-002-896-129</v>
      </c>
      <c r="N12" s="58" t="str">
        <f ca="1">IFERROR(__xludf.DUMMYFUNCTION("""COMPUTED_VALUE"""),"APROVADO")</f>
        <v>APROVADO</v>
      </c>
      <c r="O12" s="58" t="str">
        <f ca="1">IFERROR(__xludf.DUMMYFUNCTION("""COMPUTED_VALUE"""),"NÃO")</f>
        <v>NÃO</v>
      </c>
      <c r="P12" s="58" t="str">
        <f ca="1">IFERROR(__xludf.DUMMYFUNCTION("""COMPUTED_VALUE"""),"NÃO")</f>
        <v>NÃO</v>
      </c>
      <c r="Q12" s="58"/>
      <c r="R12" s="58"/>
      <c r="S12" s="58"/>
      <c r="T12" s="58"/>
      <c r="U12" s="58"/>
      <c r="V12" s="58"/>
      <c r="W12" s="58"/>
      <c r="X12" s="59"/>
    </row>
    <row r="13" spans="1:24" ht="15.75" customHeight="1" x14ac:dyDescent="0.25">
      <c r="A13" s="58" t="str">
        <f ca="1">IFERROR(__xludf.DUMMYFUNCTION("""COMPUTED_VALUE"""),"003.097.493-36")</f>
        <v>003.097.493-36</v>
      </c>
      <c r="B13" s="58" t="str">
        <f ca="1">IFERROR(__xludf.DUMMYFUNCTION("""COMPUTED_VALUE"""),"PATRÍCIA PEIXOTO CUSTÓDIO")</f>
        <v>PATRÍCIA PEIXOTO CUSTÓDIO</v>
      </c>
      <c r="C13" s="58" t="str">
        <f ca="1">IFERROR(__xludf.DUMMYFUNCTION("""COMPUTED_VALUE"""),"patyenfcz@gmail.com")</f>
        <v>patyenfcz@gmail.com</v>
      </c>
      <c r="D13" s="58" t="str">
        <f ca="1">IFERROR(__xludf.DUMMYFUNCTION("""COMPUTED_VALUE"""),"PERFIL FORMAÇÃO: EQUIPE LOCAL")</f>
        <v>PERFIL FORMAÇÃO: EQUIPE LOCAL</v>
      </c>
      <c r="E13" s="58" t="str">
        <f ca="1">IFERROR(__xludf.DUMMYFUNCTION("""COMPUTED_VALUE"""),"EQUIPE LOCAL")</f>
        <v>EQUIPE LOCAL</v>
      </c>
      <c r="F13" s="58" t="str">
        <f ca="1">IFERROR(__xludf.DUMMYFUNCTION("""COMPUTED_VALUE"""),"MAIO")</f>
        <v>MAIO</v>
      </c>
      <c r="G13" s="58">
        <f ca="1">IFERROR(__xludf.DUMMYFUNCTION("""COMPUTED_VALUE"""),2025)</f>
        <v>2025</v>
      </c>
      <c r="H13" s="58" t="str">
        <f ca="1">IFERROR(__xludf.DUMMYFUNCTION("""COMPUTED_VALUE"""),"FORMAÇÃO/2025.3")</f>
        <v>FORMAÇÃO/2025.3</v>
      </c>
      <c r="I13" s="58" t="str">
        <f ca="1">IFERROR(__xludf.DUMMYFUNCTION("""COMPUTED_VALUE"""),"ÚNICO")</f>
        <v>ÚNICO</v>
      </c>
      <c r="J13" s="58" t="str">
        <f ca="1">IFERROR(__xludf.DUMMYFUNCTION("""COMPUTED_VALUE"""),"004/2025")</f>
        <v>004/2025</v>
      </c>
      <c r="K13" s="58" t="str">
        <f ca="1">IFERROR(__xludf.DUMMYFUNCTION("""COMPUTED_VALUE"""),"05/05/2025")</f>
        <v>05/05/2025</v>
      </c>
      <c r="L13" s="58" t="str">
        <f ca="1">IFERROR(__xludf.DUMMYFUNCTION("""COMPUTED_VALUE"""),"16/05/2025")</f>
        <v>16/05/2025</v>
      </c>
      <c r="M13" s="58" t="str">
        <f ca="1">IFERROR(__xludf.DUMMYFUNCTION("""COMPUTED_VALUE"""),"135-866-366-582")</f>
        <v>135-866-366-582</v>
      </c>
      <c r="N13" s="58" t="str">
        <f ca="1">IFERROR(__xludf.DUMMYFUNCTION("""COMPUTED_VALUE"""),"APROVADO")</f>
        <v>APROVADO</v>
      </c>
      <c r="O13" s="58" t="str">
        <f ca="1">IFERROR(__xludf.DUMMYFUNCTION("""COMPUTED_VALUE"""),"NÃO")</f>
        <v>NÃO</v>
      </c>
      <c r="P13" s="58" t="str">
        <f ca="1">IFERROR(__xludf.DUMMYFUNCTION("""COMPUTED_VALUE"""),"NÃO")</f>
        <v>NÃO</v>
      </c>
      <c r="Q13" s="58"/>
      <c r="R13" s="58"/>
      <c r="S13" s="58"/>
      <c r="T13" s="58"/>
      <c r="U13" s="58"/>
      <c r="V13" s="58"/>
      <c r="W13" s="58"/>
      <c r="X13" s="59"/>
    </row>
    <row r="14" spans="1:24" ht="15.75" customHeight="1" x14ac:dyDescent="0.25">
      <c r="A14" s="58" t="str">
        <f ca="1">IFERROR(__xludf.DUMMYFUNCTION("""COMPUTED_VALUE"""),"094.983.364-90")</f>
        <v>094.983.364-90</v>
      </c>
      <c r="B14" s="58" t="str">
        <f ca="1">IFERROR(__xludf.DUMMYFUNCTION("""COMPUTED_VALUE"""),"PAULIENE ROBERTA DA SILVA PAIVA")</f>
        <v>PAULIENE ROBERTA DA SILVA PAIVA</v>
      </c>
      <c r="C14" s="58" t="str">
        <f ca="1">IFERROR(__xludf.DUMMYFUNCTION("""COMPUTED_VALUE"""),"paulienepaiva@gmail.com")</f>
        <v>paulienepaiva@gmail.com</v>
      </c>
      <c r="D14" s="58" t="str">
        <f ca="1">IFERROR(__xludf.DUMMYFUNCTION("""COMPUTED_VALUE"""),"PERFIL FORMAÇÃO: EQUIPE LOCAL")</f>
        <v>PERFIL FORMAÇÃO: EQUIPE LOCAL</v>
      </c>
      <c r="E14" s="58" t="str">
        <f ca="1">IFERROR(__xludf.DUMMYFUNCTION("""COMPUTED_VALUE"""),"EQUIPE LOCAL")</f>
        <v>EQUIPE LOCAL</v>
      </c>
      <c r="F14" s="58" t="str">
        <f ca="1">IFERROR(__xludf.DUMMYFUNCTION("""COMPUTED_VALUE"""),"MAIO")</f>
        <v>MAIO</v>
      </c>
      <c r="G14" s="58">
        <f ca="1">IFERROR(__xludf.DUMMYFUNCTION("""COMPUTED_VALUE"""),2025)</f>
        <v>2025</v>
      </c>
      <c r="H14" s="58" t="str">
        <f ca="1">IFERROR(__xludf.DUMMYFUNCTION("""COMPUTED_VALUE"""),"FORMAÇÃO/2025.3")</f>
        <v>FORMAÇÃO/2025.3</v>
      </c>
      <c r="I14" s="58" t="str">
        <f ca="1">IFERROR(__xludf.DUMMYFUNCTION("""COMPUTED_VALUE"""),"ÚNICO")</f>
        <v>ÚNICO</v>
      </c>
      <c r="J14" s="58" t="str">
        <f ca="1">IFERROR(__xludf.DUMMYFUNCTION("""COMPUTED_VALUE"""),"004/2025")</f>
        <v>004/2025</v>
      </c>
      <c r="K14" s="58" t="str">
        <f ca="1">IFERROR(__xludf.DUMMYFUNCTION("""COMPUTED_VALUE"""),"05/05/2025")</f>
        <v>05/05/2025</v>
      </c>
      <c r="L14" s="58" t="str">
        <f ca="1">IFERROR(__xludf.DUMMYFUNCTION("""COMPUTED_VALUE"""),"16/05/2025")</f>
        <v>16/05/2025</v>
      </c>
      <c r="M14" s="58" t="str">
        <f ca="1">IFERROR(__xludf.DUMMYFUNCTION("""COMPUTED_VALUE"""),"130-404-459-173")</f>
        <v>130-404-459-173</v>
      </c>
      <c r="N14" s="58" t="str">
        <f ca="1">IFERROR(__xludf.DUMMYFUNCTION("""COMPUTED_VALUE"""),"APROVADO")</f>
        <v>APROVADO</v>
      </c>
      <c r="O14" s="58" t="str">
        <f ca="1">IFERROR(__xludf.DUMMYFUNCTION("""COMPUTED_VALUE"""),"NÃO")</f>
        <v>NÃO</v>
      </c>
      <c r="P14" s="58" t="str">
        <f ca="1">IFERROR(__xludf.DUMMYFUNCTION("""COMPUTED_VALUE"""),"NÃO")</f>
        <v>NÃO</v>
      </c>
      <c r="Q14" s="58"/>
      <c r="R14" s="58"/>
      <c r="S14" s="58"/>
      <c r="T14" s="58"/>
      <c r="U14" s="58"/>
      <c r="V14" s="58"/>
      <c r="W14" s="58"/>
      <c r="X14" s="59"/>
    </row>
    <row r="15" spans="1:24" ht="15.75" customHeight="1" x14ac:dyDescent="0.25">
      <c r="A15" s="58" t="str">
        <f ca="1">IFERROR(__xludf.DUMMYFUNCTION("""COMPUTED_VALUE"""),"080.767.244-06")</f>
        <v>080.767.244-06</v>
      </c>
      <c r="B15" s="58" t="str">
        <f ca="1">IFERROR(__xludf.DUMMYFUNCTION("""COMPUTED_VALUE"""),"MARCILIO MARCIO SILVA CORREIA")</f>
        <v>MARCILIO MARCIO SILVA CORREIA</v>
      </c>
      <c r="C15" s="58" t="str">
        <f ca="1">IFERROR(__xludf.DUMMYFUNCTION("""COMPUTED_VALUE"""),"marciliocorreia.professor@gmail.com")</f>
        <v>marciliocorreia.professor@gmail.com</v>
      </c>
      <c r="D15" s="58" t="str">
        <f ca="1">IFERROR(__xludf.DUMMYFUNCTION("""COMPUTED_VALUE"""),"PERFIL FORMAÇÃO: PROFESSORES")</f>
        <v>PERFIL FORMAÇÃO: PROFESSORES</v>
      </c>
      <c r="E15" s="58" t="str">
        <f ca="1">IFERROR(__xludf.DUMMYFUNCTION("""COMPUTED_VALUE"""),"PROFESSORES")</f>
        <v>PROFESSORES</v>
      </c>
      <c r="F15" s="58" t="str">
        <f ca="1">IFERROR(__xludf.DUMMYFUNCTION("""COMPUTED_VALUE"""),"MAIO")</f>
        <v>MAIO</v>
      </c>
      <c r="G15" s="58">
        <f ca="1">IFERROR(__xludf.DUMMYFUNCTION("""COMPUTED_VALUE"""),2025)</f>
        <v>2025</v>
      </c>
      <c r="H15" s="58" t="str">
        <f ca="1">IFERROR(__xludf.DUMMYFUNCTION("""COMPUTED_VALUE"""),"FORMAÇÃO/2025.3")</f>
        <v>FORMAÇÃO/2025.3</v>
      </c>
      <c r="I15" s="58" t="str">
        <f ca="1">IFERROR(__xludf.DUMMYFUNCTION("""COMPUTED_VALUE"""),"ÚNICO")</f>
        <v>ÚNICO</v>
      </c>
      <c r="J15" s="58" t="str">
        <f ca="1">IFERROR(__xludf.DUMMYFUNCTION("""COMPUTED_VALUE"""),"004/2025")</f>
        <v>004/2025</v>
      </c>
      <c r="K15" s="58" t="str">
        <f ca="1">IFERROR(__xludf.DUMMYFUNCTION("""COMPUTED_VALUE"""),"05/05/2025")</f>
        <v>05/05/2025</v>
      </c>
      <c r="L15" s="58" t="str">
        <f ca="1">IFERROR(__xludf.DUMMYFUNCTION("""COMPUTED_VALUE"""),"16/05/2025")</f>
        <v>16/05/2025</v>
      </c>
      <c r="M15" s="58" t="str">
        <f ca="1">IFERROR(__xludf.DUMMYFUNCTION("""COMPUTED_VALUE"""),"773-243-563-399")</f>
        <v>773-243-563-399</v>
      </c>
      <c r="N15" s="58" t="str">
        <f ca="1">IFERROR(__xludf.DUMMYFUNCTION("""COMPUTED_VALUE"""),"PENDENTE")</f>
        <v>PENDENTE</v>
      </c>
      <c r="O15" s="58" t="str">
        <f ca="1">IFERROR(__xludf.DUMMYFUNCTION("""COMPUTED_VALUE"""),"NÃO")</f>
        <v>NÃO</v>
      </c>
      <c r="P15" s="58" t="str">
        <f ca="1">IFERROR(__xludf.DUMMYFUNCTION("""COMPUTED_VALUE"""),"NÃO")</f>
        <v>NÃO</v>
      </c>
      <c r="Q15" s="58"/>
      <c r="R15" s="58"/>
      <c r="S15" s="58"/>
      <c r="T15" s="58"/>
      <c r="U15" s="58"/>
      <c r="V15" s="58"/>
      <c r="W15" s="58"/>
      <c r="X15" s="59"/>
    </row>
    <row r="16" spans="1:24" ht="15.75" customHeight="1" x14ac:dyDescent="0.25">
      <c r="A16" s="58" t="str">
        <f ca="1">IFERROR(__xludf.DUMMYFUNCTION("""COMPUTED_VALUE"""),"930.374.304-00")</f>
        <v>930.374.304-00</v>
      </c>
      <c r="B16" s="58" t="str">
        <f ca="1">IFERROR(__xludf.DUMMYFUNCTION("""COMPUTED_VALUE"""),"LINDOMAR MONROE PONTES")</f>
        <v>LINDOMAR MONROE PONTES</v>
      </c>
      <c r="C16" s="58" t="str">
        <f ca="1">IFERROR(__xludf.DUMMYFUNCTION("""COMPUTED_VALUE"""),"lindomarmonroe@gmail.com")</f>
        <v>lindomarmonroe@gmail.com</v>
      </c>
      <c r="D16" s="58" t="str">
        <f ca="1">IFERROR(__xludf.DUMMYFUNCTION("""COMPUTED_VALUE"""),"PERFIL FORMAÇÃO: EQUIPE LOCAL")</f>
        <v>PERFIL FORMAÇÃO: EQUIPE LOCAL</v>
      </c>
      <c r="E16" s="58" t="str">
        <f ca="1">IFERROR(__xludf.DUMMYFUNCTION("""COMPUTED_VALUE"""),"EQUIPE LOCAL")</f>
        <v>EQUIPE LOCAL</v>
      </c>
      <c r="F16" s="58" t="str">
        <f ca="1">IFERROR(__xludf.DUMMYFUNCTION("""COMPUTED_VALUE"""),"MAIO")</f>
        <v>MAIO</v>
      </c>
      <c r="G16" s="58">
        <f ca="1">IFERROR(__xludf.DUMMYFUNCTION("""COMPUTED_VALUE"""),2025)</f>
        <v>2025</v>
      </c>
      <c r="H16" s="58" t="str">
        <f ca="1">IFERROR(__xludf.DUMMYFUNCTION("""COMPUTED_VALUE"""),"FORMAÇÃO/2025.3")</f>
        <v>FORMAÇÃO/2025.3</v>
      </c>
      <c r="I16" s="58" t="str">
        <f ca="1">IFERROR(__xludf.DUMMYFUNCTION("""COMPUTED_VALUE"""),"ÚNICO")</f>
        <v>ÚNICO</v>
      </c>
      <c r="J16" s="58" t="str">
        <f ca="1">IFERROR(__xludf.DUMMYFUNCTION("""COMPUTED_VALUE"""),"004/2025")</f>
        <v>004/2025</v>
      </c>
      <c r="K16" s="58" t="str">
        <f ca="1">IFERROR(__xludf.DUMMYFUNCTION("""COMPUTED_VALUE"""),"05/05/2025")</f>
        <v>05/05/2025</v>
      </c>
      <c r="L16" s="58" t="str">
        <f ca="1">IFERROR(__xludf.DUMMYFUNCTION("""COMPUTED_VALUE"""),"16/05/2025")</f>
        <v>16/05/2025</v>
      </c>
      <c r="M16" s="58" t="str">
        <f ca="1">IFERROR(__xludf.DUMMYFUNCTION("""COMPUTED_VALUE"""),"694-509-701-812")</f>
        <v>694-509-701-812</v>
      </c>
      <c r="N16" s="58" t="str">
        <f ca="1">IFERROR(__xludf.DUMMYFUNCTION("""COMPUTED_VALUE"""),"APROVADO")</f>
        <v>APROVADO</v>
      </c>
      <c r="O16" s="58" t="str">
        <f ca="1">IFERROR(__xludf.DUMMYFUNCTION("""COMPUTED_VALUE"""),"NÃO")</f>
        <v>NÃO</v>
      </c>
      <c r="P16" s="58" t="str">
        <f ca="1">IFERROR(__xludf.DUMMYFUNCTION("""COMPUTED_VALUE"""),"NÃO")</f>
        <v>NÃO</v>
      </c>
      <c r="Q16" s="58"/>
      <c r="R16" s="58"/>
      <c r="S16" s="58"/>
      <c r="T16" s="58"/>
      <c r="U16" s="58"/>
      <c r="V16" s="58"/>
      <c r="W16" s="58"/>
      <c r="X16" s="59"/>
    </row>
    <row r="17" spans="1:24" ht="15.75" customHeight="1" x14ac:dyDescent="0.25">
      <c r="A17" s="58" t="str">
        <f ca="1">IFERROR(__xludf.DUMMYFUNCTION("""COMPUTED_VALUE"""),"010.020.374-41")</f>
        <v>010.020.374-41</v>
      </c>
      <c r="B17" s="58" t="str">
        <f ca="1">IFERROR(__xludf.DUMMYFUNCTION("""COMPUTED_VALUE"""),"ROSEVAN MARCOLINO DE ANDRADE")</f>
        <v>ROSEVAN MARCOLINO DE ANDRADE</v>
      </c>
      <c r="C17" s="58" t="str">
        <f ca="1">IFERROR(__xludf.DUMMYFUNCTION("""COMPUTED_VALUE"""),"rosevanandrade@gmail.com")</f>
        <v>rosevanandrade@gmail.com</v>
      </c>
      <c r="D17" s="58" t="str">
        <f ca="1">IFERROR(__xludf.DUMMYFUNCTION("""COMPUTED_VALUE"""),"PERFIL FORMAÇÃO: EQUIPE LOCAL")</f>
        <v>PERFIL FORMAÇÃO: EQUIPE LOCAL</v>
      </c>
      <c r="E17" s="58" t="str">
        <f ca="1">IFERROR(__xludf.DUMMYFUNCTION("""COMPUTED_VALUE"""),"EQUIPE LOCAL")</f>
        <v>EQUIPE LOCAL</v>
      </c>
      <c r="F17" s="58" t="str">
        <f ca="1">IFERROR(__xludf.DUMMYFUNCTION("""COMPUTED_VALUE"""),"MAIO")</f>
        <v>MAIO</v>
      </c>
      <c r="G17" s="58">
        <f ca="1">IFERROR(__xludf.DUMMYFUNCTION("""COMPUTED_VALUE"""),2025)</f>
        <v>2025</v>
      </c>
      <c r="H17" s="58" t="str">
        <f ca="1">IFERROR(__xludf.DUMMYFUNCTION("""COMPUTED_VALUE"""),"FORMAÇÃO/2025.3")</f>
        <v>FORMAÇÃO/2025.3</v>
      </c>
      <c r="I17" s="58" t="str">
        <f ca="1">IFERROR(__xludf.DUMMYFUNCTION("""COMPUTED_VALUE"""),"ÚNICO")</f>
        <v>ÚNICO</v>
      </c>
      <c r="J17" s="58" t="str">
        <f ca="1">IFERROR(__xludf.DUMMYFUNCTION("""COMPUTED_VALUE"""),"004/2025")</f>
        <v>004/2025</v>
      </c>
      <c r="K17" s="58" t="str">
        <f ca="1">IFERROR(__xludf.DUMMYFUNCTION("""COMPUTED_VALUE"""),"05/05/2025")</f>
        <v>05/05/2025</v>
      </c>
      <c r="L17" s="58" t="str">
        <f ca="1">IFERROR(__xludf.DUMMYFUNCTION("""COMPUTED_VALUE"""),"16/05/2025")</f>
        <v>16/05/2025</v>
      </c>
      <c r="M17" s="58" t="str">
        <f ca="1">IFERROR(__xludf.DUMMYFUNCTION("""COMPUTED_VALUE"""),"387-671-943-112")</f>
        <v>387-671-943-112</v>
      </c>
      <c r="N17" s="58" t="str">
        <f ca="1">IFERROR(__xludf.DUMMYFUNCTION("""COMPUTED_VALUE"""),"APROVADO")</f>
        <v>APROVADO</v>
      </c>
      <c r="O17" s="58" t="str">
        <f ca="1">IFERROR(__xludf.DUMMYFUNCTION("""COMPUTED_VALUE"""),"NÃO")</f>
        <v>NÃO</v>
      </c>
      <c r="P17" s="58" t="str">
        <f ca="1">IFERROR(__xludf.DUMMYFUNCTION("""COMPUTED_VALUE"""),"NÃO")</f>
        <v>NÃO</v>
      </c>
      <c r="Q17" s="58"/>
      <c r="R17" s="58"/>
      <c r="S17" s="58"/>
      <c r="T17" s="58"/>
      <c r="U17" s="58"/>
      <c r="V17" s="58"/>
      <c r="W17" s="58"/>
      <c r="X17" s="59"/>
    </row>
    <row r="18" spans="1:24" ht="15.75" customHeight="1" x14ac:dyDescent="0.25">
      <c r="A18" s="58" t="str">
        <f ca="1">IFERROR(__xludf.DUMMYFUNCTION("""COMPUTED_VALUE"""),"965.671.124-68")</f>
        <v>965.671.124-68</v>
      </c>
      <c r="B18" s="58" t="str">
        <f ca="1">IFERROR(__xludf.DUMMYFUNCTION("""COMPUTED_VALUE"""),"DELIAN DE ABREU MOREIRA")</f>
        <v>DELIAN DE ABREU MOREIRA</v>
      </c>
      <c r="C18" s="58" t="str">
        <f ca="1">IFERROR(__xludf.DUMMYFUNCTION("""COMPUTED_VALUE"""),"delianabreu@gmail.com")</f>
        <v>delianabreu@gmail.com</v>
      </c>
      <c r="D18" s="58" t="str">
        <f ca="1">IFERROR(__xludf.DUMMYFUNCTION("""COMPUTED_VALUE"""),"PERFIL FORMAÇÃO: EQUIPE LOCAL")</f>
        <v>PERFIL FORMAÇÃO: EQUIPE LOCAL</v>
      </c>
      <c r="E18" s="58" t="str">
        <f ca="1">IFERROR(__xludf.DUMMYFUNCTION("""COMPUTED_VALUE"""),"EQUIPE LOCAL")</f>
        <v>EQUIPE LOCAL</v>
      </c>
      <c r="F18" s="58" t="str">
        <f ca="1">IFERROR(__xludf.DUMMYFUNCTION("""COMPUTED_VALUE"""),"MAIO")</f>
        <v>MAIO</v>
      </c>
      <c r="G18" s="58">
        <f ca="1">IFERROR(__xludf.DUMMYFUNCTION("""COMPUTED_VALUE"""),2025)</f>
        <v>2025</v>
      </c>
      <c r="H18" s="58" t="str">
        <f ca="1">IFERROR(__xludf.DUMMYFUNCTION("""COMPUTED_VALUE"""),"FORMAÇÃO/2025.3")</f>
        <v>FORMAÇÃO/2025.3</v>
      </c>
      <c r="I18" s="58" t="str">
        <f ca="1">IFERROR(__xludf.DUMMYFUNCTION("""COMPUTED_VALUE"""),"ÚNICO")</f>
        <v>ÚNICO</v>
      </c>
      <c r="J18" s="58" t="str">
        <f ca="1">IFERROR(__xludf.DUMMYFUNCTION("""COMPUTED_VALUE"""),"004/2025")</f>
        <v>004/2025</v>
      </c>
      <c r="K18" s="58" t="str">
        <f ca="1">IFERROR(__xludf.DUMMYFUNCTION("""COMPUTED_VALUE"""),"05/05/2025")</f>
        <v>05/05/2025</v>
      </c>
      <c r="L18" s="58" t="str">
        <f ca="1">IFERROR(__xludf.DUMMYFUNCTION("""COMPUTED_VALUE"""),"16/05/2025")</f>
        <v>16/05/2025</v>
      </c>
      <c r="M18" s="58" t="str">
        <f ca="1">IFERROR(__xludf.DUMMYFUNCTION("""COMPUTED_VALUE"""),"323-586-643-025")</f>
        <v>323-586-643-025</v>
      </c>
      <c r="N18" s="58" t="str">
        <f ca="1">IFERROR(__xludf.DUMMYFUNCTION("""COMPUTED_VALUE"""),"PENDENTE")</f>
        <v>PENDENTE</v>
      </c>
      <c r="O18" s="58" t="str">
        <f ca="1">IFERROR(__xludf.DUMMYFUNCTION("""COMPUTED_VALUE"""),"NÃO")</f>
        <v>NÃO</v>
      </c>
      <c r="P18" s="58" t="str">
        <f ca="1">IFERROR(__xludf.DUMMYFUNCTION("""COMPUTED_VALUE"""),"NÃO")</f>
        <v>NÃO</v>
      </c>
      <c r="Q18" s="58"/>
      <c r="R18" s="58"/>
      <c r="S18" s="58"/>
      <c r="T18" s="58"/>
      <c r="U18" s="58"/>
      <c r="V18" s="58"/>
      <c r="W18" s="58"/>
      <c r="X18" s="59"/>
    </row>
    <row r="19" spans="1:24" ht="15.75" customHeight="1" x14ac:dyDescent="0.25">
      <c r="A19" s="58" t="str">
        <f ca="1">IFERROR(__xludf.DUMMYFUNCTION("""COMPUTED_VALUE"""),"634.584.464-00")</f>
        <v>634.584.464-00</v>
      </c>
      <c r="B19" s="58" t="str">
        <f ca="1">IFERROR(__xludf.DUMMYFUNCTION("""COMPUTED_VALUE"""),"FRANCISCA SUELY DA SILVA")</f>
        <v>FRANCISCA SUELY DA SILVA</v>
      </c>
      <c r="C19" s="58" t="str">
        <f ca="1">IFERROR(__xludf.DUMMYFUNCTION("""COMPUTED_VALUE"""),"fsuelysilva73@gmail.com")</f>
        <v>fsuelysilva73@gmail.com</v>
      </c>
      <c r="D19" s="58" t="str">
        <f ca="1">IFERROR(__xludf.DUMMYFUNCTION("""COMPUTED_VALUE"""),"PERFIL FORMAÇÃO: EQUIPE LOCAL")</f>
        <v>PERFIL FORMAÇÃO: EQUIPE LOCAL</v>
      </c>
      <c r="E19" s="58" t="str">
        <f ca="1">IFERROR(__xludf.DUMMYFUNCTION("""COMPUTED_VALUE"""),"EQUIPE LOCAL")</f>
        <v>EQUIPE LOCAL</v>
      </c>
      <c r="F19" s="58" t="str">
        <f ca="1">IFERROR(__xludf.DUMMYFUNCTION("""COMPUTED_VALUE"""),"MAIO")</f>
        <v>MAIO</v>
      </c>
      <c r="G19" s="58">
        <f ca="1">IFERROR(__xludf.DUMMYFUNCTION("""COMPUTED_VALUE"""),2025)</f>
        <v>2025</v>
      </c>
      <c r="H19" s="58" t="str">
        <f ca="1">IFERROR(__xludf.DUMMYFUNCTION("""COMPUTED_VALUE"""),"FORMAÇÃO/2025.3")</f>
        <v>FORMAÇÃO/2025.3</v>
      </c>
      <c r="I19" s="58" t="str">
        <f ca="1">IFERROR(__xludf.DUMMYFUNCTION("""COMPUTED_VALUE"""),"ÚNICO")</f>
        <v>ÚNICO</v>
      </c>
      <c r="J19" s="58" t="str">
        <f ca="1">IFERROR(__xludf.DUMMYFUNCTION("""COMPUTED_VALUE"""),"004/2025")</f>
        <v>004/2025</v>
      </c>
      <c r="K19" s="58" t="str">
        <f ca="1">IFERROR(__xludf.DUMMYFUNCTION("""COMPUTED_VALUE"""),"05/05/2025")</f>
        <v>05/05/2025</v>
      </c>
      <c r="L19" s="58" t="str">
        <f ca="1">IFERROR(__xludf.DUMMYFUNCTION("""COMPUTED_VALUE"""),"16/05/2025")</f>
        <v>16/05/2025</v>
      </c>
      <c r="M19" s="58" t="str">
        <f ca="1">IFERROR(__xludf.DUMMYFUNCTION("""COMPUTED_VALUE"""),"260-708-367-784")</f>
        <v>260-708-367-784</v>
      </c>
      <c r="N19" s="58" t="str">
        <f ca="1">IFERROR(__xludf.DUMMYFUNCTION("""COMPUTED_VALUE"""),"APROVADO")</f>
        <v>APROVADO</v>
      </c>
      <c r="O19" s="58" t="str">
        <f ca="1">IFERROR(__xludf.DUMMYFUNCTION("""COMPUTED_VALUE"""),"NÃO")</f>
        <v>NÃO</v>
      </c>
      <c r="P19" s="58" t="str">
        <f ca="1">IFERROR(__xludf.DUMMYFUNCTION("""COMPUTED_VALUE"""),"NÃO")</f>
        <v>NÃO</v>
      </c>
      <c r="Q19" s="58"/>
      <c r="R19" s="58"/>
      <c r="S19" s="58"/>
      <c r="T19" s="58"/>
      <c r="U19" s="58"/>
      <c r="V19" s="58"/>
      <c r="W19" s="58"/>
      <c r="X19" s="59"/>
    </row>
    <row r="20" spans="1:24" ht="15.75" customHeight="1" x14ac:dyDescent="0.25">
      <c r="A20" s="58" t="str">
        <f ca="1">IFERROR(__xludf.DUMMYFUNCTION("""COMPUTED_VALUE"""),"108.566.874-64")</f>
        <v>108.566.874-64</v>
      </c>
      <c r="B20" s="58" t="str">
        <f ca="1">IFERROR(__xludf.DUMMYFUNCTION("""COMPUTED_VALUE"""),"CECILIA ARAUJO DE LIMA")</f>
        <v>CECILIA ARAUJO DE LIMA</v>
      </c>
      <c r="C20" s="58" t="str">
        <f ca="1">IFERROR(__xludf.DUMMYFUNCTION("""COMPUTED_VALUE"""),"cecyara777@gmail.com")</f>
        <v>cecyara777@gmail.com</v>
      </c>
      <c r="D20" s="58" t="str">
        <f ca="1">IFERROR(__xludf.DUMMYFUNCTION("""COMPUTED_VALUE"""),"PERFIL FORMAÇÃO: EQUIPE LOCAL")</f>
        <v>PERFIL FORMAÇÃO: EQUIPE LOCAL</v>
      </c>
      <c r="E20" s="58" t="str">
        <f ca="1">IFERROR(__xludf.DUMMYFUNCTION("""COMPUTED_VALUE"""),"EQUIPE LOCAL")</f>
        <v>EQUIPE LOCAL</v>
      </c>
      <c r="F20" s="58" t="str">
        <f ca="1">IFERROR(__xludf.DUMMYFUNCTION("""COMPUTED_VALUE"""),"MAIO")</f>
        <v>MAIO</v>
      </c>
      <c r="G20" s="58">
        <f ca="1">IFERROR(__xludf.DUMMYFUNCTION("""COMPUTED_VALUE"""),2025)</f>
        <v>2025</v>
      </c>
      <c r="H20" s="58" t="str">
        <f ca="1">IFERROR(__xludf.DUMMYFUNCTION("""COMPUTED_VALUE"""),"FORMAÇÃO/2025.3")</f>
        <v>FORMAÇÃO/2025.3</v>
      </c>
      <c r="I20" s="58" t="str">
        <f ca="1">IFERROR(__xludf.DUMMYFUNCTION("""COMPUTED_VALUE"""),"ÚNICO")</f>
        <v>ÚNICO</v>
      </c>
      <c r="J20" s="58" t="str">
        <f ca="1">IFERROR(__xludf.DUMMYFUNCTION("""COMPUTED_VALUE"""),"004/2025")</f>
        <v>004/2025</v>
      </c>
      <c r="K20" s="58" t="str">
        <f ca="1">IFERROR(__xludf.DUMMYFUNCTION("""COMPUTED_VALUE"""),"05/05/2025")</f>
        <v>05/05/2025</v>
      </c>
      <c r="L20" s="58" t="str">
        <f ca="1">IFERROR(__xludf.DUMMYFUNCTION("""COMPUTED_VALUE"""),"16/05/2025")</f>
        <v>16/05/2025</v>
      </c>
      <c r="M20" s="58" t="str">
        <f ca="1">IFERROR(__xludf.DUMMYFUNCTION("""COMPUTED_VALUE"""),"820-235-157-731")</f>
        <v>820-235-157-731</v>
      </c>
      <c r="N20" s="58" t="str">
        <f ca="1">IFERROR(__xludf.DUMMYFUNCTION("""COMPUTED_VALUE"""),"APROVADO")</f>
        <v>APROVADO</v>
      </c>
      <c r="O20" s="58" t="str">
        <f ca="1">IFERROR(__xludf.DUMMYFUNCTION("""COMPUTED_VALUE"""),"NÃO")</f>
        <v>NÃO</v>
      </c>
      <c r="P20" s="58" t="str">
        <f ca="1">IFERROR(__xludf.DUMMYFUNCTION("""COMPUTED_VALUE"""),"NÃO")</f>
        <v>NÃO</v>
      </c>
      <c r="Q20" s="58"/>
      <c r="R20" s="58"/>
      <c r="S20" s="58"/>
      <c r="T20" s="58"/>
      <c r="U20" s="58"/>
      <c r="V20" s="58"/>
      <c r="W20" s="58"/>
      <c r="X20" s="59"/>
    </row>
    <row r="21" spans="1:24" ht="15.75" customHeight="1" x14ac:dyDescent="0.25">
      <c r="A21" s="58" t="str">
        <f ca="1">IFERROR(__xludf.DUMMYFUNCTION("""COMPUTED_VALUE"""),"031.809.314-69")</f>
        <v>031.809.314-69</v>
      </c>
      <c r="B21" s="58" t="str">
        <f ca="1">IFERROR(__xludf.DUMMYFUNCTION("""COMPUTED_VALUE"""),"MARIA VALÉRIA DOS SANTOS")</f>
        <v>MARIA VALÉRIA DOS SANTOS</v>
      </c>
      <c r="C21" s="58" t="str">
        <f ca="1">IFERROR(__xludf.DUMMYFUNCTION("""COMPUTED_VALUE"""),"mavaleria1977@gmail.com")</f>
        <v>mavaleria1977@gmail.com</v>
      </c>
      <c r="D21" s="58" t="str">
        <f ca="1">IFERROR(__xludf.DUMMYFUNCTION("""COMPUTED_VALUE"""),"PERFIL FORMAÇÃO: EQUIPE LOCAL")</f>
        <v>PERFIL FORMAÇÃO: EQUIPE LOCAL</v>
      </c>
      <c r="E21" s="58" t="str">
        <f ca="1">IFERROR(__xludf.DUMMYFUNCTION("""COMPUTED_VALUE"""),"EQUIPE LOCAL")</f>
        <v>EQUIPE LOCAL</v>
      </c>
      <c r="F21" s="58" t="str">
        <f ca="1">IFERROR(__xludf.DUMMYFUNCTION("""COMPUTED_VALUE"""),"MAIO")</f>
        <v>MAIO</v>
      </c>
      <c r="G21" s="58">
        <f ca="1">IFERROR(__xludf.DUMMYFUNCTION("""COMPUTED_VALUE"""),2025)</f>
        <v>2025</v>
      </c>
      <c r="H21" s="58" t="str">
        <f ca="1">IFERROR(__xludf.DUMMYFUNCTION("""COMPUTED_VALUE"""),"FORMAÇÃO/2025.3")</f>
        <v>FORMAÇÃO/2025.3</v>
      </c>
      <c r="I21" s="58" t="str">
        <f ca="1">IFERROR(__xludf.DUMMYFUNCTION("""COMPUTED_VALUE"""),"ÚNICO")</f>
        <v>ÚNICO</v>
      </c>
      <c r="J21" s="58" t="str">
        <f ca="1">IFERROR(__xludf.DUMMYFUNCTION("""COMPUTED_VALUE"""),"004/2025")</f>
        <v>004/2025</v>
      </c>
      <c r="K21" s="58" t="str">
        <f ca="1">IFERROR(__xludf.DUMMYFUNCTION("""COMPUTED_VALUE"""),"05/05/2025")</f>
        <v>05/05/2025</v>
      </c>
      <c r="L21" s="58" t="str">
        <f ca="1">IFERROR(__xludf.DUMMYFUNCTION("""COMPUTED_VALUE"""),"16/05/2025")</f>
        <v>16/05/2025</v>
      </c>
      <c r="M21" s="58" t="str">
        <f ca="1">IFERROR(__xludf.DUMMYFUNCTION("""COMPUTED_VALUE"""),"261-153-664-952")</f>
        <v>261-153-664-952</v>
      </c>
      <c r="N21" s="58" t="str">
        <f ca="1">IFERROR(__xludf.DUMMYFUNCTION("""COMPUTED_VALUE"""),"APROVADO")</f>
        <v>APROVADO</v>
      </c>
      <c r="O21" s="58" t="str">
        <f ca="1">IFERROR(__xludf.DUMMYFUNCTION("""COMPUTED_VALUE"""),"NÃO")</f>
        <v>NÃO</v>
      </c>
      <c r="P21" s="58" t="str">
        <f ca="1">IFERROR(__xludf.DUMMYFUNCTION("""COMPUTED_VALUE"""),"NÃO")</f>
        <v>NÃO</v>
      </c>
      <c r="Q21" s="58"/>
      <c r="R21" s="58"/>
      <c r="S21" s="58"/>
      <c r="T21" s="58"/>
      <c r="U21" s="58"/>
      <c r="V21" s="58"/>
      <c r="W21" s="58"/>
      <c r="X21" s="59"/>
    </row>
    <row r="22" spans="1:24" ht="15.75" customHeight="1" x14ac:dyDescent="0.25">
      <c r="A22" s="58" t="str">
        <f ca="1">IFERROR(__xludf.DUMMYFUNCTION("""COMPUTED_VALUE"""),"073.240.544-04")</f>
        <v>073.240.544-04</v>
      </c>
      <c r="B22" s="58" t="str">
        <f ca="1">IFERROR(__xludf.DUMMYFUNCTION("""COMPUTED_VALUE"""),"MICAELLA FORMIGA DANTAS SOBREIRA")</f>
        <v>MICAELLA FORMIGA DANTAS SOBREIRA</v>
      </c>
      <c r="C22" s="58" t="str">
        <f ca="1">IFERROR(__xludf.DUMMYFUNCTION("""COMPUTED_VALUE"""),"caellaformiga@gmail.com")</f>
        <v>caellaformiga@gmail.com</v>
      </c>
      <c r="D22" s="58" t="str">
        <f ca="1">IFERROR(__xludf.DUMMYFUNCTION("""COMPUTED_VALUE"""),"PERFIL FORMAÇÃO: EQUIPE LOCAL")</f>
        <v>PERFIL FORMAÇÃO: EQUIPE LOCAL</v>
      </c>
      <c r="E22" s="58" t="str">
        <f ca="1">IFERROR(__xludf.DUMMYFUNCTION("""COMPUTED_VALUE"""),"EQUIPE LOCAL")</f>
        <v>EQUIPE LOCAL</v>
      </c>
      <c r="F22" s="58" t="str">
        <f ca="1">IFERROR(__xludf.DUMMYFUNCTION("""COMPUTED_VALUE"""),"MAIO")</f>
        <v>MAIO</v>
      </c>
      <c r="G22" s="58">
        <f ca="1">IFERROR(__xludf.DUMMYFUNCTION("""COMPUTED_VALUE"""),2025)</f>
        <v>2025</v>
      </c>
      <c r="H22" s="58" t="str">
        <f ca="1">IFERROR(__xludf.DUMMYFUNCTION("""COMPUTED_VALUE"""),"FORMAÇÃO/2025.3")</f>
        <v>FORMAÇÃO/2025.3</v>
      </c>
      <c r="I22" s="58" t="str">
        <f ca="1">IFERROR(__xludf.DUMMYFUNCTION("""COMPUTED_VALUE"""),"ÚNICO")</f>
        <v>ÚNICO</v>
      </c>
      <c r="J22" s="58" t="str">
        <f ca="1">IFERROR(__xludf.DUMMYFUNCTION("""COMPUTED_VALUE"""),"004/2025")</f>
        <v>004/2025</v>
      </c>
      <c r="K22" s="58" t="str">
        <f ca="1">IFERROR(__xludf.DUMMYFUNCTION("""COMPUTED_VALUE"""),"05/05/2025")</f>
        <v>05/05/2025</v>
      </c>
      <c r="L22" s="58" t="str">
        <f ca="1">IFERROR(__xludf.DUMMYFUNCTION("""COMPUTED_VALUE"""),"16/05/2025")</f>
        <v>16/05/2025</v>
      </c>
      <c r="M22" s="58" t="str">
        <f ca="1">IFERROR(__xludf.DUMMYFUNCTION("""COMPUTED_VALUE"""),"300-317-369-147")</f>
        <v>300-317-369-147</v>
      </c>
      <c r="N22" s="58" t="str">
        <f ca="1">IFERROR(__xludf.DUMMYFUNCTION("""COMPUTED_VALUE"""),"APROVADO")</f>
        <v>APROVADO</v>
      </c>
      <c r="O22" s="58" t="str">
        <f ca="1">IFERROR(__xludf.DUMMYFUNCTION("""COMPUTED_VALUE"""),"NÃO")</f>
        <v>NÃO</v>
      </c>
      <c r="P22" s="58" t="str">
        <f ca="1">IFERROR(__xludf.DUMMYFUNCTION("""COMPUTED_VALUE"""),"NÃO")</f>
        <v>NÃO</v>
      </c>
      <c r="Q22" s="58"/>
      <c r="R22" s="58"/>
      <c r="S22" s="58"/>
      <c r="T22" s="58"/>
      <c r="U22" s="58"/>
      <c r="V22" s="58"/>
      <c r="W22" s="58"/>
      <c r="X22" s="59"/>
    </row>
    <row r="23" spans="1:24" ht="15.75" customHeight="1" x14ac:dyDescent="0.25">
      <c r="A23" s="58" t="str">
        <f ca="1">IFERROR(__xludf.DUMMYFUNCTION("""COMPUTED_VALUE"""),"095.332.984-48")</f>
        <v>095.332.984-48</v>
      </c>
      <c r="B23" s="58" t="str">
        <f ca="1">IFERROR(__xludf.DUMMYFUNCTION("""COMPUTED_VALUE"""),"ANDRESSA RAQUEL SOUZA DE FREITAS")</f>
        <v>ANDRESSA RAQUEL SOUZA DE FREITAS</v>
      </c>
      <c r="C23" s="58" t="str">
        <f ca="1">IFERROR(__xludf.DUMMYFUNCTION("""COMPUTED_VALUE"""),"andressah.raquel@gmail.com")</f>
        <v>andressah.raquel@gmail.com</v>
      </c>
      <c r="D23" s="58" t="str">
        <f ca="1">IFERROR(__xludf.DUMMYFUNCTION("""COMPUTED_VALUE"""),"PERFIL FORMAÇÃO: EQUIPE LOCAL")</f>
        <v>PERFIL FORMAÇÃO: EQUIPE LOCAL</v>
      </c>
      <c r="E23" s="58" t="str">
        <f ca="1">IFERROR(__xludf.DUMMYFUNCTION("""COMPUTED_VALUE"""),"EQUIPE LOCAL")</f>
        <v>EQUIPE LOCAL</v>
      </c>
      <c r="F23" s="58" t="str">
        <f ca="1">IFERROR(__xludf.DUMMYFUNCTION("""COMPUTED_VALUE"""),"MAIO")</f>
        <v>MAIO</v>
      </c>
      <c r="G23" s="58">
        <f ca="1">IFERROR(__xludf.DUMMYFUNCTION("""COMPUTED_VALUE"""),2025)</f>
        <v>2025</v>
      </c>
      <c r="H23" s="58" t="str">
        <f ca="1">IFERROR(__xludf.DUMMYFUNCTION("""COMPUTED_VALUE"""),"FORMAÇÃO/2025.3")</f>
        <v>FORMAÇÃO/2025.3</v>
      </c>
      <c r="I23" s="58" t="str">
        <f ca="1">IFERROR(__xludf.DUMMYFUNCTION("""COMPUTED_VALUE"""),"ÚNICO")</f>
        <v>ÚNICO</v>
      </c>
      <c r="J23" s="58" t="str">
        <f ca="1">IFERROR(__xludf.DUMMYFUNCTION("""COMPUTED_VALUE"""),"004/2025")</f>
        <v>004/2025</v>
      </c>
      <c r="K23" s="58" t="str">
        <f ca="1">IFERROR(__xludf.DUMMYFUNCTION("""COMPUTED_VALUE"""),"05/05/2025")</f>
        <v>05/05/2025</v>
      </c>
      <c r="L23" s="58" t="str">
        <f ca="1">IFERROR(__xludf.DUMMYFUNCTION("""COMPUTED_VALUE"""),"16/05/2025")</f>
        <v>16/05/2025</v>
      </c>
      <c r="M23" s="58" t="str">
        <f ca="1">IFERROR(__xludf.DUMMYFUNCTION("""COMPUTED_VALUE"""),"414-634-003-962")</f>
        <v>414-634-003-962</v>
      </c>
      <c r="N23" s="58" t="str">
        <f ca="1">IFERROR(__xludf.DUMMYFUNCTION("""COMPUTED_VALUE"""),"APROVADO")</f>
        <v>APROVADO</v>
      </c>
      <c r="O23" s="58" t="str">
        <f ca="1">IFERROR(__xludf.DUMMYFUNCTION("""COMPUTED_VALUE"""),"NÃO")</f>
        <v>NÃO</v>
      </c>
      <c r="P23" s="58" t="str">
        <f ca="1">IFERROR(__xludf.DUMMYFUNCTION("""COMPUTED_VALUE"""),"NÃO")</f>
        <v>NÃO</v>
      </c>
      <c r="Q23" s="58"/>
      <c r="R23" s="58"/>
      <c r="S23" s="58"/>
      <c r="T23" s="58"/>
      <c r="U23" s="58"/>
      <c r="V23" s="58"/>
      <c r="W23" s="58"/>
      <c r="X23" s="59"/>
    </row>
    <row r="24" spans="1:24" ht="15.75" customHeight="1" x14ac:dyDescent="0.25">
      <c r="A24" s="58" t="str">
        <f ca="1">IFERROR(__xludf.DUMMYFUNCTION("""COMPUTED_VALUE"""),"570.326.294-15")</f>
        <v>570.326.294-15</v>
      </c>
      <c r="B24" s="58" t="str">
        <f ca="1">IFERROR(__xludf.DUMMYFUNCTION("""COMPUTED_VALUE"""),"CARLOS HENRIQUE CUNHA PEIXOTO")</f>
        <v>CARLOS HENRIQUE CUNHA PEIXOTO</v>
      </c>
      <c r="C24" s="58" t="str">
        <f ca="1">IFERROR(__xludf.DUMMYFUNCTION("""COMPUTED_VALUE"""),"kaikpeixoto@gmail.com")</f>
        <v>kaikpeixoto@gmail.com</v>
      </c>
      <c r="D24" s="58" t="str">
        <f ca="1">IFERROR(__xludf.DUMMYFUNCTION("""COMPUTED_VALUE"""),"PERFIL FORMAÇÃO: PROFESSORES")</f>
        <v>PERFIL FORMAÇÃO: PROFESSORES</v>
      </c>
      <c r="E24" s="58" t="str">
        <f ca="1">IFERROR(__xludf.DUMMYFUNCTION("""COMPUTED_VALUE"""),"PROFESSORES")</f>
        <v>PROFESSORES</v>
      </c>
      <c r="F24" s="58" t="str">
        <f ca="1">IFERROR(__xludf.DUMMYFUNCTION("""COMPUTED_VALUE"""),"MAIO")</f>
        <v>MAIO</v>
      </c>
      <c r="G24" s="58">
        <f ca="1">IFERROR(__xludf.DUMMYFUNCTION("""COMPUTED_VALUE"""),2025)</f>
        <v>2025</v>
      </c>
      <c r="H24" s="58" t="str">
        <f ca="1">IFERROR(__xludf.DUMMYFUNCTION("""COMPUTED_VALUE"""),"FORMAÇÃO/2025.3")</f>
        <v>FORMAÇÃO/2025.3</v>
      </c>
      <c r="I24" s="58" t="str">
        <f ca="1">IFERROR(__xludf.DUMMYFUNCTION("""COMPUTED_VALUE"""),"ÚNICO")</f>
        <v>ÚNICO</v>
      </c>
      <c r="J24" s="58" t="str">
        <f ca="1">IFERROR(__xludf.DUMMYFUNCTION("""COMPUTED_VALUE"""),"004/2025")</f>
        <v>004/2025</v>
      </c>
      <c r="K24" s="58" t="str">
        <f ca="1">IFERROR(__xludf.DUMMYFUNCTION("""COMPUTED_VALUE"""),"05/05/2025")</f>
        <v>05/05/2025</v>
      </c>
      <c r="L24" s="58" t="str">
        <f ca="1">IFERROR(__xludf.DUMMYFUNCTION("""COMPUTED_VALUE"""),"16/05/2025")</f>
        <v>16/05/2025</v>
      </c>
      <c r="M24" s="58" t="str">
        <f ca="1">IFERROR(__xludf.DUMMYFUNCTION("""COMPUTED_VALUE"""),"803-535-736-061")</f>
        <v>803-535-736-061</v>
      </c>
      <c r="N24" s="58" t="str">
        <f ca="1">IFERROR(__xludf.DUMMYFUNCTION("""COMPUTED_VALUE"""),"APROVADO")</f>
        <v>APROVADO</v>
      </c>
      <c r="O24" s="58" t="str">
        <f ca="1">IFERROR(__xludf.DUMMYFUNCTION("""COMPUTED_VALUE"""),"NÃO")</f>
        <v>NÃO</v>
      </c>
      <c r="P24" s="58" t="str">
        <f ca="1">IFERROR(__xludf.DUMMYFUNCTION("""COMPUTED_VALUE"""),"NÃO")</f>
        <v>NÃO</v>
      </c>
      <c r="Q24" s="58"/>
      <c r="R24" s="58"/>
      <c r="S24" s="58"/>
      <c r="T24" s="58"/>
      <c r="U24" s="58"/>
      <c r="V24" s="58"/>
      <c r="W24" s="58"/>
      <c r="X24" s="59"/>
    </row>
    <row r="25" spans="1:24" ht="15.75" customHeight="1" x14ac:dyDescent="0.25">
      <c r="A25" s="58" t="str">
        <f ca="1">IFERROR(__xludf.DUMMYFUNCTION("""COMPUTED_VALUE"""),"054.820.574-45")</f>
        <v>054.820.574-45</v>
      </c>
      <c r="B25" s="58" t="str">
        <f ca="1">IFERROR(__xludf.DUMMYFUNCTION("""COMPUTED_VALUE"""),"MÁRCIA KELLY GABRIEL DE OLIVEIRA")</f>
        <v>MÁRCIA KELLY GABRIEL DE OLIVEIRA</v>
      </c>
      <c r="C25" s="58" t="str">
        <f ca="1">IFERROR(__xludf.DUMMYFUNCTION("""COMPUTED_VALUE"""),"marciakellymayara@gmail.com")</f>
        <v>marciakellymayara@gmail.com</v>
      </c>
      <c r="D25" s="58" t="str">
        <f ca="1">IFERROR(__xludf.DUMMYFUNCTION("""COMPUTED_VALUE"""),"PERFIL FORMAÇÃO: EQUIPE LOCAL")</f>
        <v>PERFIL FORMAÇÃO: EQUIPE LOCAL</v>
      </c>
      <c r="E25" s="58" t="str">
        <f ca="1">IFERROR(__xludf.DUMMYFUNCTION("""COMPUTED_VALUE"""),"EQUIPE LOCAL")</f>
        <v>EQUIPE LOCAL</v>
      </c>
      <c r="F25" s="58" t="str">
        <f ca="1">IFERROR(__xludf.DUMMYFUNCTION("""COMPUTED_VALUE"""),"MAIO")</f>
        <v>MAIO</v>
      </c>
      <c r="G25" s="58">
        <f ca="1">IFERROR(__xludf.DUMMYFUNCTION("""COMPUTED_VALUE"""),2025)</f>
        <v>2025</v>
      </c>
      <c r="H25" s="58" t="str">
        <f ca="1">IFERROR(__xludf.DUMMYFUNCTION("""COMPUTED_VALUE"""),"FORMAÇÃO/2025.3")</f>
        <v>FORMAÇÃO/2025.3</v>
      </c>
      <c r="I25" s="58" t="str">
        <f ca="1">IFERROR(__xludf.DUMMYFUNCTION("""COMPUTED_VALUE"""),"ÚNICO")</f>
        <v>ÚNICO</v>
      </c>
      <c r="J25" s="58" t="str">
        <f ca="1">IFERROR(__xludf.DUMMYFUNCTION("""COMPUTED_VALUE"""),"004/2025")</f>
        <v>004/2025</v>
      </c>
      <c r="K25" s="58" t="str">
        <f ca="1">IFERROR(__xludf.DUMMYFUNCTION("""COMPUTED_VALUE"""),"05/05/2025")</f>
        <v>05/05/2025</v>
      </c>
      <c r="L25" s="58" t="str">
        <f ca="1">IFERROR(__xludf.DUMMYFUNCTION("""COMPUTED_VALUE"""),"16/05/2025")</f>
        <v>16/05/2025</v>
      </c>
      <c r="M25" s="58" t="str">
        <f ca="1">IFERROR(__xludf.DUMMYFUNCTION("""COMPUTED_VALUE"""),"358-578-236-358")</f>
        <v>358-578-236-358</v>
      </c>
      <c r="N25" s="58" t="str">
        <f ca="1">IFERROR(__xludf.DUMMYFUNCTION("""COMPUTED_VALUE"""),"APROVADO")</f>
        <v>APROVADO</v>
      </c>
      <c r="O25" s="58" t="str">
        <f ca="1">IFERROR(__xludf.DUMMYFUNCTION("""COMPUTED_VALUE"""),"NÃO")</f>
        <v>NÃO</v>
      </c>
      <c r="P25" s="58" t="str">
        <f ca="1">IFERROR(__xludf.DUMMYFUNCTION("""COMPUTED_VALUE"""),"NÃO")</f>
        <v>NÃO</v>
      </c>
      <c r="Q25" s="58"/>
      <c r="R25" s="58"/>
      <c r="S25" s="58"/>
      <c r="T25" s="58"/>
      <c r="U25" s="58"/>
      <c r="V25" s="58"/>
      <c r="W25" s="58"/>
      <c r="X25" s="59"/>
    </row>
    <row r="26" spans="1:24" ht="15.75" customHeight="1" x14ac:dyDescent="0.25">
      <c r="A26" s="58" t="str">
        <f ca="1">IFERROR(__xludf.DUMMYFUNCTION("""COMPUTED_VALUE"""),"113.390.074-79")</f>
        <v>113.390.074-79</v>
      </c>
      <c r="B26" s="58" t="str">
        <f ca="1">IFERROR(__xludf.DUMMYFUNCTION("""COMPUTED_VALUE"""),"FRANCISCO RIBEIRO DOS SANTOS JUNIOR")</f>
        <v>FRANCISCO RIBEIRO DOS SANTOS JUNIOR</v>
      </c>
      <c r="C26" s="58" t="str">
        <f ca="1">IFERROR(__xludf.DUMMYFUNCTION("""COMPUTED_VALUE"""),"ribeiro.juniorsantos@gmail.com")</f>
        <v>ribeiro.juniorsantos@gmail.com</v>
      </c>
      <c r="D26" s="58" t="str">
        <f ca="1">IFERROR(__xludf.DUMMYFUNCTION("""COMPUTED_VALUE"""),"PERFIL FORMAÇÃO: PROFESSORES")</f>
        <v>PERFIL FORMAÇÃO: PROFESSORES</v>
      </c>
      <c r="E26" s="58" t="str">
        <f ca="1">IFERROR(__xludf.DUMMYFUNCTION("""COMPUTED_VALUE"""),"PROFESSORES")</f>
        <v>PROFESSORES</v>
      </c>
      <c r="F26" s="58" t="str">
        <f ca="1">IFERROR(__xludf.DUMMYFUNCTION("""COMPUTED_VALUE"""),"MAIO")</f>
        <v>MAIO</v>
      </c>
      <c r="G26" s="58">
        <f ca="1">IFERROR(__xludf.DUMMYFUNCTION("""COMPUTED_VALUE"""),2025)</f>
        <v>2025</v>
      </c>
      <c r="H26" s="58" t="str">
        <f ca="1">IFERROR(__xludf.DUMMYFUNCTION("""COMPUTED_VALUE"""),"FORMAÇÃO/2025.3")</f>
        <v>FORMAÇÃO/2025.3</v>
      </c>
      <c r="I26" s="58" t="str">
        <f ca="1">IFERROR(__xludf.DUMMYFUNCTION("""COMPUTED_VALUE"""),"ÚNICO")</f>
        <v>ÚNICO</v>
      </c>
      <c r="J26" s="58" t="str">
        <f ca="1">IFERROR(__xludf.DUMMYFUNCTION("""COMPUTED_VALUE"""),"004/2025")</f>
        <v>004/2025</v>
      </c>
      <c r="K26" s="58" t="str">
        <f ca="1">IFERROR(__xludf.DUMMYFUNCTION("""COMPUTED_VALUE"""),"05/05/2025")</f>
        <v>05/05/2025</v>
      </c>
      <c r="L26" s="58" t="str">
        <f ca="1">IFERROR(__xludf.DUMMYFUNCTION("""COMPUTED_VALUE"""),"16/05/2025")</f>
        <v>16/05/2025</v>
      </c>
      <c r="M26" s="58" t="str">
        <f ca="1">IFERROR(__xludf.DUMMYFUNCTION("""COMPUTED_VALUE"""),"717-142-372-200")</f>
        <v>717-142-372-200</v>
      </c>
      <c r="N26" s="58" t="str">
        <f ca="1">IFERROR(__xludf.DUMMYFUNCTION("""COMPUTED_VALUE"""),"APROVADO")</f>
        <v>APROVADO</v>
      </c>
      <c r="O26" s="58" t="str">
        <f ca="1">IFERROR(__xludf.DUMMYFUNCTION("""COMPUTED_VALUE"""),"NÃO")</f>
        <v>NÃO</v>
      </c>
      <c r="P26" s="58" t="str">
        <f ca="1">IFERROR(__xludf.DUMMYFUNCTION("""COMPUTED_VALUE"""),"NÃO")</f>
        <v>NÃO</v>
      </c>
      <c r="Q26" s="58"/>
      <c r="R26" s="58"/>
      <c r="S26" s="58"/>
      <c r="T26" s="58"/>
      <c r="U26" s="58"/>
      <c r="V26" s="58"/>
      <c r="W26" s="58"/>
      <c r="X26" s="59"/>
    </row>
    <row r="27" spans="1:24" ht="15.75" customHeight="1" x14ac:dyDescent="0.25">
      <c r="A27" s="58" t="str">
        <f ca="1">IFERROR(__xludf.DUMMYFUNCTION("""COMPUTED_VALUE"""),"085.385.624-95")</f>
        <v>085.385.624-95</v>
      </c>
      <c r="B27" s="58" t="str">
        <f ca="1">IFERROR(__xludf.DUMMYFUNCTION("""COMPUTED_VALUE"""),"NAYARA NUNES DE OLIVEIRA")</f>
        <v>NAYARA NUNES DE OLIVEIRA</v>
      </c>
      <c r="C27" s="58" t="str">
        <f ca="1">IFERROR(__xludf.DUMMYFUNCTION("""COMPUTED_VALUE"""),"nayara.nunes.oliveira@gmail.com")</f>
        <v>nayara.nunes.oliveira@gmail.com</v>
      </c>
      <c r="D27" s="58" t="str">
        <f ca="1">IFERROR(__xludf.DUMMYFUNCTION("""COMPUTED_VALUE"""),"PERFIL FORMAÇÃO: EQUIPE LOCAL")</f>
        <v>PERFIL FORMAÇÃO: EQUIPE LOCAL</v>
      </c>
      <c r="E27" s="58" t="str">
        <f ca="1">IFERROR(__xludf.DUMMYFUNCTION("""COMPUTED_VALUE"""),"EQUIPE LOCAL")</f>
        <v>EQUIPE LOCAL</v>
      </c>
      <c r="F27" s="58" t="str">
        <f ca="1">IFERROR(__xludf.DUMMYFUNCTION("""COMPUTED_VALUE"""),"MAIO")</f>
        <v>MAIO</v>
      </c>
      <c r="G27" s="58">
        <f ca="1">IFERROR(__xludf.DUMMYFUNCTION("""COMPUTED_VALUE"""),2025)</f>
        <v>2025</v>
      </c>
      <c r="H27" s="58" t="str">
        <f ca="1">IFERROR(__xludf.DUMMYFUNCTION("""COMPUTED_VALUE"""),"FORMAÇÃO/2025.3")</f>
        <v>FORMAÇÃO/2025.3</v>
      </c>
      <c r="I27" s="58" t="str">
        <f ca="1">IFERROR(__xludf.DUMMYFUNCTION("""COMPUTED_VALUE"""),"ÚNICO")</f>
        <v>ÚNICO</v>
      </c>
      <c r="J27" s="58" t="str">
        <f ca="1">IFERROR(__xludf.DUMMYFUNCTION("""COMPUTED_VALUE"""),"004/2025")</f>
        <v>004/2025</v>
      </c>
      <c r="K27" s="58" t="str">
        <f ca="1">IFERROR(__xludf.DUMMYFUNCTION("""COMPUTED_VALUE"""),"05/05/2025")</f>
        <v>05/05/2025</v>
      </c>
      <c r="L27" s="58" t="str">
        <f ca="1">IFERROR(__xludf.DUMMYFUNCTION("""COMPUTED_VALUE"""),"16/05/2025")</f>
        <v>16/05/2025</v>
      </c>
      <c r="M27" s="58" t="str">
        <f ca="1">IFERROR(__xludf.DUMMYFUNCTION("""COMPUTED_VALUE"""),"985-487-673-936")</f>
        <v>985-487-673-936</v>
      </c>
      <c r="N27" s="58" t="str">
        <f ca="1">IFERROR(__xludf.DUMMYFUNCTION("""COMPUTED_VALUE"""),"APROVADO")</f>
        <v>APROVADO</v>
      </c>
      <c r="O27" s="58" t="str">
        <f ca="1">IFERROR(__xludf.DUMMYFUNCTION("""COMPUTED_VALUE"""),"NÃO")</f>
        <v>NÃO</v>
      </c>
      <c r="P27" s="58" t="str">
        <f ca="1">IFERROR(__xludf.DUMMYFUNCTION("""COMPUTED_VALUE"""),"NÃO")</f>
        <v>NÃO</v>
      </c>
      <c r="Q27" s="58"/>
      <c r="R27" s="58"/>
      <c r="S27" s="58"/>
      <c r="T27" s="58"/>
      <c r="U27" s="58"/>
      <c r="V27" s="58"/>
      <c r="W27" s="58"/>
      <c r="X27" s="59"/>
    </row>
    <row r="28" spans="1:24" ht="15.75" customHeight="1" x14ac:dyDescent="0.25">
      <c r="A28" s="58" t="str">
        <f ca="1">IFERROR(__xludf.DUMMYFUNCTION("""COMPUTED_VALUE"""),"110.746.464-10")</f>
        <v>110.746.464-10</v>
      </c>
      <c r="B28" s="58" t="str">
        <f ca="1">IFERROR(__xludf.DUMMYFUNCTION("""COMPUTED_VALUE"""),"MARIA RITA CHAVES PEREIRA NUNES")</f>
        <v>MARIA RITA CHAVES PEREIRA NUNES</v>
      </c>
      <c r="C28" s="58" t="str">
        <f ca="1">IFERROR(__xludf.DUMMYFUNCTION("""COMPUTED_VALUE"""),"ritinhachaves4@gmail.com")</f>
        <v>ritinhachaves4@gmail.com</v>
      </c>
      <c r="D28" s="58" t="str">
        <f ca="1">IFERROR(__xludf.DUMMYFUNCTION("""COMPUTED_VALUE"""),"PERFIL FORMAÇÃO: PROFESSORES")</f>
        <v>PERFIL FORMAÇÃO: PROFESSORES</v>
      </c>
      <c r="E28" s="58" t="str">
        <f ca="1">IFERROR(__xludf.DUMMYFUNCTION("""COMPUTED_VALUE"""),"PROFESSORES")</f>
        <v>PROFESSORES</v>
      </c>
      <c r="F28" s="58" t="str">
        <f ca="1">IFERROR(__xludf.DUMMYFUNCTION("""COMPUTED_VALUE"""),"MAIO")</f>
        <v>MAIO</v>
      </c>
      <c r="G28" s="58">
        <f ca="1">IFERROR(__xludf.DUMMYFUNCTION("""COMPUTED_VALUE"""),2025)</f>
        <v>2025</v>
      </c>
      <c r="H28" s="58" t="str">
        <f ca="1">IFERROR(__xludf.DUMMYFUNCTION("""COMPUTED_VALUE"""),"FORMAÇÃO/2025.3")</f>
        <v>FORMAÇÃO/2025.3</v>
      </c>
      <c r="I28" s="58" t="str">
        <f ca="1">IFERROR(__xludf.DUMMYFUNCTION("""COMPUTED_VALUE"""),"ÚNICO")</f>
        <v>ÚNICO</v>
      </c>
      <c r="J28" s="58" t="str">
        <f ca="1">IFERROR(__xludf.DUMMYFUNCTION("""COMPUTED_VALUE"""),"004/2025")</f>
        <v>004/2025</v>
      </c>
      <c r="K28" s="58" t="str">
        <f ca="1">IFERROR(__xludf.DUMMYFUNCTION("""COMPUTED_VALUE"""),"05/05/2025")</f>
        <v>05/05/2025</v>
      </c>
      <c r="L28" s="58" t="str">
        <f ca="1">IFERROR(__xludf.DUMMYFUNCTION("""COMPUTED_VALUE"""),"16/05/2025")</f>
        <v>16/05/2025</v>
      </c>
      <c r="M28" s="58" t="str">
        <f ca="1">IFERROR(__xludf.DUMMYFUNCTION("""COMPUTED_VALUE"""),"106-744-626-539")</f>
        <v>106-744-626-539</v>
      </c>
      <c r="N28" s="58" t="str">
        <f ca="1">IFERROR(__xludf.DUMMYFUNCTION("""COMPUTED_VALUE"""),"APROVADO")</f>
        <v>APROVADO</v>
      </c>
      <c r="O28" s="58" t="str">
        <f ca="1">IFERROR(__xludf.DUMMYFUNCTION("""COMPUTED_VALUE"""),"NÃO")</f>
        <v>NÃO</v>
      </c>
      <c r="P28" s="58" t="str">
        <f ca="1">IFERROR(__xludf.DUMMYFUNCTION("""COMPUTED_VALUE"""),"NÃO")</f>
        <v>NÃO</v>
      </c>
      <c r="Q28" s="58"/>
      <c r="R28" s="58"/>
      <c r="S28" s="58"/>
      <c r="T28" s="58"/>
      <c r="U28" s="58"/>
      <c r="V28" s="58"/>
      <c r="W28" s="58"/>
      <c r="X28" s="59"/>
    </row>
    <row r="29" spans="1:24" ht="15.75" customHeight="1" x14ac:dyDescent="0.25">
      <c r="A29" s="58" t="str">
        <f ca="1">IFERROR(__xludf.DUMMYFUNCTION("""COMPUTED_VALUE"""),"055.870.144-28")</f>
        <v>055.870.144-28</v>
      </c>
      <c r="B29" s="58" t="str">
        <f ca="1">IFERROR(__xludf.DUMMYFUNCTION("""COMPUTED_VALUE"""),"DANÚBIA LEITE FERREIRA")</f>
        <v>DANÚBIA LEITE FERREIRA</v>
      </c>
      <c r="C29" s="58" t="str">
        <f ca="1">IFERROR(__xludf.DUMMYFUNCTION("""COMPUTED_VALUE"""),"danubialeite14@gmail.com")</f>
        <v>danubialeite14@gmail.com</v>
      </c>
      <c r="D29" s="58" t="str">
        <f ca="1">IFERROR(__xludf.DUMMYFUNCTION("""COMPUTED_VALUE"""),"PERFIL FORMAÇÃO: PROFESSORES")</f>
        <v>PERFIL FORMAÇÃO: PROFESSORES</v>
      </c>
      <c r="E29" s="58" t="str">
        <f ca="1">IFERROR(__xludf.DUMMYFUNCTION("""COMPUTED_VALUE"""),"PROFESSORES")</f>
        <v>PROFESSORES</v>
      </c>
      <c r="F29" s="58" t="str">
        <f ca="1">IFERROR(__xludf.DUMMYFUNCTION("""COMPUTED_VALUE"""),"MAIO")</f>
        <v>MAIO</v>
      </c>
      <c r="G29" s="58">
        <f ca="1">IFERROR(__xludf.DUMMYFUNCTION("""COMPUTED_VALUE"""),2025)</f>
        <v>2025</v>
      </c>
      <c r="H29" s="58" t="str">
        <f ca="1">IFERROR(__xludf.DUMMYFUNCTION("""COMPUTED_VALUE"""),"FORMAÇÃO/2025.3")</f>
        <v>FORMAÇÃO/2025.3</v>
      </c>
      <c r="I29" s="58" t="str">
        <f ca="1">IFERROR(__xludf.DUMMYFUNCTION("""COMPUTED_VALUE"""),"ÚNICO")</f>
        <v>ÚNICO</v>
      </c>
      <c r="J29" s="58" t="str">
        <f ca="1">IFERROR(__xludf.DUMMYFUNCTION("""COMPUTED_VALUE"""),"004/2025")</f>
        <v>004/2025</v>
      </c>
      <c r="K29" s="58" t="str">
        <f ca="1">IFERROR(__xludf.DUMMYFUNCTION("""COMPUTED_VALUE"""),"05/05/2025")</f>
        <v>05/05/2025</v>
      </c>
      <c r="L29" s="58" t="str">
        <f ca="1">IFERROR(__xludf.DUMMYFUNCTION("""COMPUTED_VALUE"""),"16/05/2025")</f>
        <v>16/05/2025</v>
      </c>
      <c r="M29" s="58" t="str">
        <f ca="1">IFERROR(__xludf.DUMMYFUNCTION("""COMPUTED_VALUE"""),"046-612-445-445")</f>
        <v>046-612-445-445</v>
      </c>
      <c r="N29" s="58" t="str">
        <f ca="1">IFERROR(__xludf.DUMMYFUNCTION("""COMPUTED_VALUE"""),"APROVADO")</f>
        <v>APROVADO</v>
      </c>
      <c r="O29" s="58" t="str">
        <f ca="1">IFERROR(__xludf.DUMMYFUNCTION("""COMPUTED_VALUE"""),"NÃO")</f>
        <v>NÃO</v>
      </c>
      <c r="P29" s="58" t="str">
        <f ca="1">IFERROR(__xludf.DUMMYFUNCTION("""COMPUTED_VALUE"""),"NÃO")</f>
        <v>NÃO</v>
      </c>
      <c r="Q29" s="58"/>
      <c r="R29" s="58"/>
      <c r="S29" s="58"/>
      <c r="T29" s="58"/>
      <c r="U29" s="58"/>
      <c r="V29" s="58"/>
      <c r="W29" s="58"/>
      <c r="X29" s="59"/>
    </row>
    <row r="30" spans="1:24" ht="15.75" customHeight="1" x14ac:dyDescent="0.25">
      <c r="A30" s="58" t="str">
        <f ca="1">IFERROR(__xludf.DUMMYFUNCTION("""COMPUTED_VALUE"""),"070.339.554-80")</f>
        <v>070.339.554-80</v>
      </c>
      <c r="B30" s="58" t="str">
        <f ca="1">IFERROR(__xludf.DUMMYFUNCTION("""COMPUTED_VALUE"""),"CASSIANO JOSÉ DE SALES FRANÇA")</f>
        <v>CASSIANO JOSÉ DE SALES FRANÇA</v>
      </c>
      <c r="C30" s="58" t="str">
        <f ca="1">IFERROR(__xludf.DUMMYFUNCTION("""COMPUTED_VALUE"""),"cassiano.franca@professor.pb.gov.br")</f>
        <v>cassiano.franca@professor.pb.gov.br</v>
      </c>
      <c r="D30" s="58" t="str">
        <f ca="1">IFERROR(__xludf.DUMMYFUNCTION("""COMPUTED_VALUE"""),"PERFIL FORMAÇÃO: EQUIPE LOCAL")</f>
        <v>PERFIL FORMAÇÃO: EQUIPE LOCAL</v>
      </c>
      <c r="E30" s="58" t="str">
        <f ca="1">IFERROR(__xludf.DUMMYFUNCTION("""COMPUTED_VALUE"""),"EQUIPE LOCAL")</f>
        <v>EQUIPE LOCAL</v>
      </c>
      <c r="F30" s="58" t="str">
        <f ca="1">IFERROR(__xludf.DUMMYFUNCTION("""COMPUTED_VALUE"""),"MAIO")</f>
        <v>MAIO</v>
      </c>
      <c r="G30" s="58">
        <f ca="1">IFERROR(__xludf.DUMMYFUNCTION("""COMPUTED_VALUE"""),2025)</f>
        <v>2025</v>
      </c>
      <c r="H30" s="58" t="str">
        <f ca="1">IFERROR(__xludf.DUMMYFUNCTION("""COMPUTED_VALUE"""),"FORMAÇÃO/2025.3")</f>
        <v>FORMAÇÃO/2025.3</v>
      </c>
      <c r="I30" s="58" t="str">
        <f ca="1">IFERROR(__xludf.DUMMYFUNCTION("""COMPUTED_VALUE"""),"ÚNICO")</f>
        <v>ÚNICO</v>
      </c>
      <c r="J30" s="58" t="str">
        <f ca="1">IFERROR(__xludf.DUMMYFUNCTION("""COMPUTED_VALUE"""),"004/2025")</f>
        <v>004/2025</v>
      </c>
      <c r="K30" s="58" t="str">
        <f ca="1">IFERROR(__xludf.DUMMYFUNCTION("""COMPUTED_VALUE"""),"05/05/2025")</f>
        <v>05/05/2025</v>
      </c>
      <c r="L30" s="58" t="str">
        <f ca="1">IFERROR(__xludf.DUMMYFUNCTION("""COMPUTED_VALUE"""),"16/05/2025")</f>
        <v>16/05/2025</v>
      </c>
      <c r="M30" s="58" t="str">
        <f ca="1">IFERROR(__xludf.DUMMYFUNCTION("""COMPUTED_VALUE"""),"239-183-954-198")</f>
        <v>239-183-954-198</v>
      </c>
      <c r="N30" s="58" t="str">
        <f ca="1">IFERROR(__xludf.DUMMYFUNCTION("""COMPUTED_VALUE"""),"PENDENTE")</f>
        <v>PENDENTE</v>
      </c>
      <c r="O30" s="58" t="str">
        <f ca="1">IFERROR(__xludf.DUMMYFUNCTION("""COMPUTED_VALUE"""),"SIM")</f>
        <v>SIM</v>
      </c>
      <c r="P30" s="58" t="str">
        <f ca="1">IFERROR(__xludf.DUMMYFUNCTION("""COMPUTED_VALUE"""),"NÃO")</f>
        <v>NÃO</v>
      </c>
      <c r="Q30" s="58"/>
      <c r="R30" s="58"/>
      <c r="S30" s="58"/>
      <c r="T30" s="58"/>
      <c r="U30" s="58"/>
      <c r="V30" s="58"/>
      <c r="W30" s="58"/>
      <c r="X30" s="59"/>
    </row>
    <row r="31" spans="1:24" ht="15.75" customHeight="1" x14ac:dyDescent="0.25">
      <c r="A31" s="58" t="str">
        <f ca="1">IFERROR(__xludf.DUMMYFUNCTION("""COMPUTED_VALUE"""),"011.590.354-23")</f>
        <v>011.590.354-23</v>
      </c>
      <c r="B31" s="58" t="str">
        <f ca="1">IFERROR(__xludf.DUMMYFUNCTION("""COMPUTED_VALUE"""),"LEILANE SOARES DE LIMA")</f>
        <v>LEILANE SOARES DE LIMA</v>
      </c>
      <c r="C31" s="58" t="str">
        <f ca="1">IFERROR(__xludf.DUMMYFUNCTION("""COMPUTED_VALUE"""),"leilanesoares.adv@gmail.com")</f>
        <v>leilanesoares.adv@gmail.com</v>
      </c>
      <c r="D31" s="58" t="str">
        <f ca="1">IFERROR(__xludf.DUMMYFUNCTION("""COMPUTED_VALUE"""),"PERFIL FORMAÇÃO: EQUIPE LOCAL")</f>
        <v>PERFIL FORMAÇÃO: EQUIPE LOCAL</v>
      </c>
      <c r="E31" s="58" t="str">
        <f ca="1">IFERROR(__xludf.DUMMYFUNCTION("""COMPUTED_VALUE"""),"EQUIPE LOCAL")</f>
        <v>EQUIPE LOCAL</v>
      </c>
      <c r="F31" s="58" t="str">
        <f ca="1">IFERROR(__xludf.DUMMYFUNCTION("""COMPUTED_VALUE"""),"MAIO")</f>
        <v>MAIO</v>
      </c>
      <c r="G31" s="58">
        <f ca="1">IFERROR(__xludf.DUMMYFUNCTION("""COMPUTED_VALUE"""),2025)</f>
        <v>2025</v>
      </c>
      <c r="H31" s="58" t="str">
        <f ca="1">IFERROR(__xludf.DUMMYFUNCTION("""COMPUTED_VALUE"""),"FORMAÇÃO/2025.3")</f>
        <v>FORMAÇÃO/2025.3</v>
      </c>
      <c r="I31" s="58" t="str">
        <f ca="1">IFERROR(__xludf.DUMMYFUNCTION("""COMPUTED_VALUE"""),"ÚNICO")</f>
        <v>ÚNICO</v>
      </c>
      <c r="J31" s="58" t="str">
        <f ca="1">IFERROR(__xludf.DUMMYFUNCTION("""COMPUTED_VALUE"""),"004/2025")</f>
        <v>004/2025</v>
      </c>
      <c r="K31" s="58" t="str">
        <f ca="1">IFERROR(__xludf.DUMMYFUNCTION("""COMPUTED_VALUE"""),"05/05/2025")</f>
        <v>05/05/2025</v>
      </c>
      <c r="L31" s="58" t="str">
        <f ca="1">IFERROR(__xludf.DUMMYFUNCTION("""COMPUTED_VALUE"""),"16/05/2025")</f>
        <v>16/05/2025</v>
      </c>
      <c r="M31" s="58" t="str">
        <f ca="1">IFERROR(__xludf.DUMMYFUNCTION("""COMPUTED_VALUE"""),"205-175-399-529")</f>
        <v>205-175-399-529</v>
      </c>
      <c r="N31" s="58" t="str">
        <f ca="1">IFERROR(__xludf.DUMMYFUNCTION("""COMPUTED_VALUE"""),"APROVADO")</f>
        <v>APROVADO</v>
      </c>
      <c r="O31" s="58" t="str">
        <f ca="1">IFERROR(__xludf.DUMMYFUNCTION("""COMPUTED_VALUE"""),"NÃO")</f>
        <v>NÃO</v>
      </c>
      <c r="P31" s="58" t="str">
        <f ca="1">IFERROR(__xludf.DUMMYFUNCTION("""COMPUTED_VALUE"""),"NÃO")</f>
        <v>NÃO</v>
      </c>
      <c r="Q31" s="58"/>
      <c r="R31" s="58"/>
      <c r="S31" s="58"/>
      <c r="T31" s="58"/>
      <c r="U31" s="58"/>
      <c r="V31" s="58"/>
      <c r="W31" s="58"/>
      <c r="X31" s="59"/>
    </row>
    <row r="32" spans="1:24" ht="15.75" customHeight="1" x14ac:dyDescent="0.25">
      <c r="A32" s="58" t="str">
        <f ca="1">IFERROR(__xludf.DUMMYFUNCTION("""COMPUTED_VALUE"""),"701.307.224-99")</f>
        <v>701.307.224-99</v>
      </c>
      <c r="B32" s="58" t="str">
        <f ca="1">IFERROR(__xludf.DUMMYFUNCTION("""COMPUTED_VALUE"""),"IHÉDILLA HUMBERTA SINÉSIO CÂNDIDO DA SILVA")</f>
        <v>IHÉDILLA HUMBERTA SINÉSIO CÂNDIDO DA SILVA</v>
      </c>
      <c r="C32" s="58" t="str">
        <f ca="1">IFERROR(__xludf.DUMMYFUNCTION("""COMPUTED_VALUE"""),"ihedillah@gmail.com")</f>
        <v>ihedillah@gmail.com</v>
      </c>
      <c r="D32" s="58" t="str">
        <f ca="1">IFERROR(__xludf.DUMMYFUNCTION("""COMPUTED_VALUE"""),"PERFIL FORMAÇÃO: PROFESSORES")</f>
        <v>PERFIL FORMAÇÃO: PROFESSORES</v>
      </c>
      <c r="E32" s="58" t="str">
        <f ca="1">IFERROR(__xludf.DUMMYFUNCTION("""COMPUTED_VALUE"""),"PROFESSORES")</f>
        <v>PROFESSORES</v>
      </c>
      <c r="F32" s="58" t="str">
        <f ca="1">IFERROR(__xludf.DUMMYFUNCTION("""COMPUTED_VALUE"""),"MAIO")</f>
        <v>MAIO</v>
      </c>
      <c r="G32" s="58">
        <f ca="1">IFERROR(__xludf.DUMMYFUNCTION("""COMPUTED_VALUE"""),2025)</f>
        <v>2025</v>
      </c>
      <c r="H32" s="58" t="str">
        <f ca="1">IFERROR(__xludf.DUMMYFUNCTION("""COMPUTED_VALUE"""),"FORMAÇÃO/2025.3")</f>
        <v>FORMAÇÃO/2025.3</v>
      </c>
      <c r="I32" s="58" t="str">
        <f ca="1">IFERROR(__xludf.DUMMYFUNCTION("""COMPUTED_VALUE"""),"ÚNICO")</f>
        <v>ÚNICO</v>
      </c>
      <c r="J32" s="58" t="str">
        <f ca="1">IFERROR(__xludf.DUMMYFUNCTION("""COMPUTED_VALUE"""),"004/2025")</f>
        <v>004/2025</v>
      </c>
      <c r="K32" s="58" t="str">
        <f ca="1">IFERROR(__xludf.DUMMYFUNCTION("""COMPUTED_VALUE"""),"05/05/2025")</f>
        <v>05/05/2025</v>
      </c>
      <c r="L32" s="58" t="str">
        <f ca="1">IFERROR(__xludf.DUMMYFUNCTION("""COMPUTED_VALUE"""),"16/05/2025")</f>
        <v>16/05/2025</v>
      </c>
      <c r="M32" s="58" t="str">
        <f ca="1">IFERROR(__xludf.DUMMYFUNCTION("""COMPUTED_VALUE"""),"239-258-271-493")</f>
        <v>239-258-271-493</v>
      </c>
      <c r="N32" s="58" t="str">
        <f ca="1">IFERROR(__xludf.DUMMYFUNCTION("""COMPUTED_VALUE"""),"APROVADO")</f>
        <v>APROVADO</v>
      </c>
      <c r="O32" s="58" t="str">
        <f ca="1">IFERROR(__xludf.DUMMYFUNCTION("""COMPUTED_VALUE"""),"NÃO")</f>
        <v>NÃO</v>
      </c>
      <c r="P32" s="58" t="str">
        <f ca="1">IFERROR(__xludf.DUMMYFUNCTION("""COMPUTED_VALUE"""),"NÃO")</f>
        <v>NÃO</v>
      </c>
      <c r="Q32" s="58"/>
      <c r="R32" s="58"/>
      <c r="S32" s="58"/>
      <c r="T32" s="58"/>
      <c r="U32" s="58"/>
      <c r="V32" s="58"/>
      <c r="W32" s="58"/>
      <c r="X32" s="59"/>
    </row>
    <row r="33" spans="1:24" ht="15.75" customHeight="1" x14ac:dyDescent="0.25">
      <c r="A33" s="58" t="str">
        <f ca="1">IFERROR(__xludf.DUMMYFUNCTION("""COMPUTED_VALUE"""),"016.833.804-10")</f>
        <v>016.833.804-10</v>
      </c>
      <c r="B33" s="58" t="str">
        <f ca="1">IFERROR(__xludf.DUMMYFUNCTION("""COMPUTED_VALUE"""),"LÉLIA NOGUEIRA DA SILVA")</f>
        <v>LÉLIA NOGUEIRA DA SILVA</v>
      </c>
      <c r="C33" s="58" t="str">
        <f ca="1">IFERROR(__xludf.DUMMYFUNCTION("""COMPUTED_VALUE"""),"lelianogueira1992@gmail.com")</f>
        <v>lelianogueira1992@gmail.com</v>
      </c>
      <c r="D33" s="58" t="str">
        <f ca="1">IFERROR(__xludf.DUMMYFUNCTION("""COMPUTED_VALUE"""),"PERFIL FORMAÇÃO: PROFESSORES")</f>
        <v>PERFIL FORMAÇÃO: PROFESSORES</v>
      </c>
      <c r="E33" s="58" t="str">
        <f ca="1">IFERROR(__xludf.DUMMYFUNCTION("""COMPUTED_VALUE"""),"PROFESSORES")</f>
        <v>PROFESSORES</v>
      </c>
      <c r="F33" s="58" t="str">
        <f ca="1">IFERROR(__xludf.DUMMYFUNCTION("""COMPUTED_VALUE"""),"MAIO")</f>
        <v>MAIO</v>
      </c>
      <c r="G33" s="58">
        <f ca="1">IFERROR(__xludf.DUMMYFUNCTION("""COMPUTED_VALUE"""),2025)</f>
        <v>2025</v>
      </c>
      <c r="H33" s="58" t="str">
        <f ca="1">IFERROR(__xludf.DUMMYFUNCTION("""COMPUTED_VALUE"""),"FORMAÇÃO/2025.3")</f>
        <v>FORMAÇÃO/2025.3</v>
      </c>
      <c r="I33" s="58" t="str">
        <f ca="1">IFERROR(__xludf.DUMMYFUNCTION("""COMPUTED_VALUE"""),"ÚNICO")</f>
        <v>ÚNICO</v>
      </c>
      <c r="J33" s="58" t="str">
        <f ca="1">IFERROR(__xludf.DUMMYFUNCTION("""COMPUTED_VALUE"""),"004/2025")</f>
        <v>004/2025</v>
      </c>
      <c r="K33" s="58" t="str">
        <f ca="1">IFERROR(__xludf.DUMMYFUNCTION("""COMPUTED_VALUE"""),"05/05/2025")</f>
        <v>05/05/2025</v>
      </c>
      <c r="L33" s="58" t="str">
        <f ca="1">IFERROR(__xludf.DUMMYFUNCTION("""COMPUTED_VALUE"""),"16/05/2025")</f>
        <v>16/05/2025</v>
      </c>
      <c r="M33" s="58" t="str">
        <f ca="1">IFERROR(__xludf.DUMMYFUNCTION("""COMPUTED_VALUE"""),"653-782-724-708")</f>
        <v>653-782-724-708</v>
      </c>
      <c r="N33" s="58" t="str">
        <f ca="1">IFERROR(__xludf.DUMMYFUNCTION("""COMPUTED_VALUE"""),"APROVADO")</f>
        <v>APROVADO</v>
      </c>
      <c r="O33" s="58" t="str">
        <f ca="1">IFERROR(__xludf.DUMMYFUNCTION("""COMPUTED_VALUE"""),"NÃO")</f>
        <v>NÃO</v>
      </c>
      <c r="P33" s="58" t="str">
        <f ca="1">IFERROR(__xludf.DUMMYFUNCTION("""COMPUTED_VALUE"""),"NÃO")</f>
        <v>NÃO</v>
      </c>
      <c r="Q33" s="58"/>
      <c r="R33" s="58"/>
      <c r="S33" s="58"/>
      <c r="T33" s="58"/>
      <c r="U33" s="58"/>
      <c r="V33" s="58"/>
      <c r="W33" s="58"/>
      <c r="X33" s="59"/>
    </row>
    <row r="34" spans="1:24" ht="12.5" x14ac:dyDescent="0.25">
      <c r="A34" s="58" t="str">
        <f ca="1">IFERROR(__xludf.DUMMYFUNCTION("""COMPUTED_VALUE"""),"089.784.124-75")</f>
        <v>089.784.124-75</v>
      </c>
      <c r="B34" s="58" t="str">
        <f ca="1">IFERROR(__xludf.DUMMYFUNCTION("""COMPUTED_VALUE"""),"MAYARA PINHEIRO DA COSTA")</f>
        <v>MAYARA PINHEIRO DA COSTA</v>
      </c>
      <c r="C34" s="58" t="str">
        <f ca="1">IFERROR(__xludf.DUMMYFUNCTION("""COMPUTED_VALUE"""),"larinha.una@gmail.com")</f>
        <v>larinha.una@gmail.com</v>
      </c>
      <c r="D34" s="58" t="str">
        <f ca="1">IFERROR(__xludf.DUMMYFUNCTION("""COMPUTED_VALUE"""),"PERFIL FORMAÇÃO: EQUIPE LOCAL")</f>
        <v>PERFIL FORMAÇÃO: EQUIPE LOCAL</v>
      </c>
      <c r="E34" s="58" t="str">
        <f ca="1">IFERROR(__xludf.DUMMYFUNCTION("""COMPUTED_VALUE"""),"EQUIPE LOCAL")</f>
        <v>EQUIPE LOCAL</v>
      </c>
      <c r="F34" s="58" t="str">
        <f ca="1">IFERROR(__xludf.DUMMYFUNCTION("""COMPUTED_VALUE"""),"MAIO")</f>
        <v>MAIO</v>
      </c>
      <c r="G34" s="58">
        <f ca="1">IFERROR(__xludf.DUMMYFUNCTION("""COMPUTED_VALUE"""),2025)</f>
        <v>2025</v>
      </c>
      <c r="H34" s="58" t="str">
        <f ca="1">IFERROR(__xludf.DUMMYFUNCTION("""COMPUTED_VALUE"""),"FORMAÇÃO/2025.3")</f>
        <v>FORMAÇÃO/2025.3</v>
      </c>
      <c r="I34" s="58" t="str">
        <f ca="1">IFERROR(__xludf.DUMMYFUNCTION("""COMPUTED_VALUE"""),"ÚNICO")</f>
        <v>ÚNICO</v>
      </c>
      <c r="J34" s="58" t="str">
        <f ca="1">IFERROR(__xludf.DUMMYFUNCTION("""COMPUTED_VALUE"""),"004/2025")</f>
        <v>004/2025</v>
      </c>
      <c r="K34" s="58" t="str">
        <f ca="1">IFERROR(__xludf.DUMMYFUNCTION("""COMPUTED_VALUE"""),"05/05/2025")</f>
        <v>05/05/2025</v>
      </c>
      <c r="L34" s="58" t="str">
        <f ca="1">IFERROR(__xludf.DUMMYFUNCTION("""COMPUTED_VALUE"""),"16/05/2025")</f>
        <v>16/05/2025</v>
      </c>
      <c r="M34" s="58" t="str">
        <f ca="1">IFERROR(__xludf.DUMMYFUNCTION("""COMPUTED_VALUE"""),"499-095-778-287")</f>
        <v>499-095-778-287</v>
      </c>
      <c r="N34" s="58" t="str">
        <f ca="1">IFERROR(__xludf.DUMMYFUNCTION("""COMPUTED_VALUE"""),"APROVADO")</f>
        <v>APROVADO</v>
      </c>
      <c r="O34" s="58" t="str">
        <f ca="1">IFERROR(__xludf.DUMMYFUNCTION("""COMPUTED_VALUE"""),"NÃO")</f>
        <v>NÃO</v>
      </c>
      <c r="P34" s="58" t="str">
        <f ca="1">IFERROR(__xludf.DUMMYFUNCTION("""COMPUTED_VALUE"""),"NÃO")</f>
        <v>NÃO</v>
      </c>
      <c r="Q34" s="58"/>
      <c r="R34" s="58"/>
      <c r="S34" s="58"/>
      <c r="T34" s="58"/>
      <c r="U34" s="58"/>
      <c r="V34" s="58"/>
      <c r="W34" s="58"/>
      <c r="X34" s="59"/>
    </row>
    <row r="35" spans="1:24" ht="12.5" x14ac:dyDescent="0.25">
      <c r="A35" s="58" t="str">
        <f ca="1">IFERROR(__xludf.DUMMYFUNCTION("""COMPUTED_VALUE"""),"105.711.227-52")</f>
        <v>105.711.227-52</v>
      </c>
      <c r="B35" s="58" t="str">
        <f ca="1">IFERROR(__xludf.DUMMYFUNCTION("""COMPUTED_VALUE"""),"SAINT CLAIR ALVES DE BRITO")</f>
        <v>SAINT CLAIR ALVES DE BRITO</v>
      </c>
      <c r="C35" s="58" t="str">
        <f ca="1">IFERROR(__xludf.DUMMYFUNCTION("""COMPUTED_VALUE"""),"sclairbrito@gmail.com")</f>
        <v>sclairbrito@gmail.com</v>
      </c>
      <c r="D35" s="58" t="str">
        <f ca="1">IFERROR(__xludf.DUMMYFUNCTION("""COMPUTED_VALUE"""),"PERFIL FORMAÇÃO: EQUIPE LOCAL")</f>
        <v>PERFIL FORMAÇÃO: EQUIPE LOCAL</v>
      </c>
      <c r="E35" s="58" t="str">
        <f ca="1">IFERROR(__xludf.DUMMYFUNCTION("""COMPUTED_VALUE"""),"EQUIPE LOCAL")</f>
        <v>EQUIPE LOCAL</v>
      </c>
      <c r="F35" s="58" t="str">
        <f ca="1">IFERROR(__xludf.DUMMYFUNCTION("""COMPUTED_VALUE"""),"MAIO")</f>
        <v>MAIO</v>
      </c>
      <c r="G35" s="58">
        <f ca="1">IFERROR(__xludf.DUMMYFUNCTION("""COMPUTED_VALUE"""),2025)</f>
        <v>2025</v>
      </c>
      <c r="H35" s="58" t="str">
        <f ca="1">IFERROR(__xludf.DUMMYFUNCTION("""COMPUTED_VALUE"""),"FORMAÇÃO/2025.3")</f>
        <v>FORMAÇÃO/2025.3</v>
      </c>
      <c r="I35" s="58" t="str">
        <f ca="1">IFERROR(__xludf.DUMMYFUNCTION("""COMPUTED_VALUE"""),"ÚNICO")</f>
        <v>ÚNICO</v>
      </c>
      <c r="J35" s="58" t="str">
        <f ca="1">IFERROR(__xludf.DUMMYFUNCTION("""COMPUTED_VALUE"""),"004/2025")</f>
        <v>004/2025</v>
      </c>
      <c r="K35" s="58" t="str">
        <f ca="1">IFERROR(__xludf.DUMMYFUNCTION("""COMPUTED_VALUE"""),"05/05/2025")</f>
        <v>05/05/2025</v>
      </c>
      <c r="L35" s="58" t="str">
        <f ca="1">IFERROR(__xludf.DUMMYFUNCTION("""COMPUTED_VALUE"""),"16/05/2025")</f>
        <v>16/05/2025</v>
      </c>
      <c r="M35" s="58" t="str">
        <f ca="1">IFERROR(__xludf.DUMMYFUNCTION("""COMPUTED_VALUE"""),"668-941-536-055")</f>
        <v>668-941-536-055</v>
      </c>
      <c r="N35" s="58" t="str">
        <f ca="1">IFERROR(__xludf.DUMMYFUNCTION("""COMPUTED_VALUE"""),"APROVADO")</f>
        <v>APROVADO</v>
      </c>
      <c r="O35" s="58" t="str">
        <f ca="1">IFERROR(__xludf.DUMMYFUNCTION("""COMPUTED_VALUE"""),"NÃO")</f>
        <v>NÃO</v>
      </c>
      <c r="P35" s="58" t="str">
        <f ca="1">IFERROR(__xludf.DUMMYFUNCTION("""COMPUTED_VALUE"""),"NÃO")</f>
        <v>NÃO</v>
      </c>
      <c r="Q35" s="58"/>
      <c r="R35" s="58"/>
      <c r="S35" s="58"/>
      <c r="T35" s="58"/>
      <c r="U35" s="58"/>
      <c r="V35" s="58"/>
      <c r="W35" s="58"/>
      <c r="X35" s="59"/>
    </row>
    <row r="36" spans="1:24" ht="12.5" x14ac:dyDescent="0.25">
      <c r="A36" s="58" t="str">
        <f ca="1">IFERROR(__xludf.DUMMYFUNCTION("""COMPUTED_VALUE"""),"042.250.194-89")</f>
        <v>042.250.194-89</v>
      </c>
      <c r="B36" s="58" t="str">
        <f ca="1">IFERROR(__xludf.DUMMYFUNCTION("""COMPUTED_VALUE"""),"WAGNER SOARES FERREIRA")</f>
        <v>WAGNER SOARES FERREIRA</v>
      </c>
      <c r="C36" s="58" t="str">
        <f ca="1">IFERROR(__xludf.DUMMYFUNCTION("""COMPUTED_VALUE"""),"jpp.wagner@gmail.com ")</f>
        <v xml:space="preserve">jpp.wagner@gmail.com </v>
      </c>
      <c r="D36" s="58" t="str">
        <f ca="1">IFERROR(__xludf.DUMMYFUNCTION("""COMPUTED_VALUE"""),"PERFIL FORMAÇÃO: PROFESSORES")</f>
        <v>PERFIL FORMAÇÃO: PROFESSORES</v>
      </c>
      <c r="E36" s="58" t="str">
        <f ca="1">IFERROR(__xludf.DUMMYFUNCTION("""COMPUTED_VALUE"""),"PROFESSORES")</f>
        <v>PROFESSORES</v>
      </c>
      <c r="F36" s="58" t="str">
        <f ca="1">IFERROR(__xludf.DUMMYFUNCTION("""COMPUTED_VALUE"""),"MAIO")</f>
        <v>MAIO</v>
      </c>
      <c r="G36" s="58">
        <f ca="1">IFERROR(__xludf.DUMMYFUNCTION("""COMPUTED_VALUE"""),2025)</f>
        <v>2025</v>
      </c>
      <c r="H36" s="58" t="str">
        <f ca="1">IFERROR(__xludf.DUMMYFUNCTION("""COMPUTED_VALUE"""),"FORMAÇÃO/2025.3")</f>
        <v>FORMAÇÃO/2025.3</v>
      </c>
      <c r="I36" s="58" t="str">
        <f ca="1">IFERROR(__xludf.DUMMYFUNCTION("""COMPUTED_VALUE"""),"ÚNICO")</f>
        <v>ÚNICO</v>
      </c>
      <c r="J36" s="58" t="str">
        <f ca="1">IFERROR(__xludf.DUMMYFUNCTION("""COMPUTED_VALUE"""),"004/2025")</f>
        <v>004/2025</v>
      </c>
      <c r="K36" s="58" t="str">
        <f ca="1">IFERROR(__xludf.DUMMYFUNCTION("""COMPUTED_VALUE"""),"05/05/2025")</f>
        <v>05/05/2025</v>
      </c>
      <c r="L36" s="58" t="str">
        <f ca="1">IFERROR(__xludf.DUMMYFUNCTION("""COMPUTED_VALUE"""),"16/05/2025")</f>
        <v>16/05/2025</v>
      </c>
      <c r="M36" s="58" t="str">
        <f ca="1">IFERROR(__xludf.DUMMYFUNCTION("""COMPUTED_VALUE"""),"638-311-232-724")</f>
        <v>638-311-232-724</v>
      </c>
      <c r="N36" s="58" t="str">
        <f ca="1">IFERROR(__xludf.DUMMYFUNCTION("""COMPUTED_VALUE"""),"PENDENTE")</f>
        <v>PENDENTE</v>
      </c>
      <c r="O36" s="58" t="str">
        <f ca="1">IFERROR(__xludf.DUMMYFUNCTION("""COMPUTED_VALUE"""),"NÃO")</f>
        <v>NÃO</v>
      </c>
      <c r="P36" s="58" t="str">
        <f ca="1">IFERROR(__xludf.DUMMYFUNCTION("""COMPUTED_VALUE"""),"NÃO")</f>
        <v>NÃO</v>
      </c>
      <c r="Q36" s="58"/>
      <c r="R36" s="58"/>
      <c r="S36" s="58"/>
      <c r="T36" s="58"/>
      <c r="U36" s="58"/>
      <c r="V36" s="58"/>
      <c r="W36" s="58"/>
      <c r="X36" s="59"/>
    </row>
    <row r="37" spans="1:24" ht="12.5" x14ac:dyDescent="0.25">
      <c r="A37" s="58" t="str">
        <f ca="1">IFERROR(__xludf.DUMMYFUNCTION("""COMPUTED_VALUE"""),"047.275.284-79")</f>
        <v>047.275.284-79</v>
      </c>
      <c r="B37" s="58" t="str">
        <f ca="1">IFERROR(__xludf.DUMMYFUNCTION("""COMPUTED_VALUE"""),"ELISIANNE DA COSTA FLORÊNCIO ALVES")</f>
        <v>ELISIANNE DA COSTA FLORÊNCIO ALVES</v>
      </c>
      <c r="C37" s="58" t="str">
        <f ca="1">IFERROR(__xludf.DUMMYFUNCTION("""COMPUTED_VALUE"""),"elisiannecosta@gmail.com")</f>
        <v>elisiannecosta@gmail.com</v>
      </c>
      <c r="D37" s="58" t="str">
        <f ca="1">IFERROR(__xludf.DUMMYFUNCTION("""COMPUTED_VALUE"""),"PERFIL FORMAÇÃO: EQUIPE LOCAL")</f>
        <v>PERFIL FORMAÇÃO: EQUIPE LOCAL</v>
      </c>
      <c r="E37" s="58" t="str">
        <f ca="1">IFERROR(__xludf.DUMMYFUNCTION("""COMPUTED_VALUE"""),"EQUIPE LOCAL")</f>
        <v>EQUIPE LOCAL</v>
      </c>
      <c r="F37" s="58" t="str">
        <f ca="1">IFERROR(__xludf.DUMMYFUNCTION("""COMPUTED_VALUE"""),"MAIO")</f>
        <v>MAIO</v>
      </c>
      <c r="G37" s="58">
        <f ca="1">IFERROR(__xludf.DUMMYFUNCTION("""COMPUTED_VALUE"""),2025)</f>
        <v>2025</v>
      </c>
      <c r="H37" s="58" t="str">
        <f ca="1">IFERROR(__xludf.DUMMYFUNCTION("""COMPUTED_VALUE"""),"FORMAÇÃO/2025.3")</f>
        <v>FORMAÇÃO/2025.3</v>
      </c>
      <c r="I37" s="58" t="str">
        <f ca="1">IFERROR(__xludf.DUMMYFUNCTION("""COMPUTED_VALUE"""),"ÚNICO")</f>
        <v>ÚNICO</v>
      </c>
      <c r="J37" s="58" t="str">
        <f ca="1">IFERROR(__xludf.DUMMYFUNCTION("""COMPUTED_VALUE"""),"004/2025")</f>
        <v>004/2025</v>
      </c>
      <c r="K37" s="58" t="str">
        <f ca="1">IFERROR(__xludf.DUMMYFUNCTION("""COMPUTED_VALUE"""),"05/05/2025")</f>
        <v>05/05/2025</v>
      </c>
      <c r="L37" s="58" t="str">
        <f ca="1">IFERROR(__xludf.DUMMYFUNCTION("""COMPUTED_VALUE"""),"16/05/2025")</f>
        <v>16/05/2025</v>
      </c>
      <c r="M37" s="58" t="str">
        <f ca="1">IFERROR(__xludf.DUMMYFUNCTION("""COMPUTED_VALUE"""),"110-902-362-491")</f>
        <v>110-902-362-491</v>
      </c>
      <c r="N37" s="58" t="str">
        <f ca="1">IFERROR(__xludf.DUMMYFUNCTION("""COMPUTED_VALUE"""),"APROVADO")</f>
        <v>APROVADO</v>
      </c>
      <c r="O37" s="58" t="str">
        <f ca="1">IFERROR(__xludf.DUMMYFUNCTION("""COMPUTED_VALUE"""),"NÃO")</f>
        <v>NÃO</v>
      </c>
      <c r="P37" s="58" t="str">
        <f ca="1">IFERROR(__xludf.DUMMYFUNCTION("""COMPUTED_VALUE"""),"NÃO")</f>
        <v>NÃO</v>
      </c>
      <c r="Q37" s="58"/>
      <c r="R37" s="58"/>
      <c r="S37" s="58"/>
      <c r="T37" s="58"/>
      <c r="U37" s="58"/>
      <c r="V37" s="58"/>
      <c r="W37" s="58"/>
      <c r="X37" s="59"/>
    </row>
    <row r="38" spans="1:24" ht="12.5" x14ac:dyDescent="0.25">
      <c r="A38" s="58" t="str">
        <f ca="1">IFERROR(__xludf.DUMMYFUNCTION("""COMPUTED_VALUE"""),"107.276.104-14")</f>
        <v>107.276.104-14</v>
      </c>
      <c r="B38" s="58" t="str">
        <f ca="1">IFERROR(__xludf.DUMMYFUNCTION("""COMPUTED_VALUE"""),"REJANA SANTOS ARAÚJO AMORIM")</f>
        <v>REJANA SANTOS ARAÚJO AMORIM</v>
      </c>
      <c r="C38" s="58" t="str">
        <f ca="1">IFERROR(__xludf.DUMMYFUNCTION("""COMPUTED_VALUE"""),"adv.rejanaamorim@gmail.com")</f>
        <v>adv.rejanaamorim@gmail.com</v>
      </c>
      <c r="D38" s="58" t="str">
        <f ca="1">IFERROR(__xludf.DUMMYFUNCTION("""COMPUTED_VALUE"""),"PERFIL FORMAÇÃO: EQUIPE LOCAL")</f>
        <v>PERFIL FORMAÇÃO: EQUIPE LOCAL</v>
      </c>
      <c r="E38" s="58" t="str">
        <f ca="1">IFERROR(__xludf.DUMMYFUNCTION("""COMPUTED_VALUE"""),"EQUIPE LOCAL")</f>
        <v>EQUIPE LOCAL</v>
      </c>
      <c r="F38" s="58" t="str">
        <f ca="1">IFERROR(__xludf.DUMMYFUNCTION("""COMPUTED_VALUE"""),"MAIO")</f>
        <v>MAIO</v>
      </c>
      <c r="G38" s="58">
        <f ca="1">IFERROR(__xludf.DUMMYFUNCTION("""COMPUTED_VALUE"""),2025)</f>
        <v>2025</v>
      </c>
      <c r="H38" s="58" t="str">
        <f ca="1">IFERROR(__xludf.DUMMYFUNCTION("""COMPUTED_VALUE"""),"FORMAÇÃO/2025.3")</f>
        <v>FORMAÇÃO/2025.3</v>
      </c>
      <c r="I38" s="58" t="str">
        <f ca="1">IFERROR(__xludf.DUMMYFUNCTION("""COMPUTED_VALUE"""),"ÚNICO")</f>
        <v>ÚNICO</v>
      </c>
      <c r="J38" s="58" t="str">
        <f ca="1">IFERROR(__xludf.DUMMYFUNCTION("""COMPUTED_VALUE"""),"004/2025")</f>
        <v>004/2025</v>
      </c>
      <c r="K38" s="58" t="str">
        <f ca="1">IFERROR(__xludf.DUMMYFUNCTION("""COMPUTED_VALUE"""),"05/05/2025")</f>
        <v>05/05/2025</v>
      </c>
      <c r="L38" s="58" t="str">
        <f ca="1">IFERROR(__xludf.DUMMYFUNCTION("""COMPUTED_VALUE"""),"16/05/2025")</f>
        <v>16/05/2025</v>
      </c>
      <c r="M38" s="58" t="str">
        <f ca="1">IFERROR(__xludf.DUMMYFUNCTION("""COMPUTED_VALUE"""),"941-046-902-908")</f>
        <v>941-046-902-908</v>
      </c>
      <c r="N38" s="58" t="str">
        <f ca="1">IFERROR(__xludf.DUMMYFUNCTION("""COMPUTED_VALUE"""),"PENDENTE")</f>
        <v>PENDENTE</v>
      </c>
      <c r="O38" s="58" t="str">
        <f ca="1">IFERROR(__xludf.DUMMYFUNCTION("""COMPUTED_VALUE"""),"SIM")</f>
        <v>SIM</v>
      </c>
      <c r="P38" s="58" t="str">
        <f ca="1">IFERROR(__xludf.DUMMYFUNCTION("""COMPUTED_VALUE"""),"NÃO")</f>
        <v>NÃO</v>
      </c>
      <c r="Q38" s="58"/>
      <c r="R38" s="58"/>
      <c r="S38" s="58"/>
      <c r="T38" s="58"/>
      <c r="U38" s="58"/>
      <c r="V38" s="58"/>
      <c r="W38" s="58"/>
      <c r="X38" s="59"/>
    </row>
    <row r="39" spans="1:24" ht="12.5" x14ac:dyDescent="0.25">
      <c r="A39" s="58" t="str">
        <f ca="1">IFERROR(__xludf.DUMMYFUNCTION("""COMPUTED_VALUE"""),"094.202.504-07")</f>
        <v>094.202.504-07</v>
      </c>
      <c r="B39" s="58" t="str">
        <f ca="1">IFERROR(__xludf.DUMMYFUNCTION("""COMPUTED_VALUE"""),"PABLO HENRIQUE ALMEIDA DA SILVA")</f>
        <v>PABLO HENRIQUE ALMEIDA DA SILVA</v>
      </c>
      <c r="C39" s="58" t="str">
        <f ca="1">IFERROR(__xludf.DUMMYFUNCTION("""COMPUTED_VALUE"""),"psicologopablohenrique@gmail.com")</f>
        <v>psicologopablohenrique@gmail.com</v>
      </c>
      <c r="D39" s="58" t="str">
        <f ca="1">IFERROR(__xludf.DUMMYFUNCTION("""COMPUTED_VALUE"""),"PERFIL FORMAÇÃO: EQUIPE LOCAL")</f>
        <v>PERFIL FORMAÇÃO: EQUIPE LOCAL</v>
      </c>
      <c r="E39" s="58" t="str">
        <f ca="1">IFERROR(__xludf.DUMMYFUNCTION("""COMPUTED_VALUE"""),"EQUIPE LOCAL")</f>
        <v>EQUIPE LOCAL</v>
      </c>
      <c r="F39" s="58" t="str">
        <f ca="1">IFERROR(__xludf.DUMMYFUNCTION("""COMPUTED_VALUE"""),"MAIO")</f>
        <v>MAIO</v>
      </c>
      <c r="G39" s="58">
        <f ca="1">IFERROR(__xludf.DUMMYFUNCTION("""COMPUTED_VALUE"""),2025)</f>
        <v>2025</v>
      </c>
      <c r="H39" s="58" t="str">
        <f ca="1">IFERROR(__xludf.DUMMYFUNCTION("""COMPUTED_VALUE"""),"FORMAÇÃO/2025.3")</f>
        <v>FORMAÇÃO/2025.3</v>
      </c>
      <c r="I39" s="58" t="str">
        <f ca="1">IFERROR(__xludf.DUMMYFUNCTION("""COMPUTED_VALUE"""),"ÚNICO")</f>
        <v>ÚNICO</v>
      </c>
      <c r="J39" s="58" t="str">
        <f ca="1">IFERROR(__xludf.DUMMYFUNCTION("""COMPUTED_VALUE"""),"004/2025")</f>
        <v>004/2025</v>
      </c>
      <c r="K39" s="58" t="str">
        <f ca="1">IFERROR(__xludf.DUMMYFUNCTION("""COMPUTED_VALUE"""),"05/05/2025")</f>
        <v>05/05/2025</v>
      </c>
      <c r="L39" s="58" t="str">
        <f ca="1">IFERROR(__xludf.DUMMYFUNCTION("""COMPUTED_VALUE"""),"16/05/2025")</f>
        <v>16/05/2025</v>
      </c>
      <c r="M39" s="58" t="str">
        <f ca="1">IFERROR(__xludf.DUMMYFUNCTION("""COMPUTED_VALUE"""),"935-339-127-035")</f>
        <v>935-339-127-035</v>
      </c>
      <c r="N39" s="58" t="str">
        <f ca="1">IFERROR(__xludf.DUMMYFUNCTION("""COMPUTED_VALUE"""),"APROVADO")</f>
        <v>APROVADO</v>
      </c>
      <c r="O39" s="58" t="str">
        <f ca="1">IFERROR(__xludf.DUMMYFUNCTION("""COMPUTED_VALUE"""),"NÃO")</f>
        <v>NÃO</v>
      </c>
      <c r="P39" s="58" t="str">
        <f ca="1">IFERROR(__xludf.DUMMYFUNCTION("""COMPUTED_VALUE"""),"NÃO")</f>
        <v>NÃO</v>
      </c>
      <c r="Q39" s="58"/>
      <c r="R39" s="58"/>
      <c r="S39" s="58"/>
      <c r="T39" s="58"/>
      <c r="U39" s="58"/>
      <c r="V39" s="58"/>
      <c r="W39" s="58"/>
      <c r="X39" s="59"/>
    </row>
    <row r="40" spans="1:24" ht="12.5" x14ac:dyDescent="0.25">
      <c r="A40" s="58" t="str">
        <f ca="1">IFERROR(__xludf.DUMMYFUNCTION("""COMPUTED_VALUE"""),"001.286.744-66")</f>
        <v>001.286.744-66</v>
      </c>
      <c r="B40" s="58" t="str">
        <f ca="1">IFERROR(__xludf.DUMMYFUNCTION("""COMPUTED_VALUE"""),"MÁRCIO JOSÉ ALVES DE SOUSA")</f>
        <v>MÁRCIO JOSÉ ALVES DE SOUSA</v>
      </c>
      <c r="C40" s="58" t="str">
        <f ca="1">IFERROR(__xludf.DUMMYFUNCTION("""COMPUTED_VALUE"""),"marciojas1975@gmail.com")</f>
        <v>marciojas1975@gmail.com</v>
      </c>
      <c r="D40" s="58" t="str">
        <f ca="1">IFERROR(__xludf.DUMMYFUNCTION("""COMPUTED_VALUE"""),"PERFIL FORMAÇÃO: EQUIPE LOCAL")</f>
        <v>PERFIL FORMAÇÃO: EQUIPE LOCAL</v>
      </c>
      <c r="E40" s="58" t="str">
        <f ca="1">IFERROR(__xludf.DUMMYFUNCTION("""COMPUTED_VALUE"""),"EQUIPE LOCAL")</f>
        <v>EQUIPE LOCAL</v>
      </c>
      <c r="F40" s="58" t="str">
        <f ca="1">IFERROR(__xludf.DUMMYFUNCTION("""COMPUTED_VALUE"""),"MAIO")</f>
        <v>MAIO</v>
      </c>
      <c r="G40" s="58">
        <f ca="1">IFERROR(__xludf.DUMMYFUNCTION("""COMPUTED_VALUE"""),2025)</f>
        <v>2025</v>
      </c>
      <c r="H40" s="58" t="str">
        <f ca="1">IFERROR(__xludf.DUMMYFUNCTION("""COMPUTED_VALUE"""),"FORMAÇÃO/2025.3")</f>
        <v>FORMAÇÃO/2025.3</v>
      </c>
      <c r="I40" s="58" t="str">
        <f ca="1">IFERROR(__xludf.DUMMYFUNCTION("""COMPUTED_VALUE"""),"ÚNICO")</f>
        <v>ÚNICO</v>
      </c>
      <c r="J40" s="58" t="str">
        <f ca="1">IFERROR(__xludf.DUMMYFUNCTION("""COMPUTED_VALUE"""),"004/2025")</f>
        <v>004/2025</v>
      </c>
      <c r="K40" s="58" t="str">
        <f ca="1">IFERROR(__xludf.DUMMYFUNCTION("""COMPUTED_VALUE"""),"05/05/2025")</f>
        <v>05/05/2025</v>
      </c>
      <c r="L40" s="58" t="str">
        <f ca="1">IFERROR(__xludf.DUMMYFUNCTION("""COMPUTED_VALUE"""),"16/05/2025")</f>
        <v>16/05/2025</v>
      </c>
      <c r="M40" s="58" t="str">
        <f ca="1">IFERROR(__xludf.DUMMYFUNCTION("""COMPUTED_VALUE"""),"877-238-045-810")</f>
        <v>877-238-045-810</v>
      </c>
      <c r="N40" s="58" t="str">
        <f ca="1">IFERROR(__xludf.DUMMYFUNCTION("""COMPUTED_VALUE"""),"APROVADO")</f>
        <v>APROVADO</v>
      </c>
      <c r="O40" s="58" t="str">
        <f ca="1">IFERROR(__xludf.DUMMYFUNCTION("""COMPUTED_VALUE"""),"NÃO")</f>
        <v>NÃO</v>
      </c>
      <c r="P40" s="58" t="str">
        <f ca="1">IFERROR(__xludf.DUMMYFUNCTION("""COMPUTED_VALUE"""),"NÃO")</f>
        <v>NÃO</v>
      </c>
      <c r="Q40" s="58"/>
      <c r="R40" s="58"/>
      <c r="S40" s="58"/>
      <c r="T40" s="58"/>
      <c r="U40" s="58"/>
      <c r="V40" s="58"/>
      <c r="W40" s="58"/>
      <c r="X40" s="59"/>
    </row>
    <row r="41" spans="1:24" ht="12.5" x14ac:dyDescent="0.25">
      <c r="A41" s="58" t="str">
        <f ca="1">IFERROR(__xludf.DUMMYFUNCTION("""COMPUTED_VALUE"""),"034.007.064-18")</f>
        <v>034.007.064-18</v>
      </c>
      <c r="B41" s="58" t="str">
        <f ca="1">IFERROR(__xludf.DUMMYFUNCTION("""COMPUTED_VALUE"""),"LIGIA DE ARAUJO MENEZES NAVARRO")</f>
        <v>LIGIA DE ARAUJO MENEZES NAVARRO</v>
      </c>
      <c r="C41" s="58" t="str">
        <f ca="1">IFERROR(__xludf.DUMMYFUNCTION("""COMPUTED_VALUE"""),"ligia.menezes02@gmail.com")</f>
        <v>ligia.menezes02@gmail.com</v>
      </c>
      <c r="D41" s="58" t="str">
        <f ca="1">IFERROR(__xludf.DUMMYFUNCTION("""COMPUTED_VALUE"""),"PERFIL FORMAÇÃO: EQUIPE LOCAL")</f>
        <v>PERFIL FORMAÇÃO: EQUIPE LOCAL</v>
      </c>
      <c r="E41" s="58" t="str">
        <f ca="1">IFERROR(__xludf.DUMMYFUNCTION("""COMPUTED_VALUE"""),"EQUIPE LOCAL")</f>
        <v>EQUIPE LOCAL</v>
      </c>
      <c r="F41" s="58" t="str">
        <f ca="1">IFERROR(__xludf.DUMMYFUNCTION("""COMPUTED_VALUE"""),"MAIO")</f>
        <v>MAIO</v>
      </c>
      <c r="G41" s="58">
        <f ca="1">IFERROR(__xludf.DUMMYFUNCTION("""COMPUTED_VALUE"""),2025)</f>
        <v>2025</v>
      </c>
      <c r="H41" s="58" t="str">
        <f ca="1">IFERROR(__xludf.DUMMYFUNCTION("""COMPUTED_VALUE"""),"FORMAÇÃO/2025.3")</f>
        <v>FORMAÇÃO/2025.3</v>
      </c>
      <c r="I41" s="58" t="str">
        <f ca="1">IFERROR(__xludf.DUMMYFUNCTION("""COMPUTED_VALUE"""),"ÚNICO")</f>
        <v>ÚNICO</v>
      </c>
      <c r="J41" s="58" t="str">
        <f ca="1">IFERROR(__xludf.DUMMYFUNCTION("""COMPUTED_VALUE"""),"004/2025")</f>
        <v>004/2025</v>
      </c>
      <c r="K41" s="58" t="str">
        <f ca="1">IFERROR(__xludf.DUMMYFUNCTION("""COMPUTED_VALUE"""),"05/05/2025")</f>
        <v>05/05/2025</v>
      </c>
      <c r="L41" s="58" t="str">
        <f ca="1">IFERROR(__xludf.DUMMYFUNCTION("""COMPUTED_VALUE"""),"16/05/2025")</f>
        <v>16/05/2025</v>
      </c>
      <c r="M41" s="58" t="str">
        <f ca="1">IFERROR(__xludf.DUMMYFUNCTION("""COMPUTED_VALUE"""),"341-841-349-972")</f>
        <v>341-841-349-972</v>
      </c>
      <c r="N41" s="58" t="str">
        <f ca="1">IFERROR(__xludf.DUMMYFUNCTION("""COMPUTED_VALUE"""),"APROVADO")</f>
        <v>APROVADO</v>
      </c>
      <c r="O41" s="58" t="str">
        <f ca="1">IFERROR(__xludf.DUMMYFUNCTION("""COMPUTED_VALUE"""),"NÃO")</f>
        <v>NÃO</v>
      </c>
      <c r="P41" s="58" t="str">
        <f ca="1">IFERROR(__xludf.DUMMYFUNCTION("""COMPUTED_VALUE"""),"NÃO")</f>
        <v>NÃO</v>
      </c>
      <c r="Q41" s="58"/>
      <c r="R41" s="58"/>
      <c r="S41" s="58"/>
      <c r="T41" s="58"/>
      <c r="U41" s="58"/>
      <c r="V41" s="58"/>
      <c r="W41" s="58"/>
      <c r="X41" s="59"/>
    </row>
    <row r="42" spans="1:24" ht="12.5" x14ac:dyDescent="0.25">
      <c r="A42" s="58" t="str">
        <f ca="1">IFERROR(__xludf.DUMMYFUNCTION("""COMPUTED_VALUE"""),"100.879.724-33")</f>
        <v>100.879.724-33</v>
      </c>
      <c r="B42" s="58" t="str">
        <f ca="1">IFERROR(__xludf.DUMMYFUNCTION("""COMPUTED_VALUE"""),"FELIPE LOURENÇO DE SOUSA")</f>
        <v>FELIPE LOURENÇO DE SOUSA</v>
      </c>
      <c r="C42" s="58" t="str">
        <f ca="1">IFERROR(__xludf.DUMMYFUNCTION("""COMPUTED_VALUE"""),"felipedeviola@gmail.com")</f>
        <v>felipedeviola@gmail.com</v>
      </c>
      <c r="D42" s="58" t="str">
        <f ca="1">IFERROR(__xludf.DUMMYFUNCTION("""COMPUTED_VALUE"""),"PERFIL FORMAÇÃO: PROFESSORES")</f>
        <v>PERFIL FORMAÇÃO: PROFESSORES</v>
      </c>
      <c r="E42" s="58" t="str">
        <f ca="1">IFERROR(__xludf.DUMMYFUNCTION("""COMPUTED_VALUE"""),"PROFESSORES")</f>
        <v>PROFESSORES</v>
      </c>
      <c r="F42" s="58" t="str">
        <f ca="1">IFERROR(__xludf.DUMMYFUNCTION("""COMPUTED_VALUE"""),"MAIO")</f>
        <v>MAIO</v>
      </c>
      <c r="G42" s="58">
        <f ca="1">IFERROR(__xludf.DUMMYFUNCTION("""COMPUTED_VALUE"""),2025)</f>
        <v>2025</v>
      </c>
      <c r="H42" s="58" t="str">
        <f ca="1">IFERROR(__xludf.DUMMYFUNCTION("""COMPUTED_VALUE"""),"FORMAÇÃO/2025.3")</f>
        <v>FORMAÇÃO/2025.3</v>
      </c>
      <c r="I42" s="58" t="str">
        <f ca="1">IFERROR(__xludf.DUMMYFUNCTION("""COMPUTED_VALUE"""),"ÚNICO")</f>
        <v>ÚNICO</v>
      </c>
      <c r="J42" s="58" t="str">
        <f ca="1">IFERROR(__xludf.DUMMYFUNCTION("""COMPUTED_VALUE"""),"004/2025")</f>
        <v>004/2025</v>
      </c>
      <c r="K42" s="58" t="str">
        <f ca="1">IFERROR(__xludf.DUMMYFUNCTION("""COMPUTED_VALUE"""),"05/05/2025")</f>
        <v>05/05/2025</v>
      </c>
      <c r="L42" s="58" t="str">
        <f ca="1">IFERROR(__xludf.DUMMYFUNCTION("""COMPUTED_VALUE"""),"16/05/2025")</f>
        <v>16/05/2025</v>
      </c>
      <c r="M42" s="58" t="str">
        <f ca="1">IFERROR(__xludf.DUMMYFUNCTION("""COMPUTED_VALUE"""),"070-923-419-442")</f>
        <v>070-923-419-442</v>
      </c>
      <c r="N42" s="58" t="str">
        <f ca="1">IFERROR(__xludf.DUMMYFUNCTION("""COMPUTED_VALUE"""),"APROVADO")</f>
        <v>APROVADO</v>
      </c>
      <c r="O42" s="58" t="str">
        <f ca="1">IFERROR(__xludf.DUMMYFUNCTION("""COMPUTED_VALUE"""),"NÃO")</f>
        <v>NÃO</v>
      </c>
      <c r="P42" s="58" t="str">
        <f ca="1">IFERROR(__xludf.DUMMYFUNCTION("""COMPUTED_VALUE"""),"NÃO")</f>
        <v>NÃO</v>
      </c>
      <c r="Q42" s="58"/>
      <c r="R42" s="58"/>
      <c r="S42" s="58"/>
      <c r="T42" s="58"/>
      <c r="U42" s="58"/>
      <c r="V42" s="58"/>
      <c r="W42" s="58"/>
      <c r="X42" s="59"/>
    </row>
    <row r="43" spans="1:24" ht="12.5" x14ac:dyDescent="0.25">
      <c r="A43" s="58" t="str">
        <f ca="1">IFERROR(__xludf.DUMMYFUNCTION("""COMPUTED_VALUE"""),"027.930.564-80")</f>
        <v>027.930.564-80</v>
      </c>
      <c r="B43" s="58" t="str">
        <f ca="1">IFERROR(__xludf.DUMMYFUNCTION("""COMPUTED_VALUE"""),"RENILDO LÚCIO DE MORAES")</f>
        <v>RENILDO LÚCIO DE MORAES</v>
      </c>
      <c r="C43" s="58" t="str">
        <f ca="1">IFERROR(__xludf.DUMMYFUNCTION("""COMPUTED_VALUE"""),"renildolmoraes@gmail.com")</f>
        <v>renildolmoraes@gmail.com</v>
      </c>
      <c r="D43" s="58" t="str">
        <f ca="1">IFERROR(__xludf.DUMMYFUNCTION("""COMPUTED_VALUE"""),"PERFIL FORMAÇÃO: EQUIPE LOCAL")</f>
        <v>PERFIL FORMAÇÃO: EQUIPE LOCAL</v>
      </c>
      <c r="E43" s="58" t="str">
        <f ca="1">IFERROR(__xludf.DUMMYFUNCTION("""COMPUTED_VALUE"""),"EQUIPE LOCAL")</f>
        <v>EQUIPE LOCAL</v>
      </c>
      <c r="F43" s="58" t="str">
        <f ca="1">IFERROR(__xludf.DUMMYFUNCTION("""COMPUTED_VALUE"""),"MAIO")</f>
        <v>MAIO</v>
      </c>
      <c r="G43" s="58">
        <f ca="1">IFERROR(__xludf.DUMMYFUNCTION("""COMPUTED_VALUE"""),2025)</f>
        <v>2025</v>
      </c>
      <c r="H43" s="58" t="str">
        <f ca="1">IFERROR(__xludf.DUMMYFUNCTION("""COMPUTED_VALUE"""),"FORMAÇÃO/2025.3")</f>
        <v>FORMAÇÃO/2025.3</v>
      </c>
      <c r="I43" s="58" t="str">
        <f ca="1">IFERROR(__xludf.DUMMYFUNCTION("""COMPUTED_VALUE"""),"ÚNICO")</f>
        <v>ÚNICO</v>
      </c>
      <c r="J43" s="58" t="str">
        <f ca="1">IFERROR(__xludf.DUMMYFUNCTION("""COMPUTED_VALUE"""),"004/2025")</f>
        <v>004/2025</v>
      </c>
      <c r="K43" s="58" t="str">
        <f ca="1">IFERROR(__xludf.DUMMYFUNCTION("""COMPUTED_VALUE"""),"05/05/2025")</f>
        <v>05/05/2025</v>
      </c>
      <c r="L43" s="58" t="str">
        <f ca="1">IFERROR(__xludf.DUMMYFUNCTION("""COMPUTED_VALUE"""),"16/05/2025")</f>
        <v>16/05/2025</v>
      </c>
      <c r="M43" s="58" t="str">
        <f ca="1">IFERROR(__xludf.DUMMYFUNCTION("""COMPUTED_VALUE"""),"688-754-688-712")</f>
        <v>688-754-688-712</v>
      </c>
      <c r="N43" s="58" t="str">
        <f ca="1">IFERROR(__xludf.DUMMYFUNCTION("""COMPUTED_VALUE"""),"APROVADO")</f>
        <v>APROVADO</v>
      </c>
      <c r="O43" s="58" t="str">
        <f ca="1">IFERROR(__xludf.DUMMYFUNCTION("""COMPUTED_VALUE"""),"NÃO")</f>
        <v>NÃO</v>
      </c>
      <c r="P43" s="58" t="str">
        <f ca="1">IFERROR(__xludf.DUMMYFUNCTION("""COMPUTED_VALUE"""),"NÃO")</f>
        <v>NÃO</v>
      </c>
      <c r="Q43" s="58"/>
      <c r="R43" s="58"/>
      <c r="S43" s="58"/>
      <c r="T43" s="58"/>
      <c r="U43" s="58"/>
      <c r="V43" s="58"/>
      <c r="W43" s="58"/>
      <c r="X43" s="59"/>
    </row>
    <row r="44" spans="1:24" ht="12.5" x14ac:dyDescent="0.25">
      <c r="A44" s="58" t="str">
        <f ca="1">IFERROR(__xludf.DUMMYFUNCTION("""COMPUTED_VALUE"""),"071.531.824-11")</f>
        <v>071.531.824-11</v>
      </c>
      <c r="B44" s="58" t="str">
        <f ca="1">IFERROR(__xludf.DUMMYFUNCTION("""COMPUTED_VALUE"""),"PALOMA LEITE DA SILVA")</f>
        <v>PALOMA LEITE DA SILVA</v>
      </c>
      <c r="C44" s="58" t="str">
        <f ca="1">IFERROR(__xludf.DUMMYFUNCTION("""COMPUTED_VALUE"""),"palomaleite6@gmail.com")</f>
        <v>palomaleite6@gmail.com</v>
      </c>
      <c r="D44" s="58" t="str">
        <f ca="1">IFERROR(__xludf.DUMMYFUNCTION("""COMPUTED_VALUE"""),"PERFIL FORMAÇÃO: PROFESSORES")</f>
        <v>PERFIL FORMAÇÃO: PROFESSORES</v>
      </c>
      <c r="E44" s="58" t="str">
        <f ca="1">IFERROR(__xludf.DUMMYFUNCTION("""COMPUTED_VALUE"""),"PROFESSORES")</f>
        <v>PROFESSORES</v>
      </c>
      <c r="F44" s="58" t="str">
        <f ca="1">IFERROR(__xludf.DUMMYFUNCTION("""COMPUTED_VALUE"""),"MAIO")</f>
        <v>MAIO</v>
      </c>
      <c r="G44" s="58">
        <f ca="1">IFERROR(__xludf.DUMMYFUNCTION("""COMPUTED_VALUE"""),2025)</f>
        <v>2025</v>
      </c>
      <c r="H44" s="58" t="str">
        <f ca="1">IFERROR(__xludf.DUMMYFUNCTION("""COMPUTED_VALUE"""),"FORMAÇÃO/2025.3")</f>
        <v>FORMAÇÃO/2025.3</v>
      </c>
      <c r="I44" s="58" t="str">
        <f ca="1">IFERROR(__xludf.DUMMYFUNCTION("""COMPUTED_VALUE"""),"ÚNICO")</f>
        <v>ÚNICO</v>
      </c>
      <c r="J44" s="58" t="str">
        <f ca="1">IFERROR(__xludf.DUMMYFUNCTION("""COMPUTED_VALUE"""),"004/2025")</f>
        <v>004/2025</v>
      </c>
      <c r="K44" s="58" t="str">
        <f ca="1">IFERROR(__xludf.DUMMYFUNCTION("""COMPUTED_VALUE"""),"05/05/2025")</f>
        <v>05/05/2025</v>
      </c>
      <c r="L44" s="58" t="str">
        <f ca="1">IFERROR(__xludf.DUMMYFUNCTION("""COMPUTED_VALUE"""),"16/05/2025")</f>
        <v>16/05/2025</v>
      </c>
      <c r="M44" s="58" t="str">
        <f ca="1">IFERROR(__xludf.DUMMYFUNCTION("""COMPUTED_VALUE"""),"734-615-580-135")</f>
        <v>734-615-580-135</v>
      </c>
      <c r="N44" s="58" t="str">
        <f ca="1">IFERROR(__xludf.DUMMYFUNCTION("""COMPUTED_VALUE"""),"PENDENTE")</f>
        <v>PENDENTE</v>
      </c>
      <c r="O44" s="58" t="str">
        <f ca="1">IFERROR(__xludf.DUMMYFUNCTION("""COMPUTED_VALUE"""),"NÃO")</f>
        <v>NÃO</v>
      </c>
      <c r="P44" s="58" t="str">
        <f ca="1">IFERROR(__xludf.DUMMYFUNCTION("""COMPUTED_VALUE"""),"NÃO")</f>
        <v>NÃO</v>
      </c>
      <c r="Q44" s="58"/>
      <c r="R44" s="58"/>
      <c r="S44" s="58"/>
      <c r="T44" s="58"/>
      <c r="U44" s="58"/>
      <c r="V44" s="58"/>
      <c r="W44" s="58"/>
      <c r="X44" s="59"/>
    </row>
    <row r="45" spans="1:24" ht="12.5" x14ac:dyDescent="0.25">
      <c r="A45" s="58" t="str">
        <f ca="1">IFERROR(__xludf.DUMMYFUNCTION("""COMPUTED_VALUE"""),"069.888.954-18")</f>
        <v>069.888.954-18</v>
      </c>
      <c r="B45" s="58" t="str">
        <f ca="1">IFERROR(__xludf.DUMMYFUNCTION("""COMPUTED_VALUE"""),"THALES FABRICIO DA COSTA E SILVA")</f>
        <v>THALES FABRICIO DA COSTA E SILVA</v>
      </c>
      <c r="C45" s="58" t="str">
        <f ca="1">IFERROR(__xludf.DUMMYFUNCTION("""COMPUTED_VALUE"""),"thalespsic@gmail.com")</f>
        <v>thalespsic@gmail.com</v>
      </c>
      <c r="D45" s="58" t="str">
        <f ca="1">IFERROR(__xludf.DUMMYFUNCTION("""COMPUTED_VALUE"""),"PERFIL FORMAÇÃO: EQUIPE LOCAL")</f>
        <v>PERFIL FORMAÇÃO: EQUIPE LOCAL</v>
      </c>
      <c r="E45" s="58" t="str">
        <f ca="1">IFERROR(__xludf.DUMMYFUNCTION("""COMPUTED_VALUE"""),"EQUIPE LOCAL")</f>
        <v>EQUIPE LOCAL</v>
      </c>
      <c r="F45" s="58" t="str">
        <f ca="1">IFERROR(__xludf.DUMMYFUNCTION("""COMPUTED_VALUE"""),"MAIO")</f>
        <v>MAIO</v>
      </c>
      <c r="G45" s="58">
        <f ca="1">IFERROR(__xludf.DUMMYFUNCTION("""COMPUTED_VALUE"""),2025)</f>
        <v>2025</v>
      </c>
      <c r="H45" s="58" t="str">
        <f ca="1">IFERROR(__xludf.DUMMYFUNCTION("""COMPUTED_VALUE"""),"FORMAÇÃO/2025.3")</f>
        <v>FORMAÇÃO/2025.3</v>
      </c>
      <c r="I45" s="58" t="str">
        <f ca="1">IFERROR(__xludf.DUMMYFUNCTION("""COMPUTED_VALUE"""),"ÚNICO")</f>
        <v>ÚNICO</v>
      </c>
      <c r="J45" s="58" t="str">
        <f ca="1">IFERROR(__xludf.DUMMYFUNCTION("""COMPUTED_VALUE"""),"004/2025")</f>
        <v>004/2025</v>
      </c>
      <c r="K45" s="58" t="str">
        <f ca="1">IFERROR(__xludf.DUMMYFUNCTION("""COMPUTED_VALUE"""),"05/05/2025")</f>
        <v>05/05/2025</v>
      </c>
      <c r="L45" s="58" t="str">
        <f ca="1">IFERROR(__xludf.DUMMYFUNCTION("""COMPUTED_VALUE"""),"16/05/2025")</f>
        <v>16/05/2025</v>
      </c>
      <c r="M45" s="58" t="str">
        <f ca="1">IFERROR(__xludf.DUMMYFUNCTION("""COMPUTED_VALUE"""),"839-762-944-832")</f>
        <v>839-762-944-832</v>
      </c>
      <c r="N45" s="58" t="str">
        <f ca="1">IFERROR(__xludf.DUMMYFUNCTION("""COMPUTED_VALUE"""),"PENDENTE")</f>
        <v>PENDENTE</v>
      </c>
      <c r="O45" s="58" t="str">
        <f ca="1">IFERROR(__xludf.DUMMYFUNCTION("""COMPUTED_VALUE"""),"NÃO")</f>
        <v>NÃO</v>
      </c>
      <c r="P45" s="58" t="str">
        <f ca="1">IFERROR(__xludf.DUMMYFUNCTION("""COMPUTED_VALUE"""),"NÃO")</f>
        <v>NÃO</v>
      </c>
      <c r="Q45" s="58"/>
      <c r="R45" s="58"/>
      <c r="S45" s="58"/>
      <c r="T45" s="58"/>
      <c r="U45" s="58"/>
      <c r="V45" s="58"/>
      <c r="W45" s="58"/>
      <c r="X45" s="59"/>
    </row>
    <row r="46" spans="1:24" ht="12.5" x14ac:dyDescent="0.25">
      <c r="A46" s="58" t="str">
        <f ca="1">IFERROR(__xludf.DUMMYFUNCTION("""COMPUTED_VALUE"""),"115.148.204-80")</f>
        <v>115.148.204-80</v>
      </c>
      <c r="B46" s="58" t="str">
        <f ca="1">IFERROR(__xludf.DUMMYFUNCTION("""COMPUTED_VALUE"""),"MARIA SUELI FIDELIS DOS SANTOS")</f>
        <v>MARIA SUELI FIDELIS DOS SANTOS</v>
      </c>
      <c r="C46" s="58" t="str">
        <f ca="1">IFERROR(__xludf.DUMMYFUNCTION("""COMPUTED_VALUE"""),"mariasueli300406@gmail.com")</f>
        <v>mariasueli300406@gmail.com</v>
      </c>
      <c r="D46" s="58" t="str">
        <f ca="1">IFERROR(__xludf.DUMMYFUNCTION("""COMPUTED_VALUE"""),"PERFIL FORMAÇÃO: EQUIPE LOCAL")</f>
        <v>PERFIL FORMAÇÃO: EQUIPE LOCAL</v>
      </c>
      <c r="E46" s="58" t="str">
        <f ca="1">IFERROR(__xludf.DUMMYFUNCTION("""COMPUTED_VALUE"""),"EQUIPE LOCAL")</f>
        <v>EQUIPE LOCAL</v>
      </c>
      <c r="F46" s="58" t="str">
        <f ca="1">IFERROR(__xludf.DUMMYFUNCTION("""COMPUTED_VALUE"""),"MAIO")</f>
        <v>MAIO</v>
      </c>
      <c r="G46" s="58">
        <f ca="1">IFERROR(__xludf.DUMMYFUNCTION("""COMPUTED_VALUE"""),2025)</f>
        <v>2025</v>
      </c>
      <c r="H46" s="58" t="str">
        <f ca="1">IFERROR(__xludf.DUMMYFUNCTION("""COMPUTED_VALUE"""),"FORMAÇÃO/2025.3")</f>
        <v>FORMAÇÃO/2025.3</v>
      </c>
      <c r="I46" s="58" t="str">
        <f ca="1">IFERROR(__xludf.DUMMYFUNCTION("""COMPUTED_VALUE"""),"ÚNICO")</f>
        <v>ÚNICO</v>
      </c>
      <c r="J46" s="58" t="str">
        <f ca="1">IFERROR(__xludf.DUMMYFUNCTION("""COMPUTED_VALUE"""),"004/2025")</f>
        <v>004/2025</v>
      </c>
      <c r="K46" s="58" t="str">
        <f ca="1">IFERROR(__xludf.DUMMYFUNCTION("""COMPUTED_VALUE"""),"05/05/2025")</f>
        <v>05/05/2025</v>
      </c>
      <c r="L46" s="58" t="str">
        <f ca="1">IFERROR(__xludf.DUMMYFUNCTION("""COMPUTED_VALUE"""),"16/05/2025")</f>
        <v>16/05/2025</v>
      </c>
      <c r="M46" s="58" t="str">
        <f ca="1">IFERROR(__xludf.DUMMYFUNCTION("""COMPUTED_VALUE"""),"289-380-574-291")</f>
        <v>289-380-574-291</v>
      </c>
      <c r="N46" s="58" t="str">
        <f ca="1">IFERROR(__xludf.DUMMYFUNCTION("""COMPUTED_VALUE"""),"PENDENTE")</f>
        <v>PENDENTE</v>
      </c>
      <c r="O46" s="58" t="str">
        <f ca="1">IFERROR(__xludf.DUMMYFUNCTION("""COMPUTED_VALUE"""),"NÃO")</f>
        <v>NÃO</v>
      </c>
      <c r="P46" s="58" t="str">
        <f ca="1">IFERROR(__xludf.DUMMYFUNCTION("""COMPUTED_VALUE"""),"NÃO")</f>
        <v>NÃO</v>
      </c>
      <c r="Q46" s="58"/>
      <c r="R46" s="58"/>
      <c r="S46" s="58"/>
      <c r="T46" s="58"/>
      <c r="U46" s="58"/>
      <c r="V46" s="58"/>
      <c r="W46" s="58"/>
      <c r="X46" s="59"/>
    </row>
    <row r="47" spans="1:24" ht="12.5" x14ac:dyDescent="0.25">
      <c r="A47" s="58" t="str">
        <f ca="1">IFERROR(__xludf.DUMMYFUNCTION("""COMPUTED_VALUE"""),"068.885.734-51")</f>
        <v>068.885.734-51</v>
      </c>
      <c r="B47" s="58" t="str">
        <f ca="1">IFERROR(__xludf.DUMMYFUNCTION("""COMPUTED_VALUE"""),"ANDRÉIA SANTOS DE LIMA")</f>
        <v>ANDRÉIA SANTOS DE LIMA</v>
      </c>
      <c r="C47" s="58" t="str">
        <f ca="1">IFERROR(__xludf.DUMMYFUNCTION("""COMPUTED_VALUE"""),"prof.andreiasantosagro@gmail.com")</f>
        <v>prof.andreiasantosagro@gmail.com</v>
      </c>
      <c r="D47" s="58" t="str">
        <f ca="1">IFERROR(__xludf.DUMMYFUNCTION("""COMPUTED_VALUE"""),"PERFIL FORMAÇÃO: PROFESSORES")</f>
        <v>PERFIL FORMAÇÃO: PROFESSORES</v>
      </c>
      <c r="E47" s="58" t="str">
        <f ca="1">IFERROR(__xludf.DUMMYFUNCTION("""COMPUTED_VALUE"""),"PROFESSORES")</f>
        <v>PROFESSORES</v>
      </c>
      <c r="F47" s="58" t="str">
        <f ca="1">IFERROR(__xludf.DUMMYFUNCTION("""COMPUTED_VALUE"""),"MAIO")</f>
        <v>MAIO</v>
      </c>
      <c r="G47" s="58">
        <f ca="1">IFERROR(__xludf.DUMMYFUNCTION("""COMPUTED_VALUE"""),2025)</f>
        <v>2025</v>
      </c>
      <c r="H47" s="58" t="str">
        <f ca="1">IFERROR(__xludf.DUMMYFUNCTION("""COMPUTED_VALUE"""),"FORMAÇÃO/2025.3")</f>
        <v>FORMAÇÃO/2025.3</v>
      </c>
      <c r="I47" s="58" t="str">
        <f ca="1">IFERROR(__xludf.DUMMYFUNCTION("""COMPUTED_VALUE"""),"ÚNICO")</f>
        <v>ÚNICO</v>
      </c>
      <c r="J47" s="58" t="str">
        <f ca="1">IFERROR(__xludf.DUMMYFUNCTION("""COMPUTED_VALUE"""),"004/2025")</f>
        <v>004/2025</v>
      </c>
      <c r="K47" s="58" t="str">
        <f ca="1">IFERROR(__xludf.DUMMYFUNCTION("""COMPUTED_VALUE"""),"05/05/2025")</f>
        <v>05/05/2025</v>
      </c>
      <c r="L47" s="58" t="str">
        <f ca="1">IFERROR(__xludf.DUMMYFUNCTION("""COMPUTED_VALUE"""),"16/05/2025")</f>
        <v>16/05/2025</v>
      </c>
      <c r="M47" s="58"/>
      <c r="N47" s="58" t="str">
        <f ca="1">IFERROR(__xludf.DUMMYFUNCTION("""COMPUTED_VALUE"""),"PENDENTE")</f>
        <v>PENDENTE</v>
      </c>
      <c r="O47" s="58" t="str">
        <f ca="1">IFERROR(__xludf.DUMMYFUNCTION("""COMPUTED_VALUE"""),"NÃO")</f>
        <v>NÃO</v>
      </c>
      <c r="P47" s="58" t="str">
        <f ca="1">IFERROR(__xludf.DUMMYFUNCTION("""COMPUTED_VALUE"""),"NÃO")</f>
        <v>NÃO</v>
      </c>
      <c r="Q47" s="58"/>
      <c r="R47" s="58"/>
      <c r="S47" s="58"/>
      <c r="T47" s="58"/>
      <c r="U47" s="58"/>
      <c r="V47" s="58"/>
      <c r="W47" s="58"/>
      <c r="X47" s="59"/>
    </row>
    <row r="48" spans="1:24" ht="12.5" x14ac:dyDescent="0.25">
      <c r="A48" s="58" t="str">
        <f ca="1">IFERROR(__xludf.DUMMYFUNCTION("""COMPUTED_VALUE"""),"013.240.214-97")</f>
        <v>013.240.214-97</v>
      </c>
      <c r="B48" s="58" t="str">
        <f ca="1">IFERROR(__xludf.DUMMYFUNCTION("""COMPUTED_VALUE"""),"GIOVANNA BARROCA DE MOURA")</f>
        <v>GIOVANNA BARROCA DE MOURA</v>
      </c>
      <c r="C48" s="58" t="str">
        <f ca="1">IFERROR(__xludf.DUMMYFUNCTION("""COMPUTED_VALUE"""),"giovannabarroca@gmail.com")</f>
        <v>giovannabarroca@gmail.com</v>
      </c>
      <c r="D48" s="58" t="str">
        <f ca="1">IFERROR(__xludf.DUMMYFUNCTION("""COMPUTED_VALUE"""),"PERFIL FORMAÇÃO: EQUIPE LOCAL")</f>
        <v>PERFIL FORMAÇÃO: EQUIPE LOCAL</v>
      </c>
      <c r="E48" s="58" t="str">
        <f ca="1">IFERROR(__xludf.DUMMYFUNCTION("""COMPUTED_VALUE"""),"EQUIPE LOCAL")</f>
        <v>EQUIPE LOCAL</v>
      </c>
      <c r="F48" s="58" t="str">
        <f ca="1">IFERROR(__xludf.DUMMYFUNCTION("""COMPUTED_VALUE"""),"MAIO")</f>
        <v>MAIO</v>
      </c>
      <c r="G48" s="58">
        <f ca="1">IFERROR(__xludf.DUMMYFUNCTION("""COMPUTED_VALUE"""),2025)</f>
        <v>2025</v>
      </c>
      <c r="H48" s="58" t="str">
        <f ca="1">IFERROR(__xludf.DUMMYFUNCTION("""COMPUTED_VALUE"""),"FORMAÇÃO/2025.3")</f>
        <v>FORMAÇÃO/2025.3</v>
      </c>
      <c r="I48" s="58" t="str">
        <f ca="1">IFERROR(__xludf.DUMMYFUNCTION("""COMPUTED_VALUE"""),"ÚNICO")</f>
        <v>ÚNICO</v>
      </c>
      <c r="J48" s="58" t="str">
        <f ca="1">IFERROR(__xludf.DUMMYFUNCTION("""COMPUTED_VALUE"""),"004/2025")</f>
        <v>004/2025</v>
      </c>
      <c r="K48" s="58" t="str">
        <f ca="1">IFERROR(__xludf.DUMMYFUNCTION("""COMPUTED_VALUE"""),"05/05/2025")</f>
        <v>05/05/2025</v>
      </c>
      <c r="L48" s="58" t="str">
        <f ca="1">IFERROR(__xludf.DUMMYFUNCTION("""COMPUTED_VALUE"""),"16/05/2025")</f>
        <v>16/05/2025</v>
      </c>
      <c r="M48" s="58"/>
      <c r="N48" s="58" t="str">
        <f ca="1">IFERROR(__xludf.DUMMYFUNCTION("""COMPUTED_VALUE"""),"PENDENTE")</f>
        <v>PENDENTE</v>
      </c>
      <c r="O48" s="58" t="str">
        <f ca="1">IFERROR(__xludf.DUMMYFUNCTION("""COMPUTED_VALUE"""),"NÃO")</f>
        <v>NÃO</v>
      </c>
      <c r="P48" s="58" t="str">
        <f ca="1">IFERROR(__xludf.DUMMYFUNCTION("""COMPUTED_VALUE"""),"NÃO")</f>
        <v>NÃO</v>
      </c>
      <c r="Q48" s="58"/>
      <c r="R48" s="58"/>
      <c r="S48" s="58"/>
      <c r="T48" s="58"/>
      <c r="U48" s="58"/>
      <c r="V48" s="58"/>
      <c r="W48" s="58"/>
      <c r="X48" s="59"/>
    </row>
    <row r="49" spans="24:24" ht="12.5" x14ac:dyDescent="0.25">
      <c r="X49" s="59"/>
    </row>
    <row r="50" spans="24:24" ht="12.5" x14ac:dyDescent="0.25">
      <c r="X50" s="59"/>
    </row>
    <row r="51" spans="24:24" ht="12.5" x14ac:dyDescent="0.25">
      <c r="X51" s="59"/>
    </row>
    <row r="52" spans="24:24" ht="12.5" x14ac:dyDescent="0.25">
      <c r="X52" s="59"/>
    </row>
    <row r="53" spans="24:24" ht="12.5" x14ac:dyDescent="0.25">
      <c r="X53" s="59"/>
    </row>
    <row r="54" spans="24:24" ht="12.5" x14ac:dyDescent="0.25">
      <c r="X54" s="59"/>
    </row>
    <row r="55" spans="24:24" ht="12.5" x14ac:dyDescent="0.25">
      <c r="X55" s="59"/>
    </row>
    <row r="56" spans="24:24" ht="12.5" x14ac:dyDescent="0.25">
      <c r="X56" s="59"/>
    </row>
    <row r="57" spans="24:24" ht="12.5" x14ac:dyDescent="0.25">
      <c r="X57" s="59"/>
    </row>
    <row r="58" spans="24:24" ht="12.5" x14ac:dyDescent="0.25">
      <c r="X58" s="59"/>
    </row>
    <row r="59" spans="24:24" ht="12.5" x14ac:dyDescent="0.25">
      <c r="X59" s="59"/>
    </row>
    <row r="60" spans="24:24" ht="12.5" x14ac:dyDescent="0.25">
      <c r="X60" s="59"/>
    </row>
    <row r="61" spans="24:24" ht="12.5" x14ac:dyDescent="0.25">
      <c r="X61" s="59"/>
    </row>
    <row r="62" spans="24:24" ht="12.5" x14ac:dyDescent="0.25">
      <c r="X62" s="59"/>
    </row>
    <row r="63" spans="24:24" ht="12.5" x14ac:dyDescent="0.25">
      <c r="X63" s="59"/>
    </row>
    <row r="64" spans="24:24" ht="12.5" x14ac:dyDescent="0.25">
      <c r="X64" s="59"/>
    </row>
    <row r="65" spans="24:24" ht="12.5" x14ac:dyDescent="0.25">
      <c r="X65" s="59"/>
    </row>
    <row r="66" spans="24:24" ht="12.5" x14ac:dyDescent="0.25">
      <c r="X66" s="59"/>
    </row>
    <row r="67" spans="24:24" ht="12.5" x14ac:dyDescent="0.25">
      <c r="X67" s="59"/>
    </row>
    <row r="68" spans="24:24" ht="12.5" x14ac:dyDescent="0.25">
      <c r="X68" s="59"/>
    </row>
    <row r="69" spans="24:24" ht="12.5" x14ac:dyDescent="0.25">
      <c r="X69" s="59"/>
    </row>
    <row r="70" spans="24:24" ht="12.5" x14ac:dyDescent="0.25">
      <c r="X70" s="59"/>
    </row>
    <row r="71" spans="24:24" ht="12.5" x14ac:dyDescent="0.25">
      <c r="X71" s="59"/>
    </row>
    <row r="72" spans="24:24" ht="12.5" x14ac:dyDescent="0.25">
      <c r="X72" s="59"/>
    </row>
    <row r="73" spans="24:24" ht="12.5" x14ac:dyDescent="0.25">
      <c r="X73" s="59"/>
    </row>
    <row r="74" spans="24:24" ht="12.5" x14ac:dyDescent="0.25">
      <c r="X74" s="59"/>
    </row>
    <row r="75" spans="24:24" ht="12.5" x14ac:dyDescent="0.25">
      <c r="X75" s="59"/>
    </row>
    <row r="76" spans="24:24" ht="12.5" x14ac:dyDescent="0.25">
      <c r="X76" s="59"/>
    </row>
    <row r="77" spans="24:24" ht="12.5" x14ac:dyDescent="0.25">
      <c r="X77" s="59"/>
    </row>
    <row r="78" spans="24:24" ht="12.5" x14ac:dyDescent="0.25">
      <c r="X78" s="59"/>
    </row>
    <row r="79" spans="24:24" ht="12.5" x14ac:dyDescent="0.25">
      <c r="X79" s="59"/>
    </row>
    <row r="80" spans="24:24" ht="12.5" x14ac:dyDescent="0.25">
      <c r="X80" s="59"/>
    </row>
    <row r="81" spans="24:24" ht="12.5" x14ac:dyDescent="0.25">
      <c r="X81" s="59"/>
    </row>
    <row r="82" spans="24:24" ht="12.5" x14ac:dyDescent="0.25">
      <c r="X82" s="59"/>
    </row>
    <row r="83" spans="24:24" ht="12.5" x14ac:dyDescent="0.25">
      <c r="X83" s="59"/>
    </row>
    <row r="84" spans="24:24" ht="12.5" x14ac:dyDescent="0.25">
      <c r="X84" s="59"/>
    </row>
    <row r="85" spans="24:24" ht="12.5" x14ac:dyDescent="0.25">
      <c r="X85" s="59"/>
    </row>
    <row r="86" spans="24:24" ht="12.5" x14ac:dyDescent="0.25">
      <c r="X86" s="59"/>
    </row>
    <row r="87" spans="24:24" ht="12.5" x14ac:dyDescent="0.25">
      <c r="X87" s="59"/>
    </row>
    <row r="88" spans="24:24" ht="12.5" x14ac:dyDescent="0.25">
      <c r="X88" s="59"/>
    </row>
    <row r="89" spans="24:24" ht="12.5" x14ac:dyDescent="0.25">
      <c r="X89" s="59"/>
    </row>
    <row r="90" spans="24:24" ht="12.5" x14ac:dyDescent="0.25">
      <c r="X90" s="59"/>
    </row>
    <row r="91" spans="24:24" ht="12.5" x14ac:dyDescent="0.25">
      <c r="X91" s="59"/>
    </row>
    <row r="92" spans="24:24" ht="12.5" x14ac:dyDescent="0.25">
      <c r="X92" s="59"/>
    </row>
    <row r="93" spans="24:24" ht="12.5" x14ac:dyDescent="0.25">
      <c r="X93" s="59"/>
    </row>
    <row r="94" spans="24:24" ht="12.5" x14ac:dyDescent="0.25">
      <c r="X94" s="59"/>
    </row>
    <row r="95" spans="24:24" ht="12.5" x14ac:dyDescent="0.25">
      <c r="X95" s="59"/>
    </row>
    <row r="96" spans="24:24" ht="12.5" x14ac:dyDescent="0.25">
      <c r="X96" s="59"/>
    </row>
    <row r="97" spans="24:24" ht="12.5" x14ac:dyDescent="0.25">
      <c r="X97" s="59"/>
    </row>
    <row r="98" spans="24:24" ht="12.5" x14ac:dyDescent="0.25">
      <c r="X98" s="59"/>
    </row>
    <row r="99" spans="24:24" ht="12.5" x14ac:dyDescent="0.25">
      <c r="X99" s="59"/>
    </row>
    <row r="100" spans="24:24" ht="12.5" x14ac:dyDescent="0.25">
      <c r="X100" s="59"/>
    </row>
    <row r="101" spans="24:24" ht="12.5" x14ac:dyDescent="0.25">
      <c r="X101" s="59"/>
    </row>
    <row r="102" spans="24:24" ht="12.5" x14ac:dyDescent="0.25">
      <c r="X102" s="59"/>
    </row>
    <row r="103" spans="24:24" ht="12.5" x14ac:dyDescent="0.25">
      <c r="X103" s="59"/>
    </row>
    <row r="104" spans="24:24" ht="12.5" x14ac:dyDescent="0.25">
      <c r="X104" s="59"/>
    </row>
    <row r="105" spans="24:24" ht="12.5" x14ac:dyDescent="0.25">
      <c r="X105" s="59"/>
    </row>
    <row r="106" spans="24:24" ht="12.5" x14ac:dyDescent="0.25">
      <c r="X106" s="59"/>
    </row>
    <row r="107" spans="24:24" ht="12.5" x14ac:dyDescent="0.25">
      <c r="X107" s="59"/>
    </row>
    <row r="108" spans="24:24" ht="12.5" x14ac:dyDescent="0.25">
      <c r="X108" s="59"/>
    </row>
    <row r="109" spans="24:24" ht="12.5" x14ac:dyDescent="0.25">
      <c r="X109" s="59"/>
    </row>
    <row r="110" spans="24:24" ht="12.5" x14ac:dyDescent="0.25">
      <c r="X110" s="59"/>
    </row>
    <row r="111" spans="24:24" ht="12.5" x14ac:dyDescent="0.25">
      <c r="X111" s="59"/>
    </row>
    <row r="112" spans="24:24" ht="12.5" x14ac:dyDescent="0.25">
      <c r="X112" s="59"/>
    </row>
    <row r="113" spans="24:24" ht="12.5" x14ac:dyDescent="0.25">
      <c r="X113" s="59"/>
    </row>
    <row r="114" spans="24:24" ht="12.5" x14ac:dyDescent="0.25">
      <c r="X114" s="59"/>
    </row>
    <row r="115" spans="24:24" ht="12.5" x14ac:dyDescent="0.25">
      <c r="X115" s="59"/>
    </row>
    <row r="116" spans="24:24" ht="12.5" x14ac:dyDescent="0.25">
      <c r="X116" s="59"/>
    </row>
    <row r="117" spans="24:24" ht="12.5" x14ac:dyDescent="0.25">
      <c r="X117" s="59"/>
    </row>
    <row r="118" spans="24:24" ht="12.5" x14ac:dyDescent="0.25">
      <c r="X118" s="59"/>
    </row>
    <row r="119" spans="24:24" ht="12.5" x14ac:dyDescent="0.25">
      <c r="X119" s="59"/>
    </row>
    <row r="120" spans="24:24" ht="12.5" x14ac:dyDescent="0.25">
      <c r="X120" s="59"/>
    </row>
    <row r="121" spans="24:24" ht="12.5" x14ac:dyDescent="0.25">
      <c r="X121" s="59"/>
    </row>
    <row r="122" spans="24:24" ht="12.5" x14ac:dyDescent="0.25">
      <c r="X122" s="59"/>
    </row>
    <row r="123" spans="24:24" ht="12.5" x14ac:dyDescent="0.25">
      <c r="X123" s="59"/>
    </row>
    <row r="124" spans="24:24" ht="12.5" x14ac:dyDescent="0.25">
      <c r="X124" s="59"/>
    </row>
    <row r="125" spans="24:24" ht="12.5" x14ac:dyDescent="0.25">
      <c r="X125" s="59"/>
    </row>
    <row r="126" spans="24:24" ht="12.5" x14ac:dyDescent="0.25">
      <c r="X126" s="59"/>
    </row>
    <row r="127" spans="24:24" ht="12.5" x14ac:dyDescent="0.25">
      <c r="X127" s="59"/>
    </row>
    <row r="128" spans="24:24" ht="12.5" x14ac:dyDescent="0.25">
      <c r="X128" s="59"/>
    </row>
    <row r="129" spans="24:24" ht="12.5" x14ac:dyDescent="0.25">
      <c r="X129" s="59"/>
    </row>
    <row r="130" spans="24:24" ht="12.5" x14ac:dyDescent="0.25">
      <c r="X130" s="59"/>
    </row>
    <row r="131" spans="24:24" ht="12.5" x14ac:dyDescent="0.25">
      <c r="X131" s="59"/>
    </row>
    <row r="132" spans="24:24" ht="12.5" x14ac:dyDescent="0.25">
      <c r="X132" s="59"/>
    </row>
    <row r="133" spans="24:24" ht="12.5" x14ac:dyDescent="0.25">
      <c r="X133" s="59"/>
    </row>
    <row r="134" spans="24:24" ht="12.5" x14ac:dyDescent="0.25">
      <c r="X134" s="59"/>
    </row>
    <row r="135" spans="24:24" ht="12.5" x14ac:dyDescent="0.25">
      <c r="X135" s="59"/>
    </row>
    <row r="136" spans="24:24" ht="12.5" x14ac:dyDescent="0.25">
      <c r="X136" s="59"/>
    </row>
    <row r="137" spans="24:24" ht="12.5" x14ac:dyDescent="0.25">
      <c r="X137" s="59"/>
    </row>
    <row r="138" spans="24:24" ht="12.5" x14ac:dyDescent="0.25">
      <c r="X138" s="59"/>
    </row>
    <row r="139" spans="24:24" ht="12.5" x14ac:dyDescent="0.25">
      <c r="X139" s="59"/>
    </row>
    <row r="140" spans="24:24" ht="12.5" x14ac:dyDescent="0.25">
      <c r="X140" s="59"/>
    </row>
    <row r="141" spans="24:24" ht="12.5" x14ac:dyDescent="0.25">
      <c r="X141" s="59"/>
    </row>
    <row r="142" spans="24:24" ht="12.5" x14ac:dyDescent="0.25">
      <c r="X142" s="59"/>
    </row>
    <row r="143" spans="24:24" ht="12.5" x14ac:dyDescent="0.25">
      <c r="X143" s="59"/>
    </row>
    <row r="144" spans="24:24" ht="12.5" x14ac:dyDescent="0.25">
      <c r="X144" s="59"/>
    </row>
    <row r="145" spans="24:24" ht="12.5" x14ac:dyDescent="0.25">
      <c r="X145" s="59"/>
    </row>
    <row r="146" spans="24:24" ht="12.5" x14ac:dyDescent="0.25">
      <c r="X146" s="59"/>
    </row>
    <row r="147" spans="24:24" ht="12.5" x14ac:dyDescent="0.25">
      <c r="X147" s="59"/>
    </row>
    <row r="148" spans="24:24" ht="12.5" x14ac:dyDescent="0.25">
      <c r="X148" s="59"/>
    </row>
    <row r="149" spans="24:24" ht="12.5" x14ac:dyDescent="0.25">
      <c r="X149" s="59"/>
    </row>
    <row r="150" spans="24:24" ht="12.5" x14ac:dyDescent="0.25">
      <c r="X150" s="59"/>
    </row>
    <row r="151" spans="24:24" ht="12.5" x14ac:dyDescent="0.25">
      <c r="X151" s="59"/>
    </row>
    <row r="152" spans="24:24" ht="12.5" x14ac:dyDescent="0.25">
      <c r="X152" s="59"/>
    </row>
    <row r="153" spans="24:24" ht="12.5" x14ac:dyDescent="0.25">
      <c r="X153" s="59"/>
    </row>
    <row r="154" spans="24:24" ht="12.5" x14ac:dyDescent="0.25">
      <c r="X154" s="59"/>
    </row>
    <row r="155" spans="24:24" ht="12.5" x14ac:dyDescent="0.25">
      <c r="X155" s="59"/>
    </row>
    <row r="156" spans="24:24" ht="12.5" x14ac:dyDescent="0.25">
      <c r="X156" s="59"/>
    </row>
    <row r="157" spans="24:24" ht="12.5" x14ac:dyDescent="0.25">
      <c r="X157" s="59"/>
    </row>
    <row r="158" spans="24:24" ht="12.5" x14ac:dyDescent="0.25">
      <c r="X158" s="59"/>
    </row>
    <row r="159" spans="24:24" ht="12.5" x14ac:dyDescent="0.25">
      <c r="X159" s="59"/>
    </row>
    <row r="160" spans="24:24" ht="12.5" x14ac:dyDescent="0.25">
      <c r="X160" s="59"/>
    </row>
    <row r="161" spans="24:24" ht="12.5" x14ac:dyDescent="0.25">
      <c r="X161" s="59"/>
    </row>
    <row r="162" spans="24:24" ht="12.5" x14ac:dyDescent="0.25">
      <c r="X162" s="59"/>
    </row>
    <row r="163" spans="24:24" ht="12.5" x14ac:dyDescent="0.25">
      <c r="X163" s="59"/>
    </row>
    <row r="164" spans="24:24" ht="12.5" x14ac:dyDescent="0.25">
      <c r="X164" s="59"/>
    </row>
    <row r="165" spans="24:24" ht="12.5" x14ac:dyDescent="0.25">
      <c r="X165" s="59"/>
    </row>
    <row r="166" spans="24:24" ht="12.5" x14ac:dyDescent="0.25">
      <c r="X166" s="59"/>
    </row>
    <row r="167" spans="24:24" ht="12.5" x14ac:dyDescent="0.25">
      <c r="X167" s="59"/>
    </row>
    <row r="168" spans="24:24" ht="12.5" x14ac:dyDescent="0.25">
      <c r="X168" s="59"/>
    </row>
    <row r="169" spans="24:24" ht="12.5" x14ac:dyDescent="0.25">
      <c r="X169" s="59"/>
    </row>
    <row r="170" spans="24:24" ht="12.5" x14ac:dyDescent="0.25">
      <c r="X170" s="59"/>
    </row>
    <row r="171" spans="24:24" ht="12.5" x14ac:dyDescent="0.25">
      <c r="X171" s="59"/>
    </row>
    <row r="172" spans="24:24" ht="12.5" x14ac:dyDescent="0.25">
      <c r="X172" s="59"/>
    </row>
    <row r="173" spans="24:24" ht="12.5" x14ac:dyDescent="0.25">
      <c r="X173" s="59"/>
    </row>
    <row r="174" spans="24:24" ht="12.5" x14ac:dyDescent="0.25">
      <c r="X174" s="59"/>
    </row>
    <row r="175" spans="24:24" ht="12.5" x14ac:dyDescent="0.25">
      <c r="X175" s="59"/>
    </row>
    <row r="176" spans="24:24" ht="12.5" x14ac:dyDescent="0.25">
      <c r="X176" s="59"/>
    </row>
    <row r="177" spans="24:24" ht="12.5" x14ac:dyDescent="0.25">
      <c r="X177" s="59"/>
    </row>
    <row r="178" spans="24:24" ht="12.5" x14ac:dyDescent="0.25">
      <c r="X178" s="59"/>
    </row>
    <row r="179" spans="24:24" ht="12.5" x14ac:dyDescent="0.25">
      <c r="X179" s="59"/>
    </row>
    <row r="180" spans="24:24" ht="12.5" x14ac:dyDescent="0.25">
      <c r="X180" s="59"/>
    </row>
    <row r="181" spans="24:24" ht="12.5" x14ac:dyDescent="0.25">
      <c r="X181" s="59"/>
    </row>
    <row r="182" spans="24:24" ht="12.5" x14ac:dyDescent="0.25">
      <c r="X182" s="59"/>
    </row>
    <row r="183" spans="24:24" ht="12.5" x14ac:dyDescent="0.25">
      <c r="X183" s="59"/>
    </row>
    <row r="184" spans="24:24" ht="12.5" x14ac:dyDescent="0.25">
      <c r="X184" s="59"/>
    </row>
    <row r="185" spans="24:24" ht="12.5" x14ac:dyDescent="0.25">
      <c r="X185" s="59"/>
    </row>
    <row r="186" spans="24:24" ht="12.5" x14ac:dyDescent="0.25">
      <c r="X186" s="59"/>
    </row>
    <row r="187" spans="24:24" ht="12.5" x14ac:dyDescent="0.25">
      <c r="X187" s="59"/>
    </row>
    <row r="188" spans="24:24" ht="12.5" x14ac:dyDescent="0.25">
      <c r="X188" s="59"/>
    </row>
    <row r="189" spans="24:24" ht="12.5" x14ac:dyDescent="0.25">
      <c r="X189" s="59"/>
    </row>
    <row r="190" spans="24:24" ht="12.5" x14ac:dyDescent="0.25">
      <c r="X190" s="59"/>
    </row>
    <row r="191" spans="24:24" ht="12.5" x14ac:dyDescent="0.25">
      <c r="X191" s="59"/>
    </row>
    <row r="192" spans="24:24" ht="12.5" x14ac:dyDescent="0.25">
      <c r="X192" s="59"/>
    </row>
    <row r="193" spans="24:24" ht="12.5" x14ac:dyDescent="0.25">
      <c r="X193" s="59"/>
    </row>
    <row r="194" spans="24:24" ht="12.5" x14ac:dyDescent="0.25">
      <c r="X194" s="59"/>
    </row>
    <row r="195" spans="24:24" ht="12.5" x14ac:dyDescent="0.25">
      <c r="X195" s="59"/>
    </row>
    <row r="196" spans="24:24" ht="12.5" x14ac:dyDescent="0.25">
      <c r="X196" s="59"/>
    </row>
    <row r="197" spans="24:24" ht="12.5" x14ac:dyDescent="0.25">
      <c r="X197" s="59"/>
    </row>
    <row r="198" spans="24:24" ht="12.5" x14ac:dyDescent="0.25">
      <c r="X198" s="59"/>
    </row>
    <row r="199" spans="24:24" ht="12.5" x14ac:dyDescent="0.25">
      <c r="X199" s="59"/>
    </row>
    <row r="200" spans="24:24" ht="12.5" x14ac:dyDescent="0.25">
      <c r="X200" s="59"/>
    </row>
    <row r="201" spans="24:24" ht="12.5" x14ac:dyDescent="0.25">
      <c r="X201" s="59"/>
    </row>
    <row r="202" spans="24:24" ht="12.5" x14ac:dyDescent="0.25">
      <c r="X202" s="59"/>
    </row>
    <row r="203" spans="24:24" ht="12.5" x14ac:dyDescent="0.25">
      <c r="X203" s="59"/>
    </row>
    <row r="204" spans="24:24" ht="12.5" x14ac:dyDescent="0.25">
      <c r="X204" s="59"/>
    </row>
    <row r="205" spans="24:24" ht="12.5" x14ac:dyDescent="0.25">
      <c r="X205" s="59"/>
    </row>
    <row r="206" spans="24:24" ht="12.5" x14ac:dyDescent="0.25">
      <c r="X206" s="59"/>
    </row>
    <row r="207" spans="24:24" ht="12.5" x14ac:dyDescent="0.25">
      <c r="X207" s="59"/>
    </row>
    <row r="208" spans="24:24" ht="12.5" x14ac:dyDescent="0.25">
      <c r="X208" s="59"/>
    </row>
    <row r="209" spans="24:24" ht="12.5" x14ac:dyDescent="0.25">
      <c r="X209" s="59"/>
    </row>
    <row r="210" spans="24:24" ht="12.5" x14ac:dyDescent="0.25">
      <c r="X210" s="59"/>
    </row>
    <row r="211" spans="24:24" ht="12.5" x14ac:dyDescent="0.25">
      <c r="X211" s="59"/>
    </row>
    <row r="212" spans="24:24" ht="12.5" x14ac:dyDescent="0.25">
      <c r="X212" s="59"/>
    </row>
    <row r="213" spans="24:24" ht="12.5" x14ac:dyDescent="0.25">
      <c r="X213" s="59"/>
    </row>
    <row r="214" spans="24:24" ht="12.5" x14ac:dyDescent="0.25">
      <c r="X214" s="59"/>
    </row>
    <row r="215" spans="24:24" ht="12.5" x14ac:dyDescent="0.25">
      <c r="X215" s="59"/>
    </row>
    <row r="216" spans="24:24" ht="12.5" x14ac:dyDescent="0.25">
      <c r="X216" s="59"/>
    </row>
    <row r="217" spans="24:24" ht="12.5" x14ac:dyDescent="0.25">
      <c r="X217" s="59"/>
    </row>
    <row r="218" spans="24:24" ht="12.5" x14ac:dyDescent="0.25">
      <c r="X218" s="59"/>
    </row>
    <row r="219" spans="24:24" ht="12.5" x14ac:dyDescent="0.25">
      <c r="X219" s="59"/>
    </row>
    <row r="220" spans="24:24" ht="12.5" x14ac:dyDescent="0.25">
      <c r="X220" s="59"/>
    </row>
    <row r="221" spans="24:24" ht="12.5" x14ac:dyDescent="0.25">
      <c r="X221" s="59"/>
    </row>
    <row r="222" spans="24:24" ht="12.5" x14ac:dyDescent="0.25">
      <c r="X222" s="59"/>
    </row>
    <row r="223" spans="24:24" ht="12.5" x14ac:dyDescent="0.25">
      <c r="X223" s="59"/>
    </row>
    <row r="224" spans="24:24" ht="12.5" x14ac:dyDescent="0.25">
      <c r="X224" s="59"/>
    </row>
    <row r="225" spans="24:24" ht="12.5" x14ac:dyDescent="0.25">
      <c r="X225" s="59"/>
    </row>
    <row r="226" spans="24:24" ht="12.5" x14ac:dyDescent="0.25">
      <c r="X226" s="59"/>
    </row>
    <row r="227" spans="24:24" ht="12.5" x14ac:dyDescent="0.25">
      <c r="X227" s="59"/>
    </row>
    <row r="228" spans="24:24" ht="12.5" x14ac:dyDescent="0.25">
      <c r="X228" s="59"/>
    </row>
    <row r="229" spans="24:24" ht="12.5" x14ac:dyDescent="0.25">
      <c r="X229" s="59"/>
    </row>
    <row r="230" spans="24:24" ht="12.5" x14ac:dyDescent="0.25">
      <c r="X230" s="59"/>
    </row>
    <row r="231" spans="24:24" ht="12.5" x14ac:dyDescent="0.25">
      <c r="X231" s="59"/>
    </row>
    <row r="232" spans="24:24" ht="12.5" x14ac:dyDescent="0.25">
      <c r="X232" s="59"/>
    </row>
    <row r="233" spans="24:24" ht="12.5" x14ac:dyDescent="0.25">
      <c r="X233" s="59"/>
    </row>
    <row r="234" spans="24:24" ht="12.5" x14ac:dyDescent="0.25">
      <c r="X234" s="59"/>
    </row>
    <row r="235" spans="24:24" ht="12.5" x14ac:dyDescent="0.25">
      <c r="X235" s="59"/>
    </row>
    <row r="236" spans="24:24" ht="12.5" x14ac:dyDescent="0.25">
      <c r="X236" s="59"/>
    </row>
    <row r="237" spans="24:24" ht="12.5" x14ac:dyDescent="0.25">
      <c r="X237" s="59"/>
    </row>
    <row r="238" spans="24:24" ht="12.5" x14ac:dyDescent="0.25">
      <c r="X238" s="59"/>
    </row>
    <row r="239" spans="24:24" ht="12.5" x14ac:dyDescent="0.25">
      <c r="X239" s="59"/>
    </row>
    <row r="240" spans="24:24" ht="12.5" x14ac:dyDescent="0.25">
      <c r="X240" s="59"/>
    </row>
    <row r="241" spans="24:24" ht="12.5" x14ac:dyDescent="0.25">
      <c r="X241" s="59"/>
    </row>
    <row r="242" spans="24:24" ht="12.5" x14ac:dyDescent="0.25">
      <c r="X242" s="59"/>
    </row>
    <row r="243" spans="24:24" ht="12.5" x14ac:dyDescent="0.25">
      <c r="X243" s="59"/>
    </row>
    <row r="244" spans="24:24" ht="12.5" x14ac:dyDescent="0.25">
      <c r="X244" s="59"/>
    </row>
    <row r="245" spans="24:24" ht="12.5" x14ac:dyDescent="0.25">
      <c r="X245" s="59"/>
    </row>
    <row r="246" spans="24:24" ht="12.5" x14ac:dyDescent="0.25">
      <c r="X246" s="59"/>
    </row>
    <row r="247" spans="24:24" ht="12.5" x14ac:dyDescent="0.25">
      <c r="X247" s="59"/>
    </row>
    <row r="248" spans="24:24" ht="12.5" x14ac:dyDescent="0.25">
      <c r="X248" s="59"/>
    </row>
    <row r="249" spans="24:24" ht="12.5" x14ac:dyDescent="0.25">
      <c r="X249" s="59"/>
    </row>
    <row r="250" spans="24:24" ht="12.5" x14ac:dyDescent="0.25">
      <c r="X250" s="59"/>
    </row>
    <row r="251" spans="24:24" ht="12.5" x14ac:dyDescent="0.25">
      <c r="X251" s="59"/>
    </row>
    <row r="252" spans="24:24" ht="12.5" x14ac:dyDescent="0.25">
      <c r="X252" s="59"/>
    </row>
    <row r="253" spans="24:24" ht="12.5" x14ac:dyDescent="0.25">
      <c r="X253" s="59"/>
    </row>
    <row r="254" spans="24:24" ht="12.5" x14ac:dyDescent="0.25">
      <c r="X254" s="59"/>
    </row>
    <row r="255" spans="24:24" ht="12.5" x14ac:dyDescent="0.25">
      <c r="X255" s="59"/>
    </row>
    <row r="256" spans="24:24" ht="12.5" x14ac:dyDescent="0.25">
      <c r="X256" s="59"/>
    </row>
    <row r="257" spans="24:24" ht="12.5" x14ac:dyDescent="0.25">
      <c r="X257" s="59"/>
    </row>
    <row r="258" spans="24:24" ht="12.5" x14ac:dyDescent="0.25">
      <c r="X258" s="59"/>
    </row>
    <row r="259" spans="24:24" ht="12.5" x14ac:dyDescent="0.25">
      <c r="X259" s="59"/>
    </row>
    <row r="260" spans="24:24" ht="12.5" x14ac:dyDescent="0.25">
      <c r="X260" s="59"/>
    </row>
    <row r="261" spans="24:24" ht="12.5" x14ac:dyDescent="0.25">
      <c r="X261" s="59"/>
    </row>
    <row r="262" spans="24:24" ht="12.5" x14ac:dyDescent="0.25">
      <c r="X262" s="59"/>
    </row>
    <row r="263" spans="24:24" ht="12.5" x14ac:dyDescent="0.25">
      <c r="X263" s="59"/>
    </row>
    <row r="264" spans="24:24" ht="12.5" x14ac:dyDescent="0.25">
      <c r="X264" s="59"/>
    </row>
    <row r="265" spans="24:24" ht="12.5" x14ac:dyDescent="0.25">
      <c r="X265" s="59"/>
    </row>
    <row r="266" spans="24:24" ht="12.5" x14ac:dyDescent="0.25">
      <c r="X266" s="59"/>
    </row>
    <row r="267" spans="24:24" ht="12.5" x14ac:dyDescent="0.25">
      <c r="X267" s="59"/>
    </row>
    <row r="268" spans="24:24" ht="12.5" x14ac:dyDescent="0.25">
      <c r="X268" s="59"/>
    </row>
    <row r="269" spans="24:24" ht="12.5" x14ac:dyDescent="0.25">
      <c r="X269" s="59"/>
    </row>
    <row r="270" spans="24:24" ht="12.5" x14ac:dyDescent="0.25">
      <c r="X270" s="59"/>
    </row>
    <row r="271" spans="24:24" ht="12.5" x14ac:dyDescent="0.25">
      <c r="X271" s="59"/>
    </row>
    <row r="272" spans="24:24" ht="12.5" x14ac:dyDescent="0.25">
      <c r="X272" s="59"/>
    </row>
    <row r="273" spans="24:24" ht="12.5" x14ac:dyDescent="0.25">
      <c r="X273" s="59"/>
    </row>
    <row r="274" spans="24:24" ht="12.5" x14ac:dyDescent="0.25">
      <c r="X274" s="59"/>
    </row>
    <row r="275" spans="24:24" ht="12.5" x14ac:dyDescent="0.25">
      <c r="X275" s="59"/>
    </row>
    <row r="276" spans="24:24" ht="12.5" x14ac:dyDescent="0.25">
      <c r="X276" s="59"/>
    </row>
    <row r="277" spans="24:24" ht="12.5" x14ac:dyDescent="0.25">
      <c r="X277" s="59"/>
    </row>
    <row r="278" spans="24:24" ht="12.5" x14ac:dyDescent="0.25">
      <c r="X278" s="59"/>
    </row>
    <row r="279" spans="24:24" ht="12.5" x14ac:dyDescent="0.25">
      <c r="X279" s="59"/>
    </row>
    <row r="280" spans="24:24" ht="12.5" x14ac:dyDescent="0.25">
      <c r="X280" s="59"/>
    </row>
    <row r="281" spans="24:24" ht="12.5" x14ac:dyDescent="0.25">
      <c r="X281" s="59"/>
    </row>
    <row r="282" spans="24:24" ht="12.5" x14ac:dyDescent="0.25">
      <c r="X282" s="59"/>
    </row>
    <row r="283" spans="24:24" ht="12.5" x14ac:dyDescent="0.25">
      <c r="X283" s="59"/>
    </row>
    <row r="284" spans="24:24" ht="12.5" x14ac:dyDescent="0.25">
      <c r="X284" s="59"/>
    </row>
    <row r="285" spans="24:24" ht="12.5" x14ac:dyDescent="0.25">
      <c r="X285" s="59"/>
    </row>
    <row r="286" spans="24:24" ht="12.5" x14ac:dyDescent="0.25">
      <c r="X286" s="59"/>
    </row>
    <row r="287" spans="24:24" ht="12.5" x14ac:dyDescent="0.25">
      <c r="X287" s="59"/>
    </row>
    <row r="288" spans="24:24" ht="12.5" x14ac:dyDescent="0.25">
      <c r="X288" s="59"/>
    </row>
    <row r="289" spans="24:24" ht="12.5" x14ac:dyDescent="0.25">
      <c r="X289" s="59"/>
    </row>
    <row r="290" spans="24:24" ht="12.5" x14ac:dyDescent="0.25">
      <c r="X290" s="59"/>
    </row>
    <row r="291" spans="24:24" ht="12.5" x14ac:dyDescent="0.25">
      <c r="X291" s="59"/>
    </row>
    <row r="292" spans="24:24" ht="12.5" x14ac:dyDescent="0.25">
      <c r="X292" s="59"/>
    </row>
    <row r="293" spans="24:24" ht="12.5" x14ac:dyDescent="0.25">
      <c r="X293" s="59"/>
    </row>
    <row r="294" spans="24:24" ht="12.5" x14ac:dyDescent="0.25">
      <c r="X294" s="59"/>
    </row>
    <row r="295" spans="24:24" ht="12.5" x14ac:dyDescent="0.25">
      <c r="X295" s="59"/>
    </row>
    <row r="296" spans="24:24" ht="12.5" x14ac:dyDescent="0.25">
      <c r="X296" s="59"/>
    </row>
    <row r="297" spans="24:24" ht="12.5" x14ac:dyDescent="0.25">
      <c r="X297" s="59"/>
    </row>
    <row r="298" spans="24:24" ht="12.5" x14ac:dyDescent="0.25">
      <c r="X298" s="59"/>
    </row>
    <row r="299" spans="24:24" ht="12.5" x14ac:dyDescent="0.25">
      <c r="X299" s="59"/>
    </row>
    <row r="300" spans="24:24" ht="12.5" x14ac:dyDescent="0.25">
      <c r="X300" s="59"/>
    </row>
    <row r="301" spans="24:24" ht="12.5" x14ac:dyDescent="0.25">
      <c r="X301" s="59"/>
    </row>
    <row r="302" spans="24:24" ht="12.5" x14ac:dyDescent="0.25">
      <c r="X302" s="59"/>
    </row>
    <row r="303" spans="24:24" ht="12.5" x14ac:dyDescent="0.25">
      <c r="X303" s="59"/>
    </row>
    <row r="304" spans="24:24" ht="12.5" x14ac:dyDescent="0.25">
      <c r="X304" s="59"/>
    </row>
    <row r="305" spans="24:24" ht="12.5" x14ac:dyDescent="0.25">
      <c r="X305" s="59"/>
    </row>
    <row r="306" spans="24:24" ht="12.5" x14ac:dyDescent="0.25">
      <c r="X306" s="59"/>
    </row>
    <row r="307" spans="24:24" ht="12.5" x14ac:dyDescent="0.25">
      <c r="X307" s="59"/>
    </row>
    <row r="308" spans="24:24" ht="12.5" x14ac:dyDescent="0.25">
      <c r="X308" s="59"/>
    </row>
    <row r="309" spans="24:24" ht="12.5" x14ac:dyDescent="0.25">
      <c r="X309" s="59"/>
    </row>
    <row r="310" spans="24:24" ht="12.5" x14ac:dyDescent="0.25">
      <c r="X310" s="59"/>
    </row>
    <row r="311" spans="24:24" ht="12.5" x14ac:dyDescent="0.25">
      <c r="X311" s="59"/>
    </row>
    <row r="312" spans="24:24" ht="12.5" x14ac:dyDescent="0.25">
      <c r="X312" s="59"/>
    </row>
    <row r="313" spans="24:24" ht="12.5" x14ac:dyDescent="0.25">
      <c r="X313" s="59"/>
    </row>
    <row r="314" spans="24:24" ht="12.5" x14ac:dyDescent="0.25">
      <c r="X314" s="59"/>
    </row>
    <row r="315" spans="24:24" ht="12.5" x14ac:dyDescent="0.25">
      <c r="X315" s="59"/>
    </row>
    <row r="316" spans="24:24" ht="12.5" x14ac:dyDescent="0.25">
      <c r="X316" s="59"/>
    </row>
    <row r="317" spans="24:24" ht="12.5" x14ac:dyDescent="0.25">
      <c r="X317" s="59"/>
    </row>
    <row r="318" spans="24:24" ht="12.5" x14ac:dyDescent="0.25">
      <c r="X318" s="59"/>
    </row>
    <row r="319" spans="24:24" ht="12.5" x14ac:dyDescent="0.25">
      <c r="X319" s="59"/>
    </row>
    <row r="320" spans="24:24" ht="12.5" x14ac:dyDescent="0.25">
      <c r="X320" s="59"/>
    </row>
    <row r="321" spans="24:24" ht="12.5" x14ac:dyDescent="0.25">
      <c r="X321" s="59"/>
    </row>
    <row r="322" spans="24:24" ht="12.5" x14ac:dyDescent="0.25">
      <c r="X322" s="59"/>
    </row>
    <row r="323" spans="24:24" ht="12.5" x14ac:dyDescent="0.25">
      <c r="X323" s="59"/>
    </row>
    <row r="324" spans="24:24" ht="12.5" x14ac:dyDescent="0.25">
      <c r="X324" s="59"/>
    </row>
    <row r="325" spans="24:24" ht="12.5" x14ac:dyDescent="0.25">
      <c r="X325" s="59"/>
    </row>
    <row r="326" spans="24:24" ht="12.5" x14ac:dyDescent="0.25">
      <c r="X326" s="59"/>
    </row>
    <row r="327" spans="24:24" ht="12.5" x14ac:dyDescent="0.25">
      <c r="X327" s="59"/>
    </row>
    <row r="328" spans="24:24" ht="12.5" x14ac:dyDescent="0.25">
      <c r="X328" s="59"/>
    </row>
    <row r="329" spans="24:24" ht="12.5" x14ac:dyDescent="0.25">
      <c r="X329" s="59"/>
    </row>
    <row r="330" spans="24:24" ht="12.5" x14ac:dyDescent="0.25">
      <c r="X330" s="59"/>
    </row>
    <row r="331" spans="24:24" ht="12.5" x14ac:dyDescent="0.25">
      <c r="X331" s="59"/>
    </row>
    <row r="332" spans="24:24" ht="12.5" x14ac:dyDescent="0.25">
      <c r="X332" s="59"/>
    </row>
    <row r="333" spans="24:24" ht="12.5" x14ac:dyDescent="0.25">
      <c r="X333" s="59"/>
    </row>
    <row r="334" spans="24:24" ht="12.5" x14ac:dyDescent="0.25">
      <c r="X334" s="59"/>
    </row>
    <row r="335" spans="24:24" ht="12.5" x14ac:dyDescent="0.25">
      <c r="X335" s="59"/>
    </row>
    <row r="336" spans="24:24" ht="12.5" x14ac:dyDescent="0.25">
      <c r="X336" s="59"/>
    </row>
    <row r="337" spans="24:24" ht="12.5" x14ac:dyDescent="0.25">
      <c r="X337" s="59"/>
    </row>
    <row r="338" spans="24:24" ht="12.5" x14ac:dyDescent="0.25">
      <c r="X338" s="59"/>
    </row>
    <row r="339" spans="24:24" ht="12.5" x14ac:dyDescent="0.25">
      <c r="X339" s="59"/>
    </row>
    <row r="340" spans="24:24" ht="12.5" x14ac:dyDescent="0.25">
      <c r="X340" s="59"/>
    </row>
    <row r="341" spans="24:24" ht="12.5" x14ac:dyDescent="0.25">
      <c r="X341" s="59"/>
    </row>
    <row r="342" spans="24:24" ht="12.5" x14ac:dyDescent="0.25">
      <c r="X342" s="59"/>
    </row>
    <row r="343" spans="24:24" ht="12.5" x14ac:dyDescent="0.25">
      <c r="X343" s="59"/>
    </row>
    <row r="344" spans="24:24" ht="12.5" x14ac:dyDescent="0.25">
      <c r="X344" s="59"/>
    </row>
    <row r="345" spans="24:24" ht="12.5" x14ac:dyDescent="0.25">
      <c r="X345" s="59"/>
    </row>
    <row r="346" spans="24:24" ht="12.5" x14ac:dyDescent="0.25">
      <c r="X346" s="59"/>
    </row>
    <row r="347" spans="24:24" ht="12.5" x14ac:dyDescent="0.25">
      <c r="X347" s="59"/>
    </row>
    <row r="348" spans="24:24" ht="12.5" x14ac:dyDescent="0.25">
      <c r="X348" s="59"/>
    </row>
    <row r="349" spans="24:24" ht="12.5" x14ac:dyDescent="0.25">
      <c r="X349" s="59"/>
    </row>
    <row r="350" spans="24:24" ht="12.5" x14ac:dyDescent="0.25">
      <c r="X350" s="59"/>
    </row>
    <row r="351" spans="24:24" ht="12.5" x14ac:dyDescent="0.25">
      <c r="X351" s="59"/>
    </row>
    <row r="352" spans="24:24" ht="12.5" x14ac:dyDescent="0.25">
      <c r="X352" s="59"/>
    </row>
    <row r="353" spans="24:24" ht="12.5" x14ac:dyDescent="0.25">
      <c r="X353" s="59"/>
    </row>
    <row r="354" spans="24:24" ht="12.5" x14ac:dyDescent="0.25">
      <c r="X354" s="59"/>
    </row>
    <row r="355" spans="24:24" ht="12.5" x14ac:dyDescent="0.25">
      <c r="X355" s="59"/>
    </row>
    <row r="356" spans="24:24" ht="12.5" x14ac:dyDescent="0.25">
      <c r="X356" s="59"/>
    </row>
    <row r="357" spans="24:24" ht="12.5" x14ac:dyDescent="0.25">
      <c r="X357" s="59"/>
    </row>
    <row r="358" spans="24:24" ht="12.5" x14ac:dyDescent="0.25">
      <c r="X358" s="59"/>
    </row>
    <row r="359" spans="24:24" ht="12.5" x14ac:dyDescent="0.25">
      <c r="X359" s="59"/>
    </row>
    <row r="360" spans="24:24" ht="12.5" x14ac:dyDescent="0.25">
      <c r="X360" s="59"/>
    </row>
    <row r="361" spans="24:24" ht="12.5" x14ac:dyDescent="0.25">
      <c r="X361" s="59"/>
    </row>
    <row r="362" spans="24:24" ht="12.5" x14ac:dyDescent="0.25">
      <c r="X362" s="59"/>
    </row>
    <row r="363" spans="24:24" ht="12.5" x14ac:dyDescent="0.25">
      <c r="X363" s="59"/>
    </row>
    <row r="364" spans="24:24" ht="12.5" x14ac:dyDescent="0.25">
      <c r="X364" s="59"/>
    </row>
    <row r="365" spans="24:24" ht="12.5" x14ac:dyDescent="0.25">
      <c r="X365" s="59"/>
    </row>
    <row r="366" spans="24:24" ht="12.5" x14ac:dyDescent="0.25">
      <c r="X366" s="59"/>
    </row>
    <row r="367" spans="24:24" ht="12.5" x14ac:dyDescent="0.25">
      <c r="X367" s="59"/>
    </row>
    <row r="368" spans="24:24" ht="12.5" x14ac:dyDescent="0.25">
      <c r="X368" s="59"/>
    </row>
    <row r="369" spans="24:24" ht="12.5" x14ac:dyDescent="0.25">
      <c r="X369" s="59"/>
    </row>
    <row r="370" spans="24:24" ht="12.5" x14ac:dyDescent="0.25">
      <c r="X370" s="59"/>
    </row>
    <row r="371" spans="24:24" ht="12.5" x14ac:dyDescent="0.25">
      <c r="X371" s="59"/>
    </row>
    <row r="372" spans="24:24" ht="12.5" x14ac:dyDescent="0.25">
      <c r="X372" s="59"/>
    </row>
    <row r="373" spans="24:24" ht="12.5" x14ac:dyDescent="0.25">
      <c r="X373" s="59"/>
    </row>
    <row r="374" spans="24:24" ht="12.5" x14ac:dyDescent="0.25">
      <c r="X374" s="59"/>
    </row>
    <row r="375" spans="24:24" ht="12.5" x14ac:dyDescent="0.25">
      <c r="X375" s="59"/>
    </row>
    <row r="376" spans="24:24" ht="12.5" x14ac:dyDescent="0.25">
      <c r="X376" s="59"/>
    </row>
    <row r="377" spans="24:24" ht="12.5" x14ac:dyDescent="0.25">
      <c r="X377" s="59"/>
    </row>
    <row r="378" spans="24:24" ht="12.5" x14ac:dyDescent="0.25">
      <c r="X378" s="59"/>
    </row>
    <row r="379" spans="24:24" ht="12.5" x14ac:dyDescent="0.25">
      <c r="X379" s="59"/>
    </row>
    <row r="380" spans="24:24" ht="12.5" x14ac:dyDescent="0.25">
      <c r="X380" s="59"/>
    </row>
    <row r="381" spans="24:24" ht="12.5" x14ac:dyDescent="0.25">
      <c r="X381" s="59"/>
    </row>
    <row r="382" spans="24:24" ht="12.5" x14ac:dyDescent="0.25">
      <c r="X382" s="59"/>
    </row>
    <row r="383" spans="24:24" ht="12.5" x14ac:dyDescent="0.25">
      <c r="X383" s="59"/>
    </row>
    <row r="384" spans="24:24" ht="12.5" x14ac:dyDescent="0.25">
      <c r="X384" s="59"/>
    </row>
    <row r="385" spans="24:24" ht="12.5" x14ac:dyDescent="0.25">
      <c r="X385" s="59"/>
    </row>
    <row r="386" spans="24:24" ht="12.5" x14ac:dyDescent="0.25">
      <c r="X386" s="59"/>
    </row>
    <row r="387" spans="24:24" ht="12.5" x14ac:dyDescent="0.25">
      <c r="X387" s="59"/>
    </row>
    <row r="388" spans="24:24" ht="12.5" x14ac:dyDescent="0.25">
      <c r="X388" s="59"/>
    </row>
    <row r="389" spans="24:24" ht="12.5" x14ac:dyDescent="0.25">
      <c r="X389" s="59"/>
    </row>
    <row r="390" spans="24:24" ht="12.5" x14ac:dyDescent="0.25">
      <c r="X390" s="59"/>
    </row>
    <row r="391" spans="24:24" ht="12.5" x14ac:dyDescent="0.25">
      <c r="X391" s="59"/>
    </row>
    <row r="392" spans="24:24" ht="12.5" x14ac:dyDescent="0.25">
      <c r="X392" s="59"/>
    </row>
    <row r="393" spans="24:24" ht="12.5" x14ac:dyDescent="0.25">
      <c r="X393" s="59"/>
    </row>
    <row r="394" spans="24:24" ht="12.5" x14ac:dyDescent="0.25">
      <c r="X394" s="59"/>
    </row>
    <row r="395" spans="24:24" ht="12.5" x14ac:dyDescent="0.25">
      <c r="X395" s="59"/>
    </row>
    <row r="396" spans="24:24" ht="12.5" x14ac:dyDescent="0.25">
      <c r="X396" s="59"/>
    </row>
    <row r="397" spans="24:24" ht="12.5" x14ac:dyDescent="0.25">
      <c r="X397" s="59"/>
    </row>
    <row r="398" spans="24:24" ht="12.5" x14ac:dyDescent="0.25">
      <c r="X398" s="59"/>
    </row>
    <row r="399" spans="24:24" ht="12.5" x14ac:dyDescent="0.25">
      <c r="X399" s="59"/>
    </row>
    <row r="400" spans="24:24" ht="12.5" x14ac:dyDescent="0.25">
      <c r="X400" s="59"/>
    </row>
    <row r="401" spans="24:24" ht="12.5" x14ac:dyDescent="0.25">
      <c r="X401" s="59"/>
    </row>
    <row r="402" spans="24:24" ht="12.5" x14ac:dyDescent="0.25">
      <c r="X402" s="59"/>
    </row>
    <row r="403" spans="24:24" ht="12.5" x14ac:dyDescent="0.25">
      <c r="X403" s="59"/>
    </row>
    <row r="404" spans="24:24" ht="12.5" x14ac:dyDescent="0.25">
      <c r="X404" s="59"/>
    </row>
    <row r="405" spans="24:24" ht="12.5" x14ac:dyDescent="0.25">
      <c r="X405" s="59"/>
    </row>
    <row r="406" spans="24:24" ht="12.5" x14ac:dyDescent="0.25">
      <c r="X406" s="59"/>
    </row>
    <row r="407" spans="24:24" ht="12.5" x14ac:dyDescent="0.25">
      <c r="X407" s="59"/>
    </row>
    <row r="408" spans="24:24" ht="12.5" x14ac:dyDescent="0.25">
      <c r="X408" s="59"/>
    </row>
    <row r="409" spans="24:24" ht="12.5" x14ac:dyDescent="0.25">
      <c r="X409" s="59"/>
    </row>
    <row r="410" spans="24:24" ht="12.5" x14ac:dyDescent="0.25">
      <c r="X410" s="59"/>
    </row>
    <row r="411" spans="24:24" ht="12.5" x14ac:dyDescent="0.25">
      <c r="X411" s="59"/>
    </row>
    <row r="412" spans="24:24" ht="12.5" x14ac:dyDescent="0.25">
      <c r="X412" s="59"/>
    </row>
    <row r="413" spans="24:24" ht="12.5" x14ac:dyDescent="0.25">
      <c r="X413" s="59"/>
    </row>
    <row r="414" spans="24:24" ht="12.5" x14ac:dyDescent="0.25">
      <c r="X414" s="59"/>
    </row>
    <row r="415" spans="24:24" ht="12.5" x14ac:dyDescent="0.25">
      <c r="X415" s="59"/>
    </row>
    <row r="416" spans="24:24" ht="12.5" x14ac:dyDescent="0.25">
      <c r="X416" s="59"/>
    </row>
    <row r="417" spans="24:24" ht="12.5" x14ac:dyDescent="0.25">
      <c r="X417" s="59"/>
    </row>
    <row r="418" spans="24:24" ht="12.5" x14ac:dyDescent="0.25">
      <c r="X418" s="59"/>
    </row>
    <row r="419" spans="24:24" ht="12.5" x14ac:dyDescent="0.25">
      <c r="X419" s="59"/>
    </row>
    <row r="420" spans="24:24" ht="12.5" x14ac:dyDescent="0.25">
      <c r="X420" s="59"/>
    </row>
    <row r="421" spans="24:24" ht="12.5" x14ac:dyDescent="0.25">
      <c r="X421" s="59"/>
    </row>
    <row r="422" spans="24:24" ht="12.5" x14ac:dyDescent="0.25">
      <c r="X422" s="59"/>
    </row>
    <row r="423" spans="24:24" ht="12.5" x14ac:dyDescent="0.25">
      <c r="X423" s="59"/>
    </row>
    <row r="424" spans="24:24" ht="12.5" x14ac:dyDescent="0.25">
      <c r="X424" s="59"/>
    </row>
    <row r="425" spans="24:24" ht="12.5" x14ac:dyDescent="0.25">
      <c r="X425" s="59"/>
    </row>
    <row r="426" spans="24:24" ht="12.5" x14ac:dyDescent="0.25">
      <c r="X426" s="59"/>
    </row>
    <row r="427" spans="24:24" ht="12.5" x14ac:dyDescent="0.25">
      <c r="X427" s="59"/>
    </row>
    <row r="428" spans="24:24" ht="12.5" x14ac:dyDescent="0.25">
      <c r="X428" s="59"/>
    </row>
    <row r="429" spans="24:24" ht="12.5" x14ac:dyDescent="0.25">
      <c r="X429" s="59"/>
    </row>
    <row r="430" spans="24:24" ht="12.5" x14ac:dyDescent="0.25">
      <c r="X430" s="59"/>
    </row>
    <row r="431" spans="24:24" ht="12.5" x14ac:dyDescent="0.25">
      <c r="X431" s="59"/>
    </row>
    <row r="432" spans="24:24" ht="12.5" x14ac:dyDescent="0.25">
      <c r="X432" s="59"/>
    </row>
    <row r="433" spans="24:24" ht="12.5" x14ac:dyDescent="0.25">
      <c r="X433" s="59"/>
    </row>
    <row r="434" spans="24:24" ht="12.5" x14ac:dyDescent="0.25">
      <c r="X434" s="59"/>
    </row>
    <row r="435" spans="24:24" ht="12.5" x14ac:dyDescent="0.25">
      <c r="X435" s="59"/>
    </row>
    <row r="436" spans="24:24" ht="12.5" x14ac:dyDescent="0.25">
      <c r="X436" s="59"/>
    </row>
    <row r="437" spans="24:24" ht="12.5" x14ac:dyDescent="0.25">
      <c r="X437" s="59"/>
    </row>
    <row r="438" spans="24:24" ht="12.5" x14ac:dyDescent="0.25">
      <c r="X438" s="59"/>
    </row>
    <row r="439" spans="24:24" ht="12.5" x14ac:dyDescent="0.25">
      <c r="X439" s="59"/>
    </row>
    <row r="440" spans="24:24" ht="12.5" x14ac:dyDescent="0.25">
      <c r="X440" s="59"/>
    </row>
    <row r="441" spans="24:24" ht="12.5" x14ac:dyDescent="0.25">
      <c r="X441" s="59"/>
    </row>
    <row r="442" spans="24:24" ht="12.5" x14ac:dyDescent="0.25">
      <c r="X442" s="59"/>
    </row>
    <row r="443" spans="24:24" ht="12.5" x14ac:dyDescent="0.25">
      <c r="X443" s="59"/>
    </row>
    <row r="444" spans="24:24" ht="12.5" x14ac:dyDescent="0.25">
      <c r="X444" s="59"/>
    </row>
    <row r="445" spans="24:24" ht="12.5" x14ac:dyDescent="0.25">
      <c r="X445" s="59"/>
    </row>
    <row r="446" spans="24:24" ht="12.5" x14ac:dyDescent="0.25">
      <c r="X446" s="59"/>
    </row>
    <row r="447" spans="24:24" ht="12.5" x14ac:dyDescent="0.25">
      <c r="X447" s="59"/>
    </row>
    <row r="448" spans="24:24" ht="12.5" x14ac:dyDescent="0.25">
      <c r="X448" s="59"/>
    </row>
    <row r="449" spans="24:24" ht="12.5" x14ac:dyDescent="0.25">
      <c r="X449" s="59"/>
    </row>
    <row r="450" spans="24:24" ht="12.5" x14ac:dyDescent="0.25">
      <c r="X450" s="59"/>
    </row>
    <row r="451" spans="24:24" ht="12.5" x14ac:dyDescent="0.25">
      <c r="X451" s="59"/>
    </row>
    <row r="452" spans="24:24" ht="12.5" x14ac:dyDescent="0.25">
      <c r="X452" s="59"/>
    </row>
    <row r="453" spans="24:24" ht="12.5" x14ac:dyDescent="0.25">
      <c r="X453" s="59"/>
    </row>
    <row r="454" spans="24:24" ht="12.5" x14ac:dyDescent="0.25">
      <c r="X454" s="59"/>
    </row>
    <row r="455" spans="24:24" ht="12.5" x14ac:dyDescent="0.25">
      <c r="X455" s="59"/>
    </row>
    <row r="456" spans="24:24" ht="12.5" x14ac:dyDescent="0.25">
      <c r="X456" s="59"/>
    </row>
    <row r="457" spans="24:24" ht="12.5" x14ac:dyDescent="0.25">
      <c r="X457" s="59"/>
    </row>
    <row r="458" spans="24:24" ht="12.5" x14ac:dyDescent="0.25">
      <c r="X458" s="59"/>
    </row>
    <row r="459" spans="24:24" ht="12.5" x14ac:dyDescent="0.25">
      <c r="X459" s="59"/>
    </row>
    <row r="460" spans="24:24" ht="12.5" x14ac:dyDescent="0.25">
      <c r="X460" s="59"/>
    </row>
    <row r="461" spans="24:24" ht="12.5" x14ac:dyDescent="0.25">
      <c r="X461" s="59"/>
    </row>
    <row r="462" spans="24:24" ht="12.5" x14ac:dyDescent="0.25">
      <c r="X462" s="59"/>
    </row>
    <row r="463" spans="24:24" ht="12.5" x14ac:dyDescent="0.25">
      <c r="X463" s="59"/>
    </row>
    <row r="464" spans="24:24" ht="12.5" x14ac:dyDescent="0.25">
      <c r="X464" s="59"/>
    </row>
    <row r="465" spans="24:24" ht="12.5" x14ac:dyDescent="0.25">
      <c r="X465" s="59"/>
    </row>
    <row r="466" spans="24:24" ht="12.5" x14ac:dyDescent="0.25">
      <c r="X466" s="59"/>
    </row>
    <row r="467" spans="24:24" ht="12.5" x14ac:dyDescent="0.25">
      <c r="X467" s="59"/>
    </row>
    <row r="468" spans="24:24" ht="12.5" x14ac:dyDescent="0.25">
      <c r="X468" s="59"/>
    </row>
    <row r="469" spans="24:24" ht="12.5" x14ac:dyDescent="0.25">
      <c r="X469" s="59"/>
    </row>
    <row r="470" spans="24:24" ht="12.5" x14ac:dyDescent="0.25">
      <c r="X470" s="59"/>
    </row>
    <row r="471" spans="24:24" ht="12.5" x14ac:dyDescent="0.25">
      <c r="X471" s="59"/>
    </row>
    <row r="472" spans="24:24" ht="12.5" x14ac:dyDescent="0.25">
      <c r="X472" s="59"/>
    </row>
    <row r="473" spans="24:24" ht="12.5" x14ac:dyDescent="0.25">
      <c r="X473" s="59"/>
    </row>
    <row r="474" spans="24:24" ht="12.5" x14ac:dyDescent="0.25">
      <c r="X474" s="59"/>
    </row>
    <row r="475" spans="24:24" ht="12.5" x14ac:dyDescent="0.25">
      <c r="X475" s="59"/>
    </row>
    <row r="476" spans="24:24" ht="12.5" x14ac:dyDescent="0.25">
      <c r="X476" s="59"/>
    </row>
    <row r="477" spans="24:24" ht="12.5" x14ac:dyDescent="0.25">
      <c r="X477" s="59"/>
    </row>
    <row r="478" spans="24:24" ht="12.5" x14ac:dyDescent="0.25">
      <c r="X478" s="59"/>
    </row>
    <row r="479" spans="24:24" ht="12.5" x14ac:dyDescent="0.25">
      <c r="X479" s="59"/>
    </row>
    <row r="480" spans="24:24" ht="12.5" x14ac:dyDescent="0.25">
      <c r="X480" s="59"/>
    </row>
    <row r="481" spans="24:24" ht="12.5" x14ac:dyDescent="0.25">
      <c r="X481" s="59"/>
    </row>
    <row r="482" spans="24:24" ht="12.5" x14ac:dyDescent="0.25">
      <c r="X482" s="59"/>
    </row>
    <row r="483" spans="24:24" ht="12.5" x14ac:dyDescent="0.25">
      <c r="X483" s="59"/>
    </row>
    <row r="484" spans="24:24" ht="12.5" x14ac:dyDescent="0.25">
      <c r="X484" s="59"/>
    </row>
    <row r="485" spans="24:24" ht="12.5" x14ac:dyDescent="0.25">
      <c r="X485" s="59"/>
    </row>
    <row r="486" spans="24:24" ht="12.5" x14ac:dyDescent="0.25">
      <c r="X486" s="59"/>
    </row>
    <row r="487" spans="24:24" ht="12.5" x14ac:dyDescent="0.25">
      <c r="X487" s="59"/>
    </row>
    <row r="488" spans="24:24" ht="12.5" x14ac:dyDescent="0.25">
      <c r="X488" s="59"/>
    </row>
    <row r="489" spans="24:24" ht="12.5" x14ac:dyDescent="0.25">
      <c r="X489" s="59"/>
    </row>
    <row r="490" spans="24:24" ht="12.5" x14ac:dyDescent="0.25">
      <c r="X490" s="59"/>
    </row>
    <row r="491" spans="24:24" ht="12.5" x14ac:dyDescent="0.25">
      <c r="X491" s="59"/>
    </row>
    <row r="492" spans="24:24" ht="12.5" x14ac:dyDescent="0.25">
      <c r="X492" s="59"/>
    </row>
    <row r="493" spans="24:24" ht="12.5" x14ac:dyDescent="0.25">
      <c r="X493" s="59"/>
    </row>
    <row r="494" spans="24:24" ht="12.5" x14ac:dyDescent="0.25">
      <c r="X494" s="59"/>
    </row>
    <row r="495" spans="24:24" ht="12.5" x14ac:dyDescent="0.25">
      <c r="X495" s="59"/>
    </row>
    <row r="496" spans="24:24" ht="12.5" x14ac:dyDescent="0.25">
      <c r="X496" s="59"/>
    </row>
    <row r="497" spans="24:24" ht="12.5" x14ac:dyDescent="0.25">
      <c r="X497" s="59"/>
    </row>
    <row r="498" spans="24:24" ht="12.5" x14ac:dyDescent="0.25">
      <c r="X498" s="59"/>
    </row>
    <row r="499" spans="24:24" ht="12.5" x14ac:dyDescent="0.25">
      <c r="X499" s="59"/>
    </row>
    <row r="500" spans="24:24" ht="12.5" x14ac:dyDescent="0.25">
      <c r="X500" s="59"/>
    </row>
    <row r="501" spans="24:24" ht="12.5" x14ac:dyDescent="0.25">
      <c r="X501" s="59"/>
    </row>
    <row r="502" spans="24:24" ht="12.5" x14ac:dyDescent="0.25">
      <c r="X502" s="59"/>
    </row>
    <row r="503" spans="24:24" ht="12.5" x14ac:dyDescent="0.25">
      <c r="X503" s="59"/>
    </row>
    <row r="504" spans="24:24" ht="12.5" x14ac:dyDescent="0.25">
      <c r="X504" s="59"/>
    </row>
    <row r="505" spans="24:24" ht="12.5" x14ac:dyDescent="0.25">
      <c r="X505" s="59"/>
    </row>
    <row r="506" spans="24:24" ht="12.5" x14ac:dyDescent="0.25">
      <c r="X506" s="59"/>
    </row>
    <row r="507" spans="24:24" ht="12.5" x14ac:dyDescent="0.25">
      <c r="X507" s="59"/>
    </row>
    <row r="508" spans="24:24" ht="12.5" x14ac:dyDescent="0.25">
      <c r="X508" s="59"/>
    </row>
    <row r="509" spans="24:24" ht="12.5" x14ac:dyDescent="0.25">
      <c r="X509" s="59"/>
    </row>
    <row r="510" spans="24:24" ht="12.5" x14ac:dyDescent="0.25">
      <c r="X510" s="59"/>
    </row>
    <row r="511" spans="24:24" ht="12.5" x14ac:dyDescent="0.25">
      <c r="X511" s="59"/>
    </row>
    <row r="512" spans="24:24" ht="12.5" x14ac:dyDescent="0.25">
      <c r="X512" s="59"/>
    </row>
    <row r="513" spans="24:24" ht="12.5" x14ac:dyDescent="0.25">
      <c r="X513" s="59"/>
    </row>
    <row r="514" spans="24:24" ht="12.5" x14ac:dyDescent="0.25">
      <c r="X514" s="59"/>
    </row>
    <row r="515" spans="24:24" ht="12.5" x14ac:dyDescent="0.25">
      <c r="X515" s="59"/>
    </row>
    <row r="516" spans="24:24" ht="12.5" x14ac:dyDescent="0.25">
      <c r="X516" s="59"/>
    </row>
    <row r="517" spans="24:24" ht="12.5" x14ac:dyDescent="0.25">
      <c r="X517" s="59"/>
    </row>
    <row r="518" spans="24:24" ht="12.5" x14ac:dyDescent="0.25">
      <c r="X518" s="59"/>
    </row>
    <row r="519" spans="24:24" ht="12.5" x14ac:dyDescent="0.25">
      <c r="X519" s="59"/>
    </row>
    <row r="520" spans="24:24" ht="12.5" x14ac:dyDescent="0.25">
      <c r="X520" s="59"/>
    </row>
    <row r="521" spans="24:24" ht="12.5" x14ac:dyDescent="0.25">
      <c r="X521" s="59"/>
    </row>
    <row r="522" spans="24:24" ht="12.5" x14ac:dyDescent="0.25">
      <c r="X522" s="59"/>
    </row>
    <row r="523" spans="24:24" ht="12.5" x14ac:dyDescent="0.25">
      <c r="X523" s="59"/>
    </row>
    <row r="524" spans="24:24" ht="12.5" x14ac:dyDescent="0.25">
      <c r="X524" s="59"/>
    </row>
    <row r="525" spans="24:24" ht="12.5" x14ac:dyDescent="0.25">
      <c r="X525" s="59"/>
    </row>
    <row r="526" spans="24:24" ht="12.5" x14ac:dyDescent="0.25">
      <c r="X526" s="59"/>
    </row>
    <row r="527" spans="24:24" ht="12.5" x14ac:dyDescent="0.25">
      <c r="X527" s="59"/>
    </row>
    <row r="528" spans="24:24" ht="12.5" x14ac:dyDescent="0.25">
      <c r="X528" s="59"/>
    </row>
    <row r="529" spans="24:24" ht="12.5" x14ac:dyDescent="0.25">
      <c r="X529" s="59"/>
    </row>
    <row r="530" spans="24:24" ht="12.5" x14ac:dyDescent="0.25">
      <c r="X530" s="59"/>
    </row>
    <row r="531" spans="24:24" ht="12.5" x14ac:dyDescent="0.25">
      <c r="X531" s="59"/>
    </row>
    <row r="532" spans="24:24" ht="12.5" x14ac:dyDescent="0.25">
      <c r="X532" s="59"/>
    </row>
    <row r="533" spans="24:24" ht="12.5" x14ac:dyDescent="0.25">
      <c r="X533" s="59"/>
    </row>
    <row r="534" spans="24:24" ht="12.5" x14ac:dyDescent="0.25">
      <c r="X534" s="59"/>
    </row>
    <row r="535" spans="24:24" ht="12.5" x14ac:dyDescent="0.25">
      <c r="X535" s="59"/>
    </row>
    <row r="536" spans="24:24" ht="12.5" x14ac:dyDescent="0.25">
      <c r="X536" s="59"/>
    </row>
    <row r="537" spans="24:24" ht="12.5" x14ac:dyDescent="0.25">
      <c r="X537" s="59"/>
    </row>
    <row r="538" spans="24:24" ht="12.5" x14ac:dyDescent="0.25">
      <c r="X538" s="59"/>
    </row>
    <row r="539" spans="24:24" ht="12.5" x14ac:dyDescent="0.25">
      <c r="X539" s="59"/>
    </row>
    <row r="540" spans="24:24" ht="12.5" x14ac:dyDescent="0.25">
      <c r="X540" s="59"/>
    </row>
    <row r="541" spans="24:24" ht="12.5" x14ac:dyDescent="0.25">
      <c r="X541" s="59"/>
    </row>
    <row r="542" spans="24:24" ht="12.5" x14ac:dyDescent="0.25">
      <c r="X542" s="59"/>
    </row>
    <row r="543" spans="24:24" ht="12.5" x14ac:dyDescent="0.25">
      <c r="X543" s="59"/>
    </row>
    <row r="544" spans="24:24" ht="12.5" x14ac:dyDescent="0.25">
      <c r="X544" s="59"/>
    </row>
    <row r="545" spans="24:24" ht="12.5" x14ac:dyDescent="0.25">
      <c r="X545" s="59"/>
    </row>
    <row r="546" spans="24:24" ht="12.5" x14ac:dyDescent="0.25">
      <c r="X546" s="59"/>
    </row>
    <row r="547" spans="24:24" ht="12.5" x14ac:dyDescent="0.25">
      <c r="X547" s="59"/>
    </row>
    <row r="548" spans="24:24" ht="12.5" x14ac:dyDescent="0.25">
      <c r="X548" s="59"/>
    </row>
    <row r="549" spans="24:24" ht="12.5" x14ac:dyDescent="0.25">
      <c r="X549" s="59"/>
    </row>
    <row r="550" spans="24:24" ht="12.5" x14ac:dyDescent="0.25">
      <c r="X550" s="59"/>
    </row>
    <row r="551" spans="24:24" ht="12.5" x14ac:dyDescent="0.25">
      <c r="X551" s="59"/>
    </row>
    <row r="552" spans="24:24" ht="12.5" x14ac:dyDescent="0.25">
      <c r="X552" s="59"/>
    </row>
    <row r="553" spans="24:24" ht="12.5" x14ac:dyDescent="0.25">
      <c r="X553" s="59"/>
    </row>
    <row r="554" spans="24:24" ht="12.5" x14ac:dyDescent="0.25">
      <c r="X554" s="59"/>
    </row>
    <row r="555" spans="24:24" ht="12.5" x14ac:dyDescent="0.25">
      <c r="X555" s="59"/>
    </row>
    <row r="556" spans="24:24" ht="12.5" x14ac:dyDescent="0.25">
      <c r="X556" s="59"/>
    </row>
    <row r="557" spans="24:24" ht="12.5" x14ac:dyDescent="0.25">
      <c r="X557" s="59"/>
    </row>
    <row r="558" spans="24:24" ht="12.5" x14ac:dyDescent="0.25">
      <c r="X558" s="59"/>
    </row>
    <row r="559" spans="24:24" ht="12.5" x14ac:dyDescent="0.25">
      <c r="X559" s="59"/>
    </row>
    <row r="560" spans="24:24" ht="12.5" x14ac:dyDescent="0.25">
      <c r="X560" s="59"/>
    </row>
    <row r="561" spans="24:24" ht="12.5" x14ac:dyDescent="0.25">
      <c r="X561" s="59"/>
    </row>
    <row r="562" spans="24:24" ht="12.5" x14ac:dyDescent="0.25">
      <c r="X562" s="59"/>
    </row>
    <row r="563" spans="24:24" ht="12.5" x14ac:dyDescent="0.25">
      <c r="X563" s="59"/>
    </row>
    <row r="564" spans="24:24" ht="12.5" x14ac:dyDescent="0.25">
      <c r="X564" s="59"/>
    </row>
    <row r="565" spans="24:24" ht="12.5" x14ac:dyDescent="0.25">
      <c r="X565" s="59"/>
    </row>
    <row r="566" spans="24:24" ht="12.5" x14ac:dyDescent="0.25">
      <c r="X566" s="59"/>
    </row>
    <row r="567" spans="24:24" ht="12.5" x14ac:dyDescent="0.25">
      <c r="X567" s="59"/>
    </row>
    <row r="568" spans="24:24" ht="12.5" x14ac:dyDescent="0.25">
      <c r="X568" s="59"/>
    </row>
    <row r="569" spans="24:24" ht="12.5" x14ac:dyDescent="0.25">
      <c r="X569" s="59"/>
    </row>
    <row r="570" spans="24:24" ht="12.5" x14ac:dyDescent="0.25">
      <c r="X570" s="59"/>
    </row>
    <row r="571" spans="24:24" ht="12.5" x14ac:dyDescent="0.25">
      <c r="X571" s="59"/>
    </row>
    <row r="572" spans="24:24" ht="12.5" x14ac:dyDescent="0.25">
      <c r="X572" s="59"/>
    </row>
    <row r="573" spans="24:24" ht="12.5" x14ac:dyDescent="0.25">
      <c r="X573" s="59"/>
    </row>
    <row r="574" spans="24:24" ht="12.5" x14ac:dyDescent="0.25">
      <c r="X574" s="59"/>
    </row>
    <row r="575" spans="24:24" ht="12.5" x14ac:dyDescent="0.25">
      <c r="X575" s="59"/>
    </row>
    <row r="576" spans="24:24" ht="12.5" x14ac:dyDescent="0.25">
      <c r="X576" s="59"/>
    </row>
    <row r="577" spans="24:24" ht="12.5" x14ac:dyDescent="0.25">
      <c r="X577" s="59"/>
    </row>
    <row r="578" spans="24:24" ht="12.5" x14ac:dyDescent="0.25">
      <c r="X578" s="59"/>
    </row>
    <row r="579" spans="24:24" ht="12.5" x14ac:dyDescent="0.25">
      <c r="X579" s="59"/>
    </row>
    <row r="580" spans="24:24" ht="12.5" x14ac:dyDescent="0.25">
      <c r="X580" s="59"/>
    </row>
    <row r="581" spans="24:24" ht="12.5" x14ac:dyDescent="0.25">
      <c r="X581" s="59"/>
    </row>
    <row r="582" spans="24:24" ht="12.5" x14ac:dyDescent="0.25">
      <c r="X582" s="59"/>
    </row>
    <row r="583" spans="24:24" ht="12.5" x14ac:dyDescent="0.25">
      <c r="X583" s="59"/>
    </row>
    <row r="584" spans="24:24" ht="12.5" x14ac:dyDescent="0.25">
      <c r="X584" s="59"/>
    </row>
    <row r="585" spans="24:24" ht="12.5" x14ac:dyDescent="0.25">
      <c r="X585" s="59"/>
    </row>
    <row r="586" spans="24:24" ht="12.5" x14ac:dyDescent="0.25">
      <c r="X586" s="59"/>
    </row>
    <row r="587" spans="24:24" ht="12.5" x14ac:dyDescent="0.25">
      <c r="X587" s="59"/>
    </row>
    <row r="588" spans="24:24" ht="12.5" x14ac:dyDescent="0.25">
      <c r="X588" s="59"/>
    </row>
    <row r="589" spans="24:24" ht="12.5" x14ac:dyDescent="0.25">
      <c r="X589" s="59"/>
    </row>
    <row r="590" spans="24:24" ht="12.5" x14ac:dyDescent="0.25">
      <c r="X590" s="59"/>
    </row>
    <row r="591" spans="24:24" ht="12.5" x14ac:dyDescent="0.25">
      <c r="X591" s="59"/>
    </row>
    <row r="592" spans="24:24" ht="12.5" x14ac:dyDescent="0.25">
      <c r="X592" s="59"/>
    </row>
    <row r="593" spans="24:24" ht="12.5" x14ac:dyDescent="0.25">
      <c r="X593" s="59"/>
    </row>
    <row r="594" spans="24:24" ht="12.5" x14ac:dyDescent="0.25">
      <c r="X594" s="59"/>
    </row>
    <row r="595" spans="24:24" ht="12.5" x14ac:dyDescent="0.25">
      <c r="X595" s="59"/>
    </row>
    <row r="596" spans="24:24" ht="12.5" x14ac:dyDescent="0.25">
      <c r="X596" s="59"/>
    </row>
    <row r="597" spans="24:24" ht="12.5" x14ac:dyDescent="0.25">
      <c r="X597" s="59"/>
    </row>
    <row r="598" spans="24:24" ht="12.5" x14ac:dyDescent="0.25">
      <c r="X598" s="59"/>
    </row>
    <row r="599" spans="24:24" ht="12.5" x14ac:dyDescent="0.25">
      <c r="X599" s="59"/>
    </row>
    <row r="600" spans="24:24" ht="12.5" x14ac:dyDescent="0.25">
      <c r="X600" s="59"/>
    </row>
    <row r="601" spans="24:24" ht="12.5" x14ac:dyDescent="0.25">
      <c r="X601" s="59"/>
    </row>
    <row r="602" spans="24:24" ht="12.5" x14ac:dyDescent="0.25">
      <c r="X602" s="59"/>
    </row>
    <row r="603" spans="24:24" ht="12.5" x14ac:dyDescent="0.25">
      <c r="X603" s="59"/>
    </row>
    <row r="604" spans="24:24" ht="12.5" x14ac:dyDescent="0.25">
      <c r="X604" s="59"/>
    </row>
    <row r="605" spans="24:24" ht="12.5" x14ac:dyDescent="0.25">
      <c r="X605" s="59"/>
    </row>
    <row r="606" spans="24:24" ht="12.5" x14ac:dyDescent="0.25">
      <c r="X606" s="59"/>
    </row>
    <row r="607" spans="24:24" ht="12.5" x14ac:dyDescent="0.25">
      <c r="X607" s="59"/>
    </row>
    <row r="608" spans="24:24" ht="12.5" x14ac:dyDescent="0.25">
      <c r="X608" s="59"/>
    </row>
    <row r="609" spans="24:24" ht="12.5" x14ac:dyDescent="0.25">
      <c r="X609" s="59"/>
    </row>
    <row r="610" spans="24:24" ht="12.5" x14ac:dyDescent="0.25">
      <c r="X610" s="59"/>
    </row>
    <row r="611" spans="24:24" ht="12.5" x14ac:dyDescent="0.25">
      <c r="X611" s="59"/>
    </row>
    <row r="612" spans="24:24" ht="12.5" x14ac:dyDescent="0.25">
      <c r="X612" s="59"/>
    </row>
    <row r="613" spans="24:24" ht="12.5" x14ac:dyDescent="0.25">
      <c r="X613" s="59"/>
    </row>
    <row r="614" spans="24:24" ht="12.5" x14ac:dyDescent="0.25">
      <c r="X614" s="59"/>
    </row>
    <row r="615" spans="24:24" ht="12.5" x14ac:dyDescent="0.25">
      <c r="X615" s="59"/>
    </row>
    <row r="616" spans="24:24" ht="12.5" x14ac:dyDescent="0.25">
      <c r="X616" s="59"/>
    </row>
    <row r="617" spans="24:24" ht="12.5" x14ac:dyDescent="0.25">
      <c r="X617" s="59"/>
    </row>
    <row r="618" spans="24:24" ht="12.5" x14ac:dyDescent="0.25">
      <c r="X618" s="59"/>
    </row>
    <row r="619" spans="24:24" ht="12.5" x14ac:dyDescent="0.25">
      <c r="X619" s="59"/>
    </row>
    <row r="620" spans="24:24" ht="12.5" x14ac:dyDescent="0.25">
      <c r="X620" s="59"/>
    </row>
    <row r="621" spans="24:24" ht="12.5" x14ac:dyDescent="0.25">
      <c r="X621" s="59"/>
    </row>
    <row r="622" spans="24:24" ht="12.5" x14ac:dyDescent="0.25">
      <c r="X622" s="59"/>
    </row>
    <row r="623" spans="24:24" ht="12.5" x14ac:dyDescent="0.25">
      <c r="X623" s="59"/>
    </row>
    <row r="624" spans="24:24" ht="12.5" x14ac:dyDescent="0.25">
      <c r="X624" s="59"/>
    </row>
    <row r="625" spans="24:24" ht="12.5" x14ac:dyDescent="0.25">
      <c r="X625" s="59"/>
    </row>
    <row r="626" spans="24:24" ht="12.5" x14ac:dyDescent="0.25">
      <c r="X626" s="59"/>
    </row>
    <row r="627" spans="24:24" ht="12.5" x14ac:dyDescent="0.25">
      <c r="X627" s="59"/>
    </row>
    <row r="628" spans="24:24" ht="12.5" x14ac:dyDescent="0.25">
      <c r="X628" s="59"/>
    </row>
    <row r="629" spans="24:24" ht="12.5" x14ac:dyDescent="0.25">
      <c r="X629" s="59"/>
    </row>
    <row r="630" spans="24:24" ht="12.5" x14ac:dyDescent="0.25">
      <c r="X630" s="59"/>
    </row>
    <row r="631" spans="24:24" ht="12.5" x14ac:dyDescent="0.25">
      <c r="X631" s="59"/>
    </row>
    <row r="632" spans="24:24" ht="12.5" x14ac:dyDescent="0.25">
      <c r="X632" s="59"/>
    </row>
    <row r="633" spans="24:24" ht="12.5" x14ac:dyDescent="0.25">
      <c r="X633" s="59"/>
    </row>
    <row r="634" spans="24:24" ht="12.5" x14ac:dyDescent="0.25">
      <c r="X634" s="59"/>
    </row>
    <row r="635" spans="24:24" ht="12.5" x14ac:dyDescent="0.25">
      <c r="X635" s="59"/>
    </row>
    <row r="636" spans="24:24" ht="12.5" x14ac:dyDescent="0.25">
      <c r="X636" s="59"/>
    </row>
    <row r="637" spans="24:24" ht="12.5" x14ac:dyDescent="0.25">
      <c r="X637" s="59"/>
    </row>
    <row r="638" spans="24:24" ht="12.5" x14ac:dyDescent="0.25">
      <c r="X638" s="59"/>
    </row>
    <row r="639" spans="24:24" ht="12.5" x14ac:dyDescent="0.25">
      <c r="X639" s="59"/>
    </row>
    <row r="640" spans="24:24" ht="12.5" x14ac:dyDescent="0.25">
      <c r="X640" s="59"/>
    </row>
    <row r="641" spans="24:24" ht="12.5" x14ac:dyDescent="0.25">
      <c r="X641" s="59"/>
    </row>
    <row r="642" spans="24:24" ht="12.5" x14ac:dyDescent="0.25">
      <c r="X642" s="59"/>
    </row>
    <row r="643" spans="24:24" ht="12.5" x14ac:dyDescent="0.25">
      <c r="X643" s="59"/>
    </row>
    <row r="644" spans="24:24" ht="12.5" x14ac:dyDescent="0.25">
      <c r="X644" s="59"/>
    </row>
    <row r="645" spans="24:24" ht="12.5" x14ac:dyDescent="0.25">
      <c r="X645" s="59"/>
    </row>
    <row r="646" spans="24:24" ht="12.5" x14ac:dyDescent="0.25">
      <c r="X646" s="59"/>
    </row>
    <row r="647" spans="24:24" ht="12.5" x14ac:dyDescent="0.25">
      <c r="X647" s="59"/>
    </row>
    <row r="648" spans="24:24" ht="12.5" x14ac:dyDescent="0.25">
      <c r="X648" s="59"/>
    </row>
    <row r="649" spans="24:24" ht="12.5" x14ac:dyDescent="0.25">
      <c r="X649" s="59"/>
    </row>
    <row r="650" spans="24:24" ht="12.5" x14ac:dyDescent="0.25">
      <c r="X650" s="59"/>
    </row>
    <row r="651" spans="24:24" ht="12.5" x14ac:dyDescent="0.25">
      <c r="X651" s="59"/>
    </row>
    <row r="652" spans="24:24" ht="12.5" x14ac:dyDescent="0.25">
      <c r="X652" s="59"/>
    </row>
    <row r="653" spans="24:24" ht="12.5" x14ac:dyDescent="0.25">
      <c r="X653" s="59"/>
    </row>
    <row r="654" spans="24:24" ht="12.5" x14ac:dyDescent="0.25">
      <c r="X654" s="59"/>
    </row>
    <row r="655" spans="24:24" ht="12.5" x14ac:dyDescent="0.25">
      <c r="X655" s="59"/>
    </row>
    <row r="656" spans="24:24" ht="12.5" x14ac:dyDescent="0.25">
      <c r="X656" s="59"/>
    </row>
    <row r="657" spans="24:24" ht="12.5" x14ac:dyDescent="0.25">
      <c r="X657" s="59"/>
    </row>
    <row r="658" spans="24:24" ht="12.5" x14ac:dyDescent="0.25">
      <c r="X658" s="59"/>
    </row>
    <row r="659" spans="24:24" ht="12.5" x14ac:dyDescent="0.25">
      <c r="X659" s="59"/>
    </row>
    <row r="660" spans="24:24" ht="12.5" x14ac:dyDescent="0.25">
      <c r="X660" s="59"/>
    </row>
    <row r="661" spans="24:24" ht="12.5" x14ac:dyDescent="0.25">
      <c r="X661" s="59"/>
    </row>
    <row r="662" spans="24:24" ht="12.5" x14ac:dyDescent="0.25">
      <c r="X662" s="59"/>
    </row>
    <row r="663" spans="24:24" ht="12.5" x14ac:dyDescent="0.25">
      <c r="X663" s="59"/>
    </row>
    <row r="664" spans="24:24" ht="12.5" x14ac:dyDescent="0.25">
      <c r="X664" s="59"/>
    </row>
    <row r="665" spans="24:24" ht="12.5" x14ac:dyDescent="0.25">
      <c r="X665" s="59"/>
    </row>
    <row r="666" spans="24:24" ht="12.5" x14ac:dyDescent="0.25">
      <c r="X666" s="59"/>
    </row>
    <row r="667" spans="24:24" ht="12.5" x14ac:dyDescent="0.25">
      <c r="X667" s="59"/>
    </row>
    <row r="668" spans="24:24" ht="12.5" x14ac:dyDescent="0.25">
      <c r="X668" s="59"/>
    </row>
    <row r="669" spans="24:24" ht="12.5" x14ac:dyDescent="0.25">
      <c r="X669" s="59"/>
    </row>
    <row r="670" spans="24:24" ht="12.5" x14ac:dyDescent="0.25">
      <c r="X670" s="59"/>
    </row>
    <row r="671" spans="24:24" ht="12.5" x14ac:dyDescent="0.25">
      <c r="X671" s="59"/>
    </row>
    <row r="672" spans="24:24" ht="12.5" x14ac:dyDescent="0.25">
      <c r="X672" s="59"/>
    </row>
    <row r="673" spans="24:24" ht="12.5" x14ac:dyDescent="0.25">
      <c r="X673" s="59"/>
    </row>
    <row r="674" spans="24:24" ht="12.5" x14ac:dyDescent="0.25">
      <c r="X674" s="59"/>
    </row>
    <row r="675" spans="24:24" ht="12.5" x14ac:dyDescent="0.25">
      <c r="X675" s="59"/>
    </row>
    <row r="676" spans="24:24" ht="12.5" x14ac:dyDescent="0.25">
      <c r="X676" s="59"/>
    </row>
    <row r="677" spans="24:24" ht="12.5" x14ac:dyDescent="0.25">
      <c r="X677" s="59"/>
    </row>
    <row r="678" spans="24:24" ht="12.5" x14ac:dyDescent="0.25">
      <c r="X678" s="59"/>
    </row>
    <row r="679" spans="24:24" ht="12.5" x14ac:dyDescent="0.25">
      <c r="X679" s="59"/>
    </row>
    <row r="680" spans="24:24" ht="12.5" x14ac:dyDescent="0.25">
      <c r="X680" s="59"/>
    </row>
    <row r="681" spans="24:24" ht="12.5" x14ac:dyDescent="0.25">
      <c r="X681" s="59"/>
    </row>
    <row r="682" spans="24:24" ht="12.5" x14ac:dyDescent="0.25">
      <c r="X682" s="59"/>
    </row>
    <row r="683" spans="24:24" ht="12.5" x14ac:dyDescent="0.25">
      <c r="X683" s="59"/>
    </row>
    <row r="684" spans="24:24" ht="12.5" x14ac:dyDescent="0.25">
      <c r="X684" s="59"/>
    </row>
    <row r="685" spans="24:24" ht="12.5" x14ac:dyDescent="0.25">
      <c r="X685" s="59"/>
    </row>
    <row r="686" spans="24:24" ht="12.5" x14ac:dyDescent="0.25">
      <c r="X686" s="59"/>
    </row>
    <row r="687" spans="24:24" ht="12.5" x14ac:dyDescent="0.25">
      <c r="X687" s="59"/>
    </row>
    <row r="688" spans="24:24" ht="12.5" x14ac:dyDescent="0.25">
      <c r="X688" s="59"/>
    </row>
    <row r="689" spans="24:24" ht="12.5" x14ac:dyDescent="0.25">
      <c r="X689" s="59"/>
    </row>
    <row r="690" spans="24:24" ht="12.5" x14ac:dyDescent="0.25">
      <c r="X690" s="59"/>
    </row>
    <row r="691" spans="24:24" ht="12.5" x14ac:dyDescent="0.25">
      <c r="X691" s="59"/>
    </row>
    <row r="692" spans="24:24" ht="12.5" x14ac:dyDescent="0.25">
      <c r="X692" s="59"/>
    </row>
    <row r="693" spans="24:24" ht="12.5" x14ac:dyDescent="0.25">
      <c r="X693" s="59"/>
    </row>
    <row r="694" spans="24:24" ht="12.5" x14ac:dyDescent="0.25">
      <c r="X694" s="59"/>
    </row>
    <row r="695" spans="24:24" ht="12.5" x14ac:dyDescent="0.25">
      <c r="X695" s="59"/>
    </row>
    <row r="696" spans="24:24" ht="12.5" x14ac:dyDescent="0.25">
      <c r="X696" s="59"/>
    </row>
    <row r="697" spans="24:24" ht="12.5" x14ac:dyDescent="0.25">
      <c r="X697" s="59"/>
    </row>
    <row r="698" spans="24:24" ht="12.5" x14ac:dyDescent="0.25">
      <c r="X698" s="59"/>
    </row>
    <row r="699" spans="24:24" ht="12.5" x14ac:dyDescent="0.25">
      <c r="X699" s="59"/>
    </row>
    <row r="700" spans="24:24" ht="12.5" x14ac:dyDescent="0.25">
      <c r="X700" s="59"/>
    </row>
    <row r="701" spans="24:24" ht="12.5" x14ac:dyDescent="0.25">
      <c r="X701" s="59"/>
    </row>
    <row r="702" spans="24:24" ht="12.5" x14ac:dyDescent="0.25">
      <c r="X702" s="59"/>
    </row>
    <row r="703" spans="24:24" ht="12.5" x14ac:dyDescent="0.25">
      <c r="X703" s="59"/>
    </row>
    <row r="704" spans="24:24" ht="12.5" x14ac:dyDescent="0.25">
      <c r="X704" s="59"/>
    </row>
    <row r="705" spans="24:24" ht="12.5" x14ac:dyDescent="0.25">
      <c r="X705" s="59"/>
    </row>
    <row r="706" spans="24:24" ht="12.5" x14ac:dyDescent="0.25">
      <c r="X706" s="59"/>
    </row>
    <row r="707" spans="24:24" ht="12.5" x14ac:dyDescent="0.25">
      <c r="X707" s="59"/>
    </row>
    <row r="708" spans="24:24" ht="12.5" x14ac:dyDescent="0.25">
      <c r="X708" s="59"/>
    </row>
    <row r="709" spans="24:24" ht="12.5" x14ac:dyDescent="0.25">
      <c r="X709" s="59"/>
    </row>
    <row r="710" spans="24:24" ht="12.5" x14ac:dyDescent="0.25">
      <c r="X710" s="59"/>
    </row>
    <row r="711" spans="24:24" ht="12.5" x14ac:dyDescent="0.25">
      <c r="X711" s="59"/>
    </row>
    <row r="712" spans="24:24" ht="12.5" x14ac:dyDescent="0.25">
      <c r="X712" s="59"/>
    </row>
    <row r="713" spans="24:24" ht="12.5" x14ac:dyDescent="0.25">
      <c r="X713" s="59"/>
    </row>
    <row r="714" spans="24:24" ht="12.5" x14ac:dyDescent="0.25">
      <c r="X714" s="59"/>
    </row>
    <row r="715" spans="24:24" ht="12.5" x14ac:dyDescent="0.25">
      <c r="X715" s="59"/>
    </row>
    <row r="716" spans="24:24" ht="12.5" x14ac:dyDescent="0.25">
      <c r="X716" s="59"/>
    </row>
    <row r="717" spans="24:24" ht="12.5" x14ac:dyDescent="0.25">
      <c r="X717" s="59"/>
    </row>
    <row r="718" spans="24:24" ht="12.5" x14ac:dyDescent="0.25">
      <c r="X718" s="59"/>
    </row>
    <row r="719" spans="24:24" ht="12.5" x14ac:dyDescent="0.25">
      <c r="X719" s="59"/>
    </row>
    <row r="720" spans="24:24" ht="12.5" x14ac:dyDescent="0.25">
      <c r="X720" s="59"/>
    </row>
    <row r="721" spans="24:24" ht="12.5" x14ac:dyDescent="0.25">
      <c r="X721" s="59"/>
    </row>
    <row r="722" spans="24:24" ht="12.5" x14ac:dyDescent="0.25">
      <c r="X722" s="59"/>
    </row>
    <row r="723" spans="24:24" ht="12.5" x14ac:dyDescent="0.25">
      <c r="X723" s="59"/>
    </row>
    <row r="724" spans="24:24" ht="12.5" x14ac:dyDescent="0.25">
      <c r="X724" s="59"/>
    </row>
    <row r="725" spans="24:24" ht="12.5" x14ac:dyDescent="0.25">
      <c r="X725" s="59"/>
    </row>
    <row r="726" spans="24:24" ht="12.5" x14ac:dyDescent="0.25">
      <c r="X726" s="59"/>
    </row>
    <row r="727" spans="24:24" ht="12.5" x14ac:dyDescent="0.25">
      <c r="X727" s="59"/>
    </row>
    <row r="728" spans="24:24" ht="12.5" x14ac:dyDescent="0.25">
      <c r="X728" s="59"/>
    </row>
    <row r="729" spans="24:24" ht="12.5" x14ac:dyDescent="0.25">
      <c r="X729" s="59"/>
    </row>
    <row r="730" spans="24:24" ht="12.5" x14ac:dyDescent="0.25">
      <c r="X730" s="59"/>
    </row>
    <row r="731" spans="24:24" ht="12.5" x14ac:dyDescent="0.25">
      <c r="X731" s="59"/>
    </row>
    <row r="732" spans="24:24" ht="12.5" x14ac:dyDescent="0.25">
      <c r="X732" s="59"/>
    </row>
    <row r="733" spans="24:24" ht="12.5" x14ac:dyDescent="0.25">
      <c r="X733" s="59"/>
    </row>
    <row r="734" spans="24:24" ht="12.5" x14ac:dyDescent="0.25">
      <c r="X734" s="59"/>
    </row>
    <row r="735" spans="24:24" ht="12.5" x14ac:dyDescent="0.25">
      <c r="X735" s="59"/>
    </row>
    <row r="736" spans="24:24" ht="12.5" x14ac:dyDescent="0.25">
      <c r="X736" s="59"/>
    </row>
    <row r="737" spans="24:24" ht="12.5" x14ac:dyDescent="0.25">
      <c r="X737" s="59"/>
    </row>
    <row r="738" spans="24:24" ht="12.5" x14ac:dyDescent="0.25">
      <c r="X738" s="59"/>
    </row>
    <row r="739" spans="24:24" ht="12.5" x14ac:dyDescent="0.25">
      <c r="X739" s="59"/>
    </row>
    <row r="740" spans="24:24" ht="12.5" x14ac:dyDescent="0.25">
      <c r="X740" s="59"/>
    </row>
    <row r="741" spans="24:24" ht="12.5" x14ac:dyDescent="0.25">
      <c r="X741" s="59"/>
    </row>
    <row r="742" spans="24:24" ht="12.5" x14ac:dyDescent="0.25">
      <c r="X742" s="59"/>
    </row>
    <row r="743" spans="24:24" ht="12.5" x14ac:dyDescent="0.25">
      <c r="X743" s="59"/>
    </row>
    <row r="744" spans="24:24" ht="12.5" x14ac:dyDescent="0.25">
      <c r="X744" s="59"/>
    </row>
    <row r="745" spans="24:24" ht="12.5" x14ac:dyDescent="0.25">
      <c r="X745" s="59"/>
    </row>
    <row r="746" spans="24:24" ht="12.5" x14ac:dyDescent="0.25">
      <c r="X746" s="59"/>
    </row>
    <row r="747" spans="24:24" ht="12.5" x14ac:dyDescent="0.25">
      <c r="X747" s="59"/>
    </row>
    <row r="748" spans="24:24" ht="12.5" x14ac:dyDescent="0.25">
      <c r="X748" s="59"/>
    </row>
    <row r="749" spans="24:24" ht="12.5" x14ac:dyDescent="0.25">
      <c r="X749" s="59"/>
    </row>
    <row r="750" spans="24:24" ht="12.5" x14ac:dyDescent="0.25">
      <c r="X750" s="59"/>
    </row>
    <row r="751" spans="24:24" ht="12.5" x14ac:dyDescent="0.25">
      <c r="X751" s="59"/>
    </row>
    <row r="752" spans="24:24" ht="12.5" x14ac:dyDescent="0.25">
      <c r="X752" s="59"/>
    </row>
    <row r="753" spans="24:24" ht="12.5" x14ac:dyDescent="0.25">
      <c r="X753" s="59"/>
    </row>
    <row r="754" spans="24:24" ht="12.5" x14ac:dyDescent="0.25">
      <c r="X754" s="59"/>
    </row>
    <row r="755" spans="24:24" ht="12.5" x14ac:dyDescent="0.25">
      <c r="X755" s="59"/>
    </row>
    <row r="756" spans="24:24" ht="12.5" x14ac:dyDescent="0.25">
      <c r="X756" s="59"/>
    </row>
    <row r="757" spans="24:24" ht="12.5" x14ac:dyDescent="0.25">
      <c r="X757" s="59"/>
    </row>
    <row r="758" spans="24:24" ht="12.5" x14ac:dyDescent="0.25">
      <c r="X758" s="59"/>
    </row>
    <row r="759" spans="24:24" ht="12.5" x14ac:dyDescent="0.25">
      <c r="X759" s="59"/>
    </row>
    <row r="760" spans="24:24" ht="12.5" x14ac:dyDescent="0.25">
      <c r="X760" s="59"/>
    </row>
    <row r="761" spans="24:24" ht="12.5" x14ac:dyDescent="0.25">
      <c r="X761" s="59"/>
    </row>
    <row r="762" spans="24:24" ht="12.5" x14ac:dyDescent="0.25">
      <c r="X762" s="59"/>
    </row>
    <row r="763" spans="24:24" ht="12.5" x14ac:dyDescent="0.25">
      <c r="X763" s="59"/>
    </row>
    <row r="764" spans="24:24" ht="12.5" x14ac:dyDescent="0.25">
      <c r="X764" s="59"/>
    </row>
    <row r="765" spans="24:24" ht="12.5" x14ac:dyDescent="0.25">
      <c r="X765" s="59"/>
    </row>
    <row r="766" spans="24:24" ht="12.5" x14ac:dyDescent="0.25">
      <c r="X766" s="59"/>
    </row>
    <row r="767" spans="24:24" ht="12.5" x14ac:dyDescent="0.25">
      <c r="X767" s="59"/>
    </row>
    <row r="768" spans="24:24" ht="12.5" x14ac:dyDescent="0.25">
      <c r="X768" s="59"/>
    </row>
    <row r="769" spans="24:24" ht="12.5" x14ac:dyDescent="0.25">
      <c r="X769" s="59"/>
    </row>
    <row r="770" spans="24:24" ht="12.5" x14ac:dyDescent="0.25">
      <c r="X770" s="59"/>
    </row>
    <row r="771" spans="24:24" ht="12.5" x14ac:dyDescent="0.25">
      <c r="X771" s="59"/>
    </row>
    <row r="772" spans="24:24" ht="12.5" x14ac:dyDescent="0.25">
      <c r="X772" s="59"/>
    </row>
    <row r="773" spans="24:24" ht="12.5" x14ac:dyDescent="0.25">
      <c r="X773" s="59"/>
    </row>
    <row r="774" spans="24:24" ht="12.5" x14ac:dyDescent="0.25">
      <c r="X774" s="59"/>
    </row>
    <row r="775" spans="24:24" ht="12.5" x14ac:dyDescent="0.25">
      <c r="X775" s="59"/>
    </row>
    <row r="776" spans="24:24" ht="12.5" x14ac:dyDescent="0.25">
      <c r="X776" s="59"/>
    </row>
    <row r="777" spans="24:24" ht="12.5" x14ac:dyDescent="0.25">
      <c r="X777" s="59"/>
    </row>
    <row r="778" spans="24:24" ht="12.5" x14ac:dyDescent="0.25">
      <c r="X778" s="59"/>
    </row>
    <row r="779" spans="24:24" ht="12.5" x14ac:dyDescent="0.25">
      <c r="X779" s="59"/>
    </row>
    <row r="780" spans="24:24" ht="12.5" x14ac:dyDescent="0.25">
      <c r="X780" s="59"/>
    </row>
    <row r="781" spans="24:24" ht="12.5" x14ac:dyDescent="0.25">
      <c r="X781" s="59"/>
    </row>
    <row r="782" spans="24:24" ht="12.5" x14ac:dyDescent="0.25">
      <c r="X782" s="59"/>
    </row>
    <row r="783" spans="24:24" ht="12.5" x14ac:dyDescent="0.25">
      <c r="X783" s="59"/>
    </row>
    <row r="784" spans="24:24" ht="12.5" x14ac:dyDescent="0.25">
      <c r="X784" s="59"/>
    </row>
    <row r="785" spans="24:24" ht="12.5" x14ac:dyDescent="0.25">
      <c r="X785" s="59"/>
    </row>
    <row r="786" spans="24:24" ht="12.5" x14ac:dyDescent="0.25">
      <c r="X786" s="59"/>
    </row>
    <row r="787" spans="24:24" ht="12.5" x14ac:dyDescent="0.25">
      <c r="X787" s="59"/>
    </row>
    <row r="788" spans="24:24" ht="12.5" x14ac:dyDescent="0.25">
      <c r="X788" s="59"/>
    </row>
    <row r="789" spans="24:24" ht="12.5" x14ac:dyDescent="0.25">
      <c r="X789" s="59"/>
    </row>
    <row r="790" spans="24:24" ht="12.5" x14ac:dyDescent="0.25">
      <c r="X790" s="59"/>
    </row>
    <row r="791" spans="24:24" ht="12.5" x14ac:dyDescent="0.25">
      <c r="X791" s="59"/>
    </row>
    <row r="792" spans="24:24" ht="12.5" x14ac:dyDescent="0.25">
      <c r="X792" s="59"/>
    </row>
    <row r="793" spans="24:24" ht="12.5" x14ac:dyDescent="0.25">
      <c r="X793" s="59"/>
    </row>
    <row r="794" spans="24:24" ht="12.5" x14ac:dyDescent="0.25">
      <c r="X794" s="59"/>
    </row>
    <row r="795" spans="24:24" ht="12.5" x14ac:dyDescent="0.25">
      <c r="X795" s="59"/>
    </row>
    <row r="796" spans="24:24" ht="12.5" x14ac:dyDescent="0.25">
      <c r="X796" s="59"/>
    </row>
    <row r="797" spans="24:24" ht="12.5" x14ac:dyDescent="0.25">
      <c r="X797" s="59"/>
    </row>
    <row r="798" spans="24:24" ht="12.5" x14ac:dyDescent="0.25">
      <c r="X798" s="59"/>
    </row>
    <row r="799" spans="24:24" ht="12.5" x14ac:dyDescent="0.25">
      <c r="X799" s="59"/>
    </row>
    <row r="800" spans="24:24" ht="12.5" x14ac:dyDescent="0.25">
      <c r="X800" s="59"/>
    </row>
    <row r="801" spans="24:24" ht="12.5" x14ac:dyDescent="0.25">
      <c r="X801" s="59"/>
    </row>
    <row r="802" spans="24:24" ht="12.5" x14ac:dyDescent="0.25">
      <c r="X802" s="59"/>
    </row>
    <row r="803" spans="24:24" ht="12.5" x14ac:dyDescent="0.25">
      <c r="X803" s="59"/>
    </row>
    <row r="804" spans="24:24" ht="12.5" x14ac:dyDescent="0.25">
      <c r="X804" s="59"/>
    </row>
    <row r="805" spans="24:24" ht="12.5" x14ac:dyDescent="0.25">
      <c r="X805" s="59"/>
    </row>
    <row r="806" spans="24:24" ht="12.5" x14ac:dyDescent="0.25">
      <c r="X806" s="59"/>
    </row>
    <row r="807" spans="24:24" ht="12.5" x14ac:dyDescent="0.25">
      <c r="X807" s="59"/>
    </row>
    <row r="808" spans="24:24" ht="12.5" x14ac:dyDescent="0.25">
      <c r="X808" s="59"/>
    </row>
    <row r="809" spans="24:24" ht="12.5" x14ac:dyDescent="0.25">
      <c r="X809" s="59"/>
    </row>
    <row r="810" spans="24:24" ht="12.5" x14ac:dyDescent="0.25">
      <c r="X810" s="59"/>
    </row>
    <row r="811" spans="24:24" ht="12.5" x14ac:dyDescent="0.25">
      <c r="X811" s="59"/>
    </row>
    <row r="812" spans="24:24" ht="12.5" x14ac:dyDescent="0.25">
      <c r="X812" s="59"/>
    </row>
    <row r="813" spans="24:24" ht="12.5" x14ac:dyDescent="0.25">
      <c r="X813" s="59"/>
    </row>
    <row r="814" spans="24:24" ht="12.5" x14ac:dyDescent="0.25">
      <c r="X814" s="59"/>
    </row>
    <row r="815" spans="24:24" ht="12.5" x14ac:dyDescent="0.25">
      <c r="X815" s="59"/>
    </row>
    <row r="816" spans="24:24" ht="12.5" x14ac:dyDescent="0.25">
      <c r="X816" s="59"/>
    </row>
    <row r="817" spans="24:24" ht="12.5" x14ac:dyDescent="0.25">
      <c r="X817" s="59"/>
    </row>
    <row r="818" spans="24:24" ht="12.5" x14ac:dyDescent="0.25">
      <c r="X818" s="59"/>
    </row>
    <row r="819" spans="24:24" ht="12.5" x14ac:dyDescent="0.25">
      <c r="X819" s="59"/>
    </row>
    <row r="820" spans="24:24" ht="12.5" x14ac:dyDescent="0.25">
      <c r="X820" s="59"/>
    </row>
    <row r="821" spans="24:24" ht="12.5" x14ac:dyDescent="0.25">
      <c r="X821" s="59"/>
    </row>
    <row r="822" spans="24:24" ht="12.5" x14ac:dyDescent="0.25">
      <c r="X822" s="59"/>
    </row>
    <row r="823" spans="24:24" ht="12.5" x14ac:dyDescent="0.25">
      <c r="X823" s="59"/>
    </row>
    <row r="824" spans="24:24" ht="12.5" x14ac:dyDescent="0.25">
      <c r="X824" s="59"/>
    </row>
    <row r="825" spans="24:24" ht="12.5" x14ac:dyDescent="0.25">
      <c r="X825" s="59"/>
    </row>
    <row r="826" spans="24:24" ht="12.5" x14ac:dyDescent="0.25">
      <c r="X826" s="59"/>
    </row>
    <row r="827" spans="24:24" ht="12.5" x14ac:dyDescent="0.25">
      <c r="X827" s="59"/>
    </row>
    <row r="828" spans="24:24" ht="12.5" x14ac:dyDescent="0.25">
      <c r="X828" s="59"/>
    </row>
    <row r="829" spans="24:24" ht="12.5" x14ac:dyDescent="0.25">
      <c r="X829" s="59"/>
    </row>
    <row r="830" spans="24:24" ht="12.5" x14ac:dyDescent="0.25">
      <c r="X830" s="59"/>
    </row>
    <row r="831" spans="24:24" ht="12.5" x14ac:dyDescent="0.25">
      <c r="X831" s="59"/>
    </row>
    <row r="832" spans="24:24" ht="12.5" x14ac:dyDescent="0.25">
      <c r="X832" s="59"/>
    </row>
    <row r="833" spans="24:24" ht="12.5" x14ac:dyDescent="0.25">
      <c r="X833" s="59"/>
    </row>
    <row r="834" spans="24:24" ht="12.5" x14ac:dyDescent="0.25">
      <c r="X834" s="59"/>
    </row>
    <row r="835" spans="24:24" ht="12.5" x14ac:dyDescent="0.25">
      <c r="X835" s="59"/>
    </row>
    <row r="836" spans="24:24" ht="12.5" x14ac:dyDescent="0.25">
      <c r="X836" s="59"/>
    </row>
    <row r="837" spans="24:24" ht="12.5" x14ac:dyDescent="0.25">
      <c r="X837" s="59"/>
    </row>
    <row r="838" spans="24:24" ht="12.5" x14ac:dyDescent="0.25">
      <c r="X838" s="59"/>
    </row>
    <row r="839" spans="24:24" ht="12.5" x14ac:dyDescent="0.25">
      <c r="X839" s="59"/>
    </row>
    <row r="840" spans="24:24" ht="12.5" x14ac:dyDescent="0.25">
      <c r="X840" s="59"/>
    </row>
    <row r="841" spans="24:24" ht="12.5" x14ac:dyDescent="0.25">
      <c r="X841" s="59"/>
    </row>
    <row r="842" spans="24:24" ht="12.5" x14ac:dyDescent="0.25">
      <c r="X842" s="59"/>
    </row>
    <row r="843" spans="24:24" ht="12.5" x14ac:dyDescent="0.25">
      <c r="X843" s="59"/>
    </row>
    <row r="844" spans="24:24" ht="12.5" x14ac:dyDescent="0.25">
      <c r="X844" s="59"/>
    </row>
    <row r="845" spans="24:24" ht="12.5" x14ac:dyDescent="0.25">
      <c r="X845" s="59"/>
    </row>
    <row r="846" spans="24:24" ht="12.5" x14ac:dyDescent="0.25">
      <c r="X846" s="59"/>
    </row>
    <row r="847" spans="24:24" ht="12.5" x14ac:dyDescent="0.25">
      <c r="X847" s="59"/>
    </row>
    <row r="848" spans="24:24" ht="12.5" x14ac:dyDescent="0.25">
      <c r="X848" s="59"/>
    </row>
    <row r="849" spans="24:24" ht="12.5" x14ac:dyDescent="0.25">
      <c r="X849" s="59"/>
    </row>
    <row r="850" spans="24:24" ht="12.5" x14ac:dyDescent="0.25">
      <c r="X850" s="59"/>
    </row>
    <row r="851" spans="24:24" ht="12.5" x14ac:dyDescent="0.25">
      <c r="X851" s="59"/>
    </row>
    <row r="852" spans="24:24" ht="12.5" x14ac:dyDescent="0.25">
      <c r="X852" s="59"/>
    </row>
    <row r="853" spans="24:24" ht="12.5" x14ac:dyDescent="0.25">
      <c r="X853" s="59"/>
    </row>
    <row r="854" spans="24:24" ht="12.5" x14ac:dyDescent="0.25">
      <c r="X854" s="59"/>
    </row>
    <row r="855" spans="24:24" ht="12.5" x14ac:dyDescent="0.25">
      <c r="X855" s="59"/>
    </row>
    <row r="856" spans="24:24" ht="12.5" x14ac:dyDescent="0.25">
      <c r="X856" s="59"/>
    </row>
    <row r="857" spans="24:24" ht="12.5" x14ac:dyDescent="0.25">
      <c r="X857" s="59"/>
    </row>
    <row r="858" spans="24:24" ht="12.5" x14ac:dyDescent="0.25">
      <c r="X858" s="59"/>
    </row>
    <row r="859" spans="24:24" ht="12.5" x14ac:dyDescent="0.25">
      <c r="X859" s="59"/>
    </row>
    <row r="860" spans="24:24" ht="12.5" x14ac:dyDescent="0.25">
      <c r="X860" s="59"/>
    </row>
    <row r="861" spans="24:24" ht="12.5" x14ac:dyDescent="0.25">
      <c r="X861" s="59"/>
    </row>
    <row r="862" spans="24:24" ht="12.5" x14ac:dyDescent="0.25">
      <c r="X862" s="59"/>
    </row>
    <row r="863" spans="24:24" ht="12.5" x14ac:dyDescent="0.25">
      <c r="X863" s="59"/>
    </row>
    <row r="864" spans="24:24" ht="12.5" x14ac:dyDescent="0.25">
      <c r="X864" s="59"/>
    </row>
    <row r="865" spans="24:24" ht="12.5" x14ac:dyDescent="0.25">
      <c r="X865" s="59"/>
    </row>
    <row r="866" spans="24:24" ht="12.5" x14ac:dyDescent="0.25">
      <c r="X866" s="59"/>
    </row>
    <row r="867" spans="24:24" ht="12.5" x14ac:dyDescent="0.25">
      <c r="X867" s="59"/>
    </row>
    <row r="868" spans="24:24" ht="12.5" x14ac:dyDescent="0.25">
      <c r="X868" s="59"/>
    </row>
    <row r="869" spans="24:24" ht="12.5" x14ac:dyDescent="0.25">
      <c r="X869" s="59"/>
    </row>
    <row r="870" spans="24:24" ht="12.5" x14ac:dyDescent="0.25">
      <c r="X870" s="59"/>
    </row>
    <row r="871" spans="24:24" ht="12.5" x14ac:dyDescent="0.25">
      <c r="X871" s="59"/>
    </row>
    <row r="872" spans="24:24" ht="12.5" x14ac:dyDescent="0.25">
      <c r="X872" s="59"/>
    </row>
    <row r="873" spans="24:24" ht="12.5" x14ac:dyDescent="0.25">
      <c r="X873" s="59"/>
    </row>
    <row r="874" spans="24:24" ht="12.5" x14ac:dyDescent="0.25">
      <c r="X874" s="59"/>
    </row>
    <row r="875" spans="24:24" ht="12.5" x14ac:dyDescent="0.25">
      <c r="X875" s="59"/>
    </row>
    <row r="876" spans="24:24" ht="12.5" x14ac:dyDescent="0.25">
      <c r="X876" s="59"/>
    </row>
    <row r="877" spans="24:24" ht="12.5" x14ac:dyDescent="0.25">
      <c r="X877" s="59"/>
    </row>
    <row r="878" spans="24:24" ht="12.5" x14ac:dyDescent="0.25">
      <c r="X878" s="59"/>
    </row>
    <row r="879" spans="24:24" ht="12.5" x14ac:dyDescent="0.25">
      <c r="X879" s="59"/>
    </row>
    <row r="880" spans="24:24" ht="12.5" x14ac:dyDescent="0.25">
      <c r="X880" s="59"/>
    </row>
    <row r="881" spans="24:24" ht="12.5" x14ac:dyDescent="0.25">
      <c r="X881" s="59"/>
    </row>
    <row r="882" spans="24:24" ht="12.5" x14ac:dyDescent="0.25">
      <c r="X882" s="59"/>
    </row>
    <row r="883" spans="24:24" ht="12.5" x14ac:dyDescent="0.25">
      <c r="X883" s="59"/>
    </row>
    <row r="884" spans="24:24" ht="12.5" x14ac:dyDescent="0.25">
      <c r="X884" s="59"/>
    </row>
    <row r="885" spans="24:24" ht="12.5" x14ac:dyDescent="0.25">
      <c r="X885" s="59"/>
    </row>
    <row r="886" spans="24:24" ht="12.5" x14ac:dyDescent="0.25">
      <c r="X886" s="59"/>
    </row>
    <row r="887" spans="24:24" ht="12.5" x14ac:dyDescent="0.25">
      <c r="X887" s="59"/>
    </row>
    <row r="888" spans="24:24" ht="12.5" x14ac:dyDescent="0.25">
      <c r="X888" s="59"/>
    </row>
    <row r="889" spans="24:24" ht="12.5" x14ac:dyDescent="0.25">
      <c r="X889" s="59"/>
    </row>
    <row r="890" spans="24:24" ht="12.5" x14ac:dyDescent="0.25">
      <c r="X890" s="59"/>
    </row>
    <row r="891" spans="24:24" ht="12.5" x14ac:dyDescent="0.25">
      <c r="X891" s="59"/>
    </row>
    <row r="892" spans="24:24" ht="12.5" x14ac:dyDescent="0.25">
      <c r="X892" s="59"/>
    </row>
    <row r="893" spans="24:24" ht="12.5" x14ac:dyDescent="0.25">
      <c r="X893" s="59"/>
    </row>
    <row r="894" spans="24:24" ht="12.5" x14ac:dyDescent="0.25">
      <c r="X894" s="59"/>
    </row>
    <row r="895" spans="24:24" ht="12.5" x14ac:dyDescent="0.25">
      <c r="X895" s="59"/>
    </row>
    <row r="896" spans="24:24" ht="12.5" x14ac:dyDescent="0.25">
      <c r="X896" s="59"/>
    </row>
    <row r="897" spans="24:24" ht="12.5" x14ac:dyDescent="0.25">
      <c r="X897" s="59"/>
    </row>
    <row r="898" spans="24:24" ht="12.5" x14ac:dyDescent="0.25">
      <c r="X898" s="59"/>
    </row>
    <row r="899" spans="24:24" ht="12.5" x14ac:dyDescent="0.25">
      <c r="X899" s="59"/>
    </row>
    <row r="900" spans="24:24" ht="12.5" x14ac:dyDescent="0.25">
      <c r="X900" s="59"/>
    </row>
    <row r="901" spans="24:24" ht="12.5" x14ac:dyDescent="0.25">
      <c r="X901" s="59"/>
    </row>
    <row r="902" spans="24:24" ht="12.5" x14ac:dyDescent="0.25">
      <c r="X902" s="59"/>
    </row>
    <row r="903" spans="24:24" ht="12.5" x14ac:dyDescent="0.25">
      <c r="X903" s="59"/>
    </row>
    <row r="904" spans="24:24" ht="12.5" x14ac:dyDescent="0.25">
      <c r="X904" s="59"/>
    </row>
    <row r="905" spans="24:24" ht="12.5" x14ac:dyDescent="0.25">
      <c r="X905" s="59"/>
    </row>
    <row r="906" spans="24:24" ht="12.5" x14ac:dyDescent="0.25">
      <c r="X906" s="59"/>
    </row>
    <row r="907" spans="24:24" ht="12.5" x14ac:dyDescent="0.25">
      <c r="X907" s="59"/>
    </row>
    <row r="908" spans="24:24" ht="12.5" x14ac:dyDescent="0.25">
      <c r="X908" s="59"/>
    </row>
    <row r="909" spans="24:24" ht="12.5" x14ac:dyDescent="0.25">
      <c r="X909" s="59"/>
    </row>
    <row r="910" spans="24:24" ht="12.5" x14ac:dyDescent="0.25">
      <c r="X910" s="59"/>
    </row>
    <row r="911" spans="24:24" ht="12.5" x14ac:dyDescent="0.25">
      <c r="X911" s="59"/>
    </row>
    <row r="912" spans="24:24" ht="12.5" x14ac:dyDescent="0.25">
      <c r="X912" s="59"/>
    </row>
    <row r="913" spans="24:24" ht="12.5" x14ac:dyDescent="0.25">
      <c r="X913" s="59"/>
    </row>
    <row r="914" spans="24:24" ht="12.5" x14ac:dyDescent="0.25">
      <c r="X914" s="59"/>
    </row>
    <row r="915" spans="24:24" ht="12.5" x14ac:dyDescent="0.25">
      <c r="X915" s="59"/>
    </row>
    <row r="916" spans="24:24" ht="12.5" x14ac:dyDescent="0.25">
      <c r="X916" s="59"/>
    </row>
    <row r="917" spans="24:24" ht="12.5" x14ac:dyDescent="0.25">
      <c r="X917" s="59"/>
    </row>
    <row r="918" spans="24:24" ht="12.5" x14ac:dyDescent="0.25">
      <c r="X918" s="59"/>
    </row>
    <row r="919" spans="24:24" ht="12.5" x14ac:dyDescent="0.25">
      <c r="X919" s="59"/>
    </row>
    <row r="920" spans="24:24" ht="12.5" x14ac:dyDescent="0.25">
      <c r="X920" s="59"/>
    </row>
    <row r="921" spans="24:24" ht="12.5" x14ac:dyDescent="0.25">
      <c r="X921" s="59"/>
    </row>
    <row r="922" spans="24:24" ht="12.5" x14ac:dyDescent="0.25">
      <c r="X922" s="59"/>
    </row>
    <row r="923" spans="24:24" ht="12.5" x14ac:dyDescent="0.25">
      <c r="X923" s="59"/>
    </row>
    <row r="924" spans="24:24" ht="12.5" x14ac:dyDescent="0.25">
      <c r="X924" s="59"/>
    </row>
    <row r="925" spans="24:24" ht="12.5" x14ac:dyDescent="0.25">
      <c r="X925" s="59"/>
    </row>
    <row r="926" spans="24:24" ht="12.5" x14ac:dyDescent="0.25">
      <c r="X926" s="59"/>
    </row>
    <row r="927" spans="24:24" ht="12.5" x14ac:dyDescent="0.25">
      <c r="X927" s="59"/>
    </row>
    <row r="928" spans="24:24" ht="12.5" x14ac:dyDescent="0.25">
      <c r="X928" s="59"/>
    </row>
    <row r="929" spans="24:24" ht="12.5" x14ac:dyDescent="0.25">
      <c r="X929" s="59"/>
    </row>
    <row r="930" spans="24:24" ht="12.5" x14ac:dyDescent="0.25">
      <c r="X930" s="59"/>
    </row>
    <row r="931" spans="24:24" ht="12.5" x14ac:dyDescent="0.25">
      <c r="X931" s="59"/>
    </row>
    <row r="932" spans="24:24" ht="12.5" x14ac:dyDescent="0.25">
      <c r="X932" s="59"/>
    </row>
    <row r="933" spans="24:24" ht="12.5" x14ac:dyDescent="0.25">
      <c r="X933" s="59"/>
    </row>
    <row r="934" spans="24:24" ht="12.5" x14ac:dyDescent="0.25">
      <c r="X934" s="59"/>
    </row>
    <row r="935" spans="24:24" ht="12.5" x14ac:dyDescent="0.25">
      <c r="X935" s="59"/>
    </row>
    <row r="936" spans="24:24" ht="12.5" x14ac:dyDescent="0.25">
      <c r="X936" s="59"/>
    </row>
    <row r="937" spans="24:24" ht="12.5" x14ac:dyDescent="0.25">
      <c r="X937" s="59"/>
    </row>
    <row r="938" spans="24:24" ht="12.5" x14ac:dyDescent="0.25">
      <c r="X938" s="59"/>
    </row>
    <row r="939" spans="24:24" ht="12.5" x14ac:dyDescent="0.25">
      <c r="X939" s="59"/>
    </row>
    <row r="940" spans="24:24" ht="12.5" x14ac:dyDescent="0.25">
      <c r="X940" s="59"/>
    </row>
    <row r="941" spans="24:24" ht="12.5" x14ac:dyDescent="0.25">
      <c r="X941" s="59"/>
    </row>
    <row r="942" spans="24:24" ht="12.5" x14ac:dyDescent="0.25">
      <c r="X942" s="59"/>
    </row>
    <row r="943" spans="24:24" ht="12.5" x14ac:dyDescent="0.25">
      <c r="X943" s="59"/>
    </row>
    <row r="944" spans="24:24" ht="12.5" x14ac:dyDescent="0.25">
      <c r="X944" s="59"/>
    </row>
    <row r="945" spans="24:24" ht="12.5" x14ac:dyDescent="0.25">
      <c r="X945" s="59"/>
    </row>
    <row r="946" spans="24:24" ht="12.5" x14ac:dyDescent="0.25">
      <c r="X946" s="59"/>
    </row>
    <row r="947" spans="24:24" ht="12.5" x14ac:dyDescent="0.25">
      <c r="X947" s="59"/>
    </row>
    <row r="948" spans="24:24" ht="12.5" x14ac:dyDescent="0.25">
      <c r="X948" s="59"/>
    </row>
    <row r="949" spans="24:24" ht="12.5" x14ac:dyDescent="0.25">
      <c r="X949" s="59"/>
    </row>
    <row r="950" spans="24:24" ht="12.5" x14ac:dyDescent="0.25">
      <c r="X950" s="59"/>
    </row>
    <row r="951" spans="24:24" ht="12.5" x14ac:dyDescent="0.25">
      <c r="X951" s="59"/>
    </row>
    <row r="952" spans="24:24" ht="12.5" x14ac:dyDescent="0.25">
      <c r="X952" s="59"/>
    </row>
    <row r="953" spans="24:24" ht="12.5" x14ac:dyDescent="0.25">
      <c r="X953" s="59"/>
    </row>
    <row r="954" spans="24:24" ht="12.5" x14ac:dyDescent="0.25">
      <c r="X954" s="59"/>
    </row>
    <row r="955" spans="24:24" ht="12.5" x14ac:dyDescent="0.25">
      <c r="X955" s="59"/>
    </row>
    <row r="956" spans="24:24" ht="12.5" x14ac:dyDescent="0.25">
      <c r="X956" s="59"/>
    </row>
    <row r="957" spans="24:24" ht="12.5" x14ac:dyDescent="0.25">
      <c r="X957" s="59"/>
    </row>
    <row r="958" spans="24:24" ht="12.5" x14ac:dyDescent="0.25">
      <c r="X958" s="59"/>
    </row>
    <row r="959" spans="24:24" ht="12.5" x14ac:dyDescent="0.25">
      <c r="X959" s="59"/>
    </row>
    <row r="960" spans="24:24" ht="12.5" x14ac:dyDescent="0.25">
      <c r="X960" s="59"/>
    </row>
    <row r="961" spans="24:24" ht="12.5" x14ac:dyDescent="0.25">
      <c r="X961" s="59"/>
    </row>
    <row r="962" spans="24:24" ht="12.5" x14ac:dyDescent="0.25">
      <c r="X962" s="59"/>
    </row>
    <row r="963" spans="24:24" ht="12.5" x14ac:dyDescent="0.25">
      <c r="X963" s="59"/>
    </row>
    <row r="964" spans="24:24" ht="12.5" x14ac:dyDescent="0.25">
      <c r="X964" s="59"/>
    </row>
    <row r="965" spans="24:24" ht="12.5" x14ac:dyDescent="0.25">
      <c r="X965" s="59"/>
    </row>
    <row r="966" spans="24:24" ht="12.5" x14ac:dyDescent="0.25">
      <c r="X966" s="59"/>
    </row>
    <row r="967" spans="24:24" ht="12.5" x14ac:dyDescent="0.25">
      <c r="X967" s="59"/>
    </row>
    <row r="968" spans="24:24" ht="12.5" x14ac:dyDescent="0.25">
      <c r="X968" s="59"/>
    </row>
    <row r="969" spans="24:24" ht="12.5" x14ac:dyDescent="0.25">
      <c r="X969" s="59"/>
    </row>
    <row r="970" spans="24:24" ht="12.5" x14ac:dyDescent="0.25">
      <c r="X970" s="59"/>
    </row>
    <row r="971" spans="24:24" ht="12.5" x14ac:dyDescent="0.25">
      <c r="X971" s="59"/>
    </row>
    <row r="972" spans="24:24" ht="12.5" x14ac:dyDescent="0.25">
      <c r="X972" s="59"/>
    </row>
    <row r="973" spans="24:24" ht="12.5" x14ac:dyDescent="0.25">
      <c r="X973" s="59"/>
    </row>
    <row r="974" spans="24:24" ht="12.5" x14ac:dyDescent="0.25">
      <c r="X974" s="59"/>
    </row>
    <row r="975" spans="24:24" ht="12.5" x14ac:dyDescent="0.25">
      <c r="X975" s="59"/>
    </row>
    <row r="976" spans="24:24" ht="12.5" x14ac:dyDescent="0.25">
      <c r="X976" s="59"/>
    </row>
    <row r="977" spans="24:24" ht="12.5" x14ac:dyDescent="0.25">
      <c r="X977" s="59"/>
    </row>
    <row r="978" spans="24:24" ht="12.5" x14ac:dyDescent="0.25">
      <c r="X978" s="59"/>
    </row>
    <row r="979" spans="24:24" ht="12.5" x14ac:dyDescent="0.25">
      <c r="X979" s="59"/>
    </row>
    <row r="980" spans="24:24" ht="12.5" x14ac:dyDescent="0.25">
      <c r="X980" s="59"/>
    </row>
    <row r="981" spans="24:24" ht="12.5" x14ac:dyDescent="0.25">
      <c r="X981" s="59"/>
    </row>
    <row r="982" spans="24:24" ht="12.5" x14ac:dyDescent="0.25">
      <c r="X982" s="59"/>
    </row>
    <row r="983" spans="24:24" ht="12.5" x14ac:dyDescent="0.25">
      <c r="X983" s="59"/>
    </row>
    <row r="984" spans="24:24" ht="12.5" x14ac:dyDescent="0.25">
      <c r="X984" s="59"/>
    </row>
    <row r="985" spans="24:24" ht="12.5" x14ac:dyDescent="0.25">
      <c r="X985" s="59"/>
    </row>
    <row r="986" spans="24:24" ht="12.5" x14ac:dyDescent="0.25">
      <c r="X986" s="59"/>
    </row>
    <row r="987" spans="24:24" ht="12.5" x14ac:dyDescent="0.25">
      <c r="X987" s="59"/>
    </row>
    <row r="988" spans="24:24" ht="12.5" x14ac:dyDescent="0.25">
      <c r="X988" s="59"/>
    </row>
    <row r="989" spans="24:24" ht="12.5" x14ac:dyDescent="0.25">
      <c r="X989" s="59"/>
    </row>
    <row r="990" spans="24:24" ht="12.5" x14ac:dyDescent="0.25">
      <c r="X990" s="59"/>
    </row>
    <row r="991" spans="24:24" ht="12.5" x14ac:dyDescent="0.25">
      <c r="X991" s="59"/>
    </row>
    <row r="992" spans="24:24" ht="12.5" x14ac:dyDescent="0.25">
      <c r="X992" s="59"/>
    </row>
    <row r="993" spans="24:24" ht="12.5" x14ac:dyDescent="0.25">
      <c r="X993" s="59"/>
    </row>
    <row r="994" spans="24:24" ht="12.5" x14ac:dyDescent="0.25">
      <c r="X994" s="59"/>
    </row>
    <row r="995" spans="24:24" ht="12.5" x14ac:dyDescent="0.25">
      <c r="X995" s="59"/>
    </row>
    <row r="996" spans="24:24" ht="12.5" x14ac:dyDescent="0.25">
      <c r="X996" s="59"/>
    </row>
    <row r="997" spans="24:24" ht="12.5" x14ac:dyDescent="0.25">
      <c r="X997" s="59"/>
    </row>
    <row r="998" spans="24:24" ht="12.5" x14ac:dyDescent="0.25">
      <c r="X998" s="59"/>
    </row>
    <row r="999" spans="24:24" ht="12.5" x14ac:dyDescent="0.25">
      <c r="X999" s="59"/>
    </row>
    <row r="1000" spans="24:24" ht="12.5" x14ac:dyDescent="0.25">
      <c r="X1000" s="59"/>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R1001"/>
  <sheetViews>
    <sheetView workbookViewId="0">
      <pane ySplit="2" topLeftCell="A3" activePane="bottomLeft" state="frozen"/>
      <selection pane="bottomLeft" activeCell="B4" sqref="B4"/>
    </sheetView>
  </sheetViews>
  <sheetFormatPr defaultColWidth="12.54296875" defaultRowHeight="15.75" customHeight="1" x14ac:dyDescent="0.25"/>
  <cols>
    <col min="1" max="1" width="20.1796875" customWidth="1"/>
  </cols>
  <sheetData>
    <row r="1" spans="1:17" ht="15.75" customHeight="1" x14ac:dyDescent="0.25">
      <c r="A1" s="60">
        <v>1</v>
      </c>
      <c r="B1" s="60">
        <f t="shared" ref="B1:Q1" si="0">A1+1</f>
        <v>2</v>
      </c>
      <c r="C1" s="60">
        <f t="shared" si="0"/>
        <v>3</v>
      </c>
      <c r="D1" s="60">
        <f t="shared" si="0"/>
        <v>4</v>
      </c>
      <c r="E1" s="60">
        <f t="shared" si="0"/>
        <v>5</v>
      </c>
      <c r="F1" s="60">
        <f t="shared" si="0"/>
        <v>6</v>
      </c>
      <c r="G1" s="60">
        <f t="shared" si="0"/>
        <v>7</v>
      </c>
      <c r="H1" s="60">
        <f t="shared" si="0"/>
        <v>8</v>
      </c>
      <c r="I1" s="60">
        <f t="shared" si="0"/>
        <v>9</v>
      </c>
      <c r="J1" s="60">
        <f t="shared" si="0"/>
        <v>10</v>
      </c>
      <c r="K1" s="61">
        <f t="shared" si="0"/>
        <v>11</v>
      </c>
      <c r="L1" s="61">
        <f t="shared" si="0"/>
        <v>12</v>
      </c>
      <c r="M1" s="62">
        <f t="shared" si="0"/>
        <v>13</v>
      </c>
      <c r="N1" s="62">
        <f t="shared" si="0"/>
        <v>14</v>
      </c>
      <c r="O1" s="62">
        <f t="shared" si="0"/>
        <v>15</v>
      </c>
      <c r="P1" s="62">
        <f t="shared" si="0"/>
        <v>16</v>
      </c>
      <c r="Q1" s="62">
        <f t="shared" si="0"/>
        <v>17</v>
      </c>
    </row>
    <row r="2" spans="1:17" ht="15.75" customHeight="1" x14ac:dyDescent="0.25">
      <c r="A2" s="60" t="s">
        <v>1</v>
      </c>
      <c r="B2" s="60" t="s">
        <v>1724</v>
      </c>
      <c r="C2" s="63" t="s">
        <v>1725</v>
      </c>
      <c r="D2" s="63" t="s">
        <v>1726</v>
      </c>
      <c r="E2" s="63" t="s">
        <v>1727</v>
      </c>
      <c r="F2" s="63" t="s">
        <v>1727</v>
      </c>
      <c r="G2" s="63" t="s">
        <v>1724</v>
      </c>
      <c r="H2" s="63" t="s">
        <v>1728</v>
      </c>
      <c r="I2" s="64" t="s">
        <v>1729</v>
      </c>
      <c r="J2" s="63" t="s">
        <v>1730</v>
      </c>
      <c r="K2" s="59" t="s">
        <v>1731</v>
      </c>
      <c r="L2" s="59" t="s">
        <v>1732</v>
      </c>
      <c r="M2" s="58" t="s">
        <v>1733</v>
      </c>
      <c r="N2" s="58" t="s">
        <v>1734</v>
      </c>
      <c r="O2" s="58" t="s">
        <v>1735</v>
      </c>
      <c r="P2" s="58" t="s">
        <v>1731</v>
      </c>
      <c r="Q2" s="58" t="s">
        <v>1736</v>
      </c>
    </row>
    <row r="3" spans="1:17" ht="15.75" customHeight="1" x14ac:dyDescent="0.25">
      <c r="A3" s="63" t="str">
        <f t="shared" ref="A3:A564" si="1">IF(C3="","",I3&amp;"/"&amp;J3&amp;"/"&amp;G3)</f>
        <v>032/2021/045.487.504-52</v>
      </c>
      <c r="B3" s="63" t="s">
        <v>1737</v>
      </c>
      <c r="C3" s="65">
        <v>44463.498022997686</v>
      </c>
      <c r="D3" s="63" t="s">
        <v>1738</v>
      </c>
      <c r="E3" s="63" t="s">
        <v>1739</v>
      </c>
      <c r="F3" s="63" t="s">
        <v>1739</v>
      </c>
      <c r="G3" s="63" t="s">
        <v>1737</v>
      </c>
      <c r="H3" s="63" t="s">
        <v>1740</v>
      </c>
      <c r="I3" s="66" t="s">
        <v>1741</v>
      </c>
      <c r="J3" s="63">
        <v>2021</v>
      </c>
      <c r="K3" s="59" t="s">
        <v>17</v>
      </c>
      <c r="L3" s="59" t="s">
        <v>1742</v>
      </c>
      <c r="M3" s="58" t="s">
        <v>234</v>
      </c>
      <c r="N3" s="58" t="s">
        <v>1734</v>
      </c>
      <c r="O3" s="58" t="s">
        <v>1743</v>
      </c>
      <c r="P3" s="58" t="s">
        <v>17</v>
      </c>
    </row>
    <row r="4" spans="1:17" ht="15.75" customHeight="1" x14ac:dyDescent="0.25">
      <c r="A4" s="63" t="str">
        <f t="shared" si="1"/>
        <v>036/2019/025.690.564-99</v>
      </c>
      <c r="B4" s="63" t="s">
        <v>1744</v>
      </c>
      <c r="C4" s="65">
        <v>44504.804768125003</v>
      </c>
      <c r="D4" s="63" t="s">
        <v>1745</v>
      </c>
      <c r="E4" s="63"/>
      <c r="F4" s="63" t="s">
        <v>1746</v>
      </c>
      <c r="G4" s="63" t="s">
        <v>1744</v>
      </c>
      <c r="H4" s="63" t="s">
        <v>1747</v>
      </c>
      <c r="I4" s="66" t="s">
        <v>1748</v>
      </c>
      <c r="J4" s="63">
        <v>2019</v>
      </c>
      <c r="K4" s="59" t="s">
        <v>18</v>
      </c>
      <c r="L4" s="59" t="s">
        <v>1749</v>
      </c>
      <c r="M4" s="58" t="s">
        <v>234</v>
      </c>
      <c r="N4" s="58" t="s">
        <v>1734</v>
      </c>
      <c r="O4" s="58" t="s">
        <v>1750</v>
      </c>
      <c r="P4" s="58" t="s">
        <v>18</v>
      </c>
    </row>
    <row r="5" spans="1:17" ht="15.75" customHeight="1" x14ac:dyDescent="0.25">
      <c r="A5" s="63" t="str">
        <f t="shared" si="1"/>
        <v>036/2019/066.130.064-16</v>
      </c>
      <c r="B5" s="63" t="s">
        <v>1751</v>
      </c>
      <c r="C5" s="65">
        <v>44505.43083060185</v>
      </c>
      <c r="D5" s="63" t="s">
        <v>1752</v>
      </c>
      <c r="E5" s="63"/>
      <c r="F5" s="63" t="s">
        <v>1753</v>
      </c>
      <c r="G5" s="63" t="s">
        <v>1751</v>
      </c>
      <c r="H5" s="63" t="s">
        <v>1747</v>
      </c>
      <c r="I5" s="66" t="s">
        <v>1748</v>
      </c>
      <c r="J5" s="63">
        <v>2019</v>
      </c>
      <c r="K5" s="59" t="s">
        <v>17</v>
      </c>
      <c r="L5" s="59" t="s">
        <v>1754</v>
      </c>
      <c r="M5" s="58" t="s">
        <v>234</v>
      </c>
      <c r="N5" s="58" t="s">
        <v>1734</v>
      </c>
      <c r="O5" s="58" t="s">
        <v>1750</v>
      </c>
      <c r="P5" s="58" t="s">
        <v>17</v>
      </c>
    </row>
    <row r="6" spans="1:17" ht="15.75" customHeight="1" x14ac:dyDescent="0.25">
      <c r="A6" s="63" t="str">
        <f t="shared" si="1"/>
        <v>040/2019/055.326.014-61</v>
      </c>
      <c r="B6" s="63" t="s">
        <v>1755</v>
      </c>
      <c r="C6" s="65">
        <v>44509.663473310182</v>
      </c>
      <c r="D6" s="63" t="s">
        <v>1756</v>
      </c>
      <c r="E6" s="63"/>
      <c r="F6" s="63" t="s">
        <v>1757</v>
      </c>
      <c r="G6" s="63" t="s">
        <v>1755</v>
      </c>
      <c r="H6" s="63" t="s">
        <v>1747</v>
      </c>
      <c r="I6" s="66" t="s">
        <v>1758</v>
      </c>
      <c r="J6" s="63">
        <v>2019</v>
      </c>
      <c r="K6" s="59" t="s">
        <v>16</v>
      </c>
      <c r="L6" s="59" t="s">
        <v>1759</v>
      </c>
      <c r="M6" s="58" t="s">
        <v>234</v>
      </c>
      <c r="N6" s="58" t="s">
        <v>1734</v>
      </c>
      <c r="O6" s="58" t="s">
        <v>1760</v>
      </c>
      <c r="P6" s="58" t="s">
        <v>16</v>
      </c>
    </row>
    <row r="7" spans="1:17" ht="15.75" customHeight="1" x14ac:dyDescent="0.25">
      <c r="A7" s="63" t="str">
        <f t="shared" si="1"/>
        <v>036/2019/034.793.794-27</v>
      </c>
      <c r="B7" s="63" t="s">
        <v>1761</v>
      </c>
      <c r="C7" s="65">
        <v>44509.818233252314</v>
      </c>
      <c r="D7" s="63" t="s">
        <v>1762</v>
      </c>
      <c r="E7" s="63" t="s">
        <v>1763</v>
      </c>
      <c r="F7" s="63" t="s">
        <v>1763</v>
      </c>
      <c r="G7" s="63" t="s">
        <v>1761</v>
      </c>
      <c r="H7" s="63" t="s">
        <v>1740</v>
      </c>
      <c r="I7" s="66" t="s">
        <v>1748</v>
      </c>
      <c r="J7" s="63">
        <v>2019</v>
      </c>
      <c r="K7" s="59" t="s">
        <v>18</v>
      </c>
      <c r="L7" s="59" t="s">
        <v>1764</v>
      </c>
      <c r="M7" s="58" t="s">
        <v>234</v>
      </c>
      <c r="N7" s="58" t="s">
        <v>1734</v>
      </c>
      <c r="O7" s="58" t="s">
        <v>1750</v>
      </c>
      <c r="P7" s="58" t="s">
        <v>18</v>
      </c>
    </row>
    <row r="8" spans="1:17" ht="15.75" customHeight="1" x14ac:dyDescent="0.25">
      <c r="A8" s="63" t="str">
        <f t="shared" si="1"/>
        <v>040/2019/056.838.654-09</v>
      </c>
      <c r="B8" s="63" t="s">
        <v>1765</v>
      </c>
      <c r="C8" s="65">
        <v>44511.651354351852</v>
      </c>
      <c r="D8" s="63" t="s">
        <v>1766</v>
      </c>
      <c r="E8" s="63"/>
      <c r="F8" s="63" t="s">
        <v>1767</v>
      </c>
      <c r="G8" s="63" t="s">
        <v>1765</v>
      </c>
      <c r="H8" s="63" t="s">
        <v>1747</v>
      </c>
      <c r="I8" s="66" t="s">
        <v>1758</v>
      </c>
      <c r="J8" s="63">
        <v>2019</v>
      </c>
      <c r="K8" s="59" t="s">
        <v>16</v>
      </c>
      <c r="L8" s="59" t="s">
        <v>1768</v>
      </c>
      <c r="M8" s="58" t="s">
        <v>234</v>
      </c>
      <c r="N8" s="58" t="s">
        <v>1734</v>
      </c>
      <c r="O8" s="58" t="s">
        <v>1760</v>
      </c>
      <c r="P8" s="58" t="s">
        <v>16</v>
      </c>
    </row>
    <row r="9" spans="1:17" ht="15.75" customHeight="1" x14ac:dyDescent="0.25">
      <c r="A9" s="63" t="str">
        <f t="shared" si="1"/>
        <v>040/2019/064.417.474-99</v>
      </c>
      <c r="B9" s="63" t="s">
        <v>1769</v>
      </c>
      <c r="C9" s="65">
        <v>44512.345543645832</v>
      </c>
      <c r="D9" s="63" t="s">
        <v>1770</v>
      </c>
      <c r="E9" s="63"/>
      <c r="F9" s="63" t="s">
        <v>1771</v>
      </c>
      <c r="G9" s="63" t="s">
        <v>1769</v>
      </c>
      <c r="H9" s="63" t="s">
        <v>1747</v>
      </c>
      <c r="I9" s="66" t="s">
        <v>1758</v>
      </c>
      <c r="J9" s="63">
        <v>2019</v>
      </c>
      <c r="K9" s="59" t="s">
        <v>16</v>
      </c>
      <c r="L9" s="59" t="s">
        <v>1772</v>
      </c>
      <c r="M9" s="58" t="s">
        <v>234</v>
      </c>
      <c r="N9" s="58" t="s">
        <v>1734</v>
      </c>
      <c r="O9" s="58" t="s">
        <v>1760</v>
      </c>
      <c r="P9" s="58" t="s">
        <v>16</v>
      </c>
    </row>
    <row r="10" spans="1:17" ht="15.75" customHeight="1" x14ac:dyDescent="0.25">
      <c r="A10" s="63" t="str">
        <f t="shared" si="1"/>
        <v>004/2020/014.357.704-20</v>
      </c>
      <c r="B10" s="63" t="s">
        <v>1773</v>
      </c>
      <c r="C10" s="65">
        <v>44512.528730023143</v>
      </c>
      <c r="D10" s="63" t="s">
        <v>1774</v>
      </c>
      <c r="E10" s="63"/>
      <c r="F10" s="63" t="s">
        <v>1775</v>
      </c>
      <c r="G10" s="63" t="s">
        <v>1773</v>
      </c>
      <c r="H10" s="63" t="s">
        <v>1747</v>
      </c>
      <c r="I10" s="66" t="s">
        <v>1776</v>
      </c>
      <c r="J10" s="63">
        <v>2020</v>
      </c>
      <c r="K10" s="59" t="s">
        <v>16</v>
      </c>
      <c r="L10" s="59" t="s">
        <v>1777</v>
      </c>
      <c r="M10" s="58" t="s">
        <v>234</v>
      </c>
      <c r="N10" s="58" t="s">
        <v>1734</v>
      </c>
      <c r="O10" s="58" t="s">
        <v>1778</v>
      </c>
      <c r="P10" s="58" t="s">
        <v>16</v>
      </c>
    </row>
    <row r="11" spans="1:17" ht="15.75" customHeight="1" x14ac:dyDescent="0.25">
      <c r="A11" s="63" t="str">
        <f t="shared" si="1"/>
        <v>040/2019/090.140.487-00</v>
      </c>
      <c r="B11" s="63" t="s">
        <v>1779</v>
      </c>
      <c r="C11" s="65">
        <v>44512.583738715279</v>
      </c>
      <c r="D11" s="63" t="s">
        <v>1780</v>
      </c>
      <c r="E11" s="63"/>
      <c r="F11" s="63" t="s">
        <v>1781</v>
      </c>
      <c r="G11" s="63" t="s">
        <v>1779</v>
      </c>
      <c r="H11" s="63" t="s">
        <v>1747</v>
      </c>
      <c r="I11" s="66" t="s">
        <v>1758</v>
      </c>
      <c r="J11" s="63">
        <v>2019</v>
      </c>
      <c r="K11" s="59" t="s">
        <v>16</v>
      </c>
      <c r="L11" s="59" t="s">
        <v>1782</v>
      </c>
      <c r="M11" s="58" t="s">
        <v>234</v>
      </c>
      <c r="N11" s="58" t="s">
        <v>1734</v>
      </c>
      <c r="O11" s="58" t="s">
        <v>1760</v>
      </c>
      <c r="P11" s="58" t="s">
        <v>16</v>
      </c>
    </row>
    <row r="12" spans="1:17" ht="15.75" customHeight="1" x14ac:dyDescent="0.25">
      <c r="A12" s="63" t="str">
        <f t="shared" si="1"/>
        <v>004/2020/076.680.934-00</v>
      </c>
      <c r="B12" s="63" t="s">
        <v>1783</v>
      </c>
      <c r="C12" s="65">
        <v>44512.696517951394</v>
      </c>
      <c r="D12" s="63" t="s">
        <v>1784</v>
      </c>
      <c r="E12" s="63"/>
      <c r="F12" s="63" t="s">
        <v>1785</v>
      </c>
      <c r="G12" s="63" t="s">
        <v>1783</v>
      </c>
      <c r="H12" s="63" t="s">
        <v>1747</v>
      </c>
      <c r="I12" s="66" t="s">
        <v>1776</v>
      </c>
      <c r="J12" s="63">
        <v>2020</v>
      </c>
      <c r="K12" s="59" t="s">
        <v>16</v>
      </c>
      <c r="L12" s="59" t="s">
        <v>1786</v>
      </c>
      <c r="M12" s="58" t="s">
        <v>234</v>
      </c>
      <c r="N12" s="58" t="s">
        <v>1734</v>
      </c>
      <c r="O12" s="58" t="s">
        <v>1778</v>
      </c>
      <c r="P12" s="58" t="s">
        <v>16</v>
      </c>
    </row>
    <row r="13" spans="1:17" ht="15.75" customHeight="1" x14ac:dyDescent="0.25">
      <c r="A13" s="63" t="str">
        <f t="shared" si="1"/>
        <v>036/2019/087.942.084-76</v>
      </c>
      <c r="B13" s="63" t="s">
        <v>1787</v>
      </c>
      <c r="C13" s="65">
        <v>44512.701745300925</v>
      </c>
      <c r="D13" s="63" t="s">
        <v>1788</v>
      </c>
      <c r="E13" s="63"/>
      <c r="F13" s="63" t="s">
        <v>1789</v>
      </c>
      <c r="G13" s="63" t="s">
        <v>1787</v>
      </c>
      <c r="H13" s="63" t="s">
        <v>1747</v>
      </c>
      <c r="I13" s="66" t="s">
        <v>1748</v>
      </c>
      <c r="J13" s="63">
        <v>2019</v>
      </c>
      <c r="K13" s="59" t="s">
        <v>232</v>
      </c>
      <c r="L13" s="59" t="s">
        <v>1790</v>
      </c>
      <c r="M13" s="58" t="s">
        <v>234</v>
      </c>
      <c r="N13" s="58" t="s">
        <v>1734</v>
      </c>
      <c r="O13" s="58" t="s">
        <v>1750</v>
      </c>
      <c r="P13" s="58" t="s">
        <v>232</v>
      </c>
    </row>
    <row r="14" spans="1:17" ht="15.75" customHeight="1" x14ac:dyDescent="0.25">
      <c r="A14" s="63" t="str">
        <f t="shared" si="1"/>
        <v>036/2019/055.477.124-18</v>
      </c>
      <c r="B14" s="63" t="s">
        <v>1791</v>
      </c>
      <c r="C14" s="65">
        <v>44512.831381377313</v>
      </c>
      <c r="D14" s="63" t="s">
        <v>1792</v>
      </c>
      <c r="E14" s="63" t="s">
        <v>1793</v>
      </c>
      <c r="F14" s="63" t="s">
        <v>1793</v>
      </c>
      <c r="G14" s="63" t="s">
        <v>1791</v>
      </c>
      <c r="H14" s="63" t="s">
        <v>1740</v>
      </c>
      <c r="I14" s="66" t="s">
        <v>1748</v>
      </c>
      <c r="J14" s="63">
        <v>2019</v>
      </c>
      <c r="K14" s="59" t="s">
        <v>232</v>
      </c>
      <c r="L14" s="59" t="s">
        <v>1794</v>
      </c>
      <c r="M14" s="58" t="s">
        <v>234</v>
      </c>
      <c r="N14" s="58" t="s">
        <v>1734</v>
      </c>
      <c r="O14" s="58" t="s">
        <v>1750</v>
      </c>
      <c r="P14" s="58" t="s">
        <v>232</v>
      </c>
    </row>
    <row r="15" spans="1:17" ht="15.75" customHeight="1" x14ac:dyDescent="0.25">
      <c r="A15" s="63" t="str">
        <f t="shared" si="1"/>
        <v>004/2020/893.043.304-91</v>
      </c>
      <c r="B15" s="63" t="s">
        <v>1795</v>
      </c>
      <c r="C15" s="65">
        <v>44512.842017164352</v>
      </c>
      <c r="D15" s="63" t="s">
        <v>1796</v>
      </c>
      <c r="E15" s="63"/>
      <c r="F15" s="63" t="s">
        <v>1797</v>
      </c>
      <c r="G15" s="63" t="s">
        <v>1795</v>
      </c>
      <c r="H15" s="63" t="s">
        <v>1747</v>
      </c>
      <c r="I15" s="66" t="s">
        <v>1776</v>
      </c>
      <c r="J15" s="63">
        <v>2020</v>
      </c>
      <c r="K15" s="59" t="s">
        <v>16</v>
      </c>
      <c r="L15" s="59" t="s">
        <v>1798</v>
      </c>
      <c r="M15" s="58" t="s">
        <v>234</v>
      </c>
      <c r="N15" s="58" t="s">
        <v>1734</v>
      </c>
      <c r="O15" s="58" t="s">
        <v>1778</v>
      </c>
      <c r="P15" s="58" t="s">
        <v>16</v>
      </c>
    </row>
    <row r="16" spans="1:17" ht="15.75" customHeight="1" x14ac:dyDescent="0.25">
      <c r="A16" s="63" t="str">
        <f t="shared" si="1"/>
        <v>004/2020/094.640.034-21</v>
      </c>
      <c r="B16" s="63" t="s">
        <v>1799</v>
      </c>
      <c r="C16" s="65">
        <v>44512.84838358796</v>
      </c>
      <c r="D16" s="63" t="s">
        <v>1800</v>
      </c>
      <c r="E16" s="63"/>
      <c r="F16" s="63" t="s">
        <v>1801</v>
      </c>
      <c r="G16" s="63" t="s">
        <v>1799</v>
      </c>
      <c r="H16" s="63" t="s">
        <v>1747</v>
      </c>
      <c r="I16" s="66" t="s">
        <v>1776</v>
      </c>
      <c r="J16" s="63">
        <v>2020</v>
      </c>
      <c r="K16" s="59" t="s">
        <v>16</v>
      </c>
      <c r="L16" s="59" t="s">
        <v>1802</v>
      </c>
      <c r="M16" s="58" t="s">
        <v>234</v>
      </c>
      <c r="N16" s="58" t="s">
        <v>1734</v>
      </c>
      <c r="O16" s="58" t="s">
        <v>1778</v>
      </c>
      <c r="P16" s="58" t="s">
        <v>16</v>
      </c>
    </row>
    <row r="17" spans="1:16" ht="15.75" customHeight="1" x14ac:dyDescent="0.25">
      <c r="A17" s="63" t="str">
        <f t="shared" si="1"/>
        <v>040/2019/079.909.854-03</v>
      </c>
      <c r="B17" s="63" t="s">
        <v>1803</v>
      </c>
      <c r="C17" s="65">
        <v>44512.906762546292</v>
      </c>
      <c r="D17" s="63" t="s">
        <v>1804</v>
      </c>
      <c r="E17" s="63"/>
      <c r="F17" s="63" t="s">
        <v>1805</v>
      </c>
      <c r="G17" s="63" t="s">
        <v>1803</v>
      </c>
      <c r="H17" s="63" t="s">
        <v>1747</v>
      </c>
      <c r="I17" s="66" t="s">
        <v>1758</v>
      </c>
      <c r="J17" s="63">
        <v>2019</v>
      </c>
      <c r="K17" s="59" t="s">
        <v>16</v>
      </c>
      <c r="L17" s="59" t="s">
        <v>1806</v>
      </c>
      <c r="M17" s="58" t="s">
        <v>234</v>
      </c>
      <c r="N17" s="58" t="s">
        <v>1734</v>
      </c>
      <c r="O17" s="58" t="s">
        <v>1760</v>
      </c>
      <c r="P17" s="58" t="s">
        <v>16</v>
      </c>
    </row>
    <row r="18" spans="1:16" ht="15.75" customHeight="1" x14ac:dyDescent="0.25">
      <c r="A18" s="63" t="str">
        <f t="shared" si="1"/>
        <v>040/2019/100.184.774-10</v>
      </c>
      <c r="B18" s="63" t="s">
        <v>1807</v>
      </c>
      <c r="C18" s="65">
        <v>44513.772869293985</v>
      </c>
      <c r="D18" s="63" t="s">
        <v>1808</v>
      </c>
      <c r="E18" s="63"/>
      <c r="F18" s="63" t="s">
        <v>1809</v>
      </c>
      <c r="G18" s="63" t="s">
        <v>1807</v>
      </c>
      <c r="H18" s="63" t="s">
        <v>1747</v>
      </c>
      <c r="I18" s="66" t="s">
        <v>1758</v>
      </c>
      <c r="J18" s="63">
        <v>2019</v>
      </c>
      <c r="K18" s="59" t="s">
        <v>16</v>
      </c>
      <c r="L18" s="59" t="s">
        <v>1810</v>
      </c>
      <c r="M18" s="58" t="s">
        <v>234</v>
      </c>
      <c r="N18" s="58" t="s">
        <v>1734</v>
      </c>
      <c r="O18" s="58" t="s">
        <v>1760</v>
      </c>
      <c r="P18" s="58" t="s">
        <v>16</v>
      </c>
    </row>
    <row r="19" spans="1:16" ht="15.75" customHeight="1" x14ac:dyDescent="0.25">
      <c r="A19" s="63" t="str">
        <f t="shared" si="1"/>
        <v>040/2019/094.324.124-31</v>
      </c>
      <c r="B19" s="63" t="s">
        <v>1811</v>
      </c>
      <c r="C19" s="65">
        <v>44515.678564641203</v>
      </c>
      <c r="D19" s="63" t="s">
        <v>1812</v>
      </c>
      <c r="E19" s="63"/>
      <c r="F19" s="63" t="s">
        <v>1813</v>
      </c>
      <c r="G19" s="63" t="s">
        <v>1811</v>
      </c>
      <c r="H19" s="63" t="s">
        <v>1747</v>
      </c>
      <c r="I19" s="66" t="s">
        <v>1758</v>
      </c>
      <c r="J19" s="63">
        <v>2019</v>
      </c>
      <c r="K19" s="59" t="s">
        <v>16</v>
      </c>
      <c r="L19" s="59" t="s">
        <v>1814</v>
      </c>
      <c r="M19" s="58" t="s">
        <v>234</v>
      </c>
      <c r="N19" s="58" t="s">
        <v>1734</v>
      </c>
      <c r="O19" s="58" t="s">
        <v>1760</v>
      </c>
      <c r="P19" s="58" t="s">
        <v>16</v>
      </c>
    </row>
    <row r="20" spans="1:16" ht="15.75" customHeight="1" x14ac:dyDescent="0.25">
      <c r="A20" s="63" t="str">
        <f t="shared" si="1"/>
        <v>040/2019/076.768.454-08</v>
      </c>
      <c r="B20" s="63" t="s">
        <v>1815</v>
      </c>
      <c r="C20" s="65">
        <v>44515.825675694447</v>
      </c>
      <c r="D20" s="63" t="s">
        <v>1816</v>
      </c>
      <c r="E20" s="63"/>
      <c r="F20" s="63" t="s">
        <v>1817</v>
      </c>
      <c r="G20" s="63" t="s">
        <v>1815</v>
      </c>
      <c r="H20" s="63" t="s">
        <v>1747</v>
      </c>
      <c r="I20" s="66" t="s">
        <v>1758</v>
      </c>
      <c r="J20" s="63">
        <v>2019</v>
      </c>
      <c r="K20" s="59" t="s">
        <v>16</v>
      </c>
      <c r="L20" s="59" t="s">
        <v>1818</v>
      </c>
      <c r="M20" s="58" t="s">
        <v>234</v>
      </c>
      <c r="N20" s="58" t="s">
        <v>1734</v>
      </c>
      <c r="O20" s="58" t="s">
        <v>1760</v>
      </c>
      <c r="P20" s="58" t="s">
        <v>16</v>
      </c>
    </row>
    <row r="21" spans="1:16" ht="15.75" customHeight="1" x14ac:dyDescent="0.25">
      <c r="A21" s="63" t="str">
        <f t="shared" si="1"/>
        <v>004/2020/704.923.294-78</v>
      </c>
      <c r="B21" s="63" t="s">
        <v>1819</v>
      </c>
      <c r="C21" s="65">
        <v>44515.837517731481</v>
      </c>
      <c r="D21" s="63" t="s">
        <v>1820</v>
      </c>
      <c r="E21" s="63" t="s">
        <v>1821</v>
      </c>
      <c r="F21" s="63" t="s">
        <v>1822</v>
      </c>
      <c r="G21" s="63" t="s">
        <v>1819</v>
      </c>
      <c r="H21" s="63" t="s">
        <v>1740</v>
      </c>
      <c r="I21" s="66" t="s">
        <v>1776</v>
      </c>
      <c r="J21" s="63">
        <v>2020</v>
      </c>
      <c r="K21" s="59" t="s">
        <v>16</v>
      </c>
      <c r="L21" s="59" t="s">
        <v>1823</v>
      </c>
      <c r="M21" s="58" t="s">
        <v>234</v>
      </c>
      <c r="N21" s="58" t="s">
        <v>1734</v>
      </c>
      <c r="O21" s="58" t="s">
        <v>1778</v>
      </c>
      <c r="P21" s="58" t="s">
        <v>16</v>
      </c>
    </row>
    <row r="22" spans="1:16" ht="15.75" customHeight="1" x14ac:dyDescent="0.25">
      <c r="A22" s="63" t="str">
        <f t="shared" si="1"/>
        <v>004/2020/544.141.642-49</v>
      </c>
      <c r="B22" s="63" t="s">
        <v>1824</v>
      </c>
      <c r="C22" s="65">
        <v>44515.858025752314</v>
      </c>
      <c r="D22" s="63" t="s">
        <v>1825</v>
      </c>
      <c r="E22" s="63"/>
      <c r="F22" s="63" t="s">
        <v>1826</v>
      </c>
      <c r="G22" s="63" t="s">
        <v>1824</v>
      </c>
      <c r="H22" s="63" t="s">
        <v>1747</v>
      </c>
      <c r="I22" s="66" t="s">
        <v>1776</v>
      </c>
      <c r="J22" s="63">
        <v>2020</v>
      </c>
      <c r="K22" s="59" t="s">
        <v>16</v>
      </c>
      <c r="L22" s="59" t="s">
        <v>1827</v>
      </c>
      <c r="M22" s="58" t="s">
        <v>234</v>
      </c>
      <c r="N22" s="58" t="s">
        <v>1734</v>
      </c>
      <c r="O22" s="58" t="s">
        <v>1778</v>
      </c>
      <c r="P22" s="58" t="s">
        <v>16</v>
      </c>
    </row>
    <row r="23" spans="1:16" ht="15.75" customHeight="1" x14ac:dyDescent="0.25">
      <c r="A23" s="63" t="str">
        <f t="shared" si="1"/>
        <v>004/2020/111.853.884-60</v>
      </c>
      <c r="B23" s="63" t="s">
        <v>1828</v>
      </c>
      <c r="C23" s="65">
        <v>44515.968621435182</v>
      </c>
      <c r="D23" s="63" t="s">
        <v>1829</v>
      </c>
      <c r="E23" s="63"/>
      <c r="F23" s="63" t="s">
        <v>1830</v>
      </c>
      <c r="G23" s="63" t="s">
        <v>1828</v>
      </c>
      <c r="H23" s="63" t="s">
        <v>1747</v>
      </c>
      <c r="I23" s="66" t="s">
        <v>1776</v>
      </c>
      <c r="J23" s="63">
        <v>2020</v>
      </c>
      <c r="K23" s="59" t="s">
        <v>16</v>
      </c>
      <c r="L23" s="59" t="s">
        <v>1831</v>
      </c>
      <c r="M23" s="58" t="s">
        <v>234</v>
      </c>
      <c r="N23" s="58" t="s">
        <v>1734</v>
      </c>
      <c r="O23" s="58" t="s">
        <v>1778</v>
      </c>
      <c r="P23" s="58" t="s">
        <v>16</v>
      </c>
    </row>
    <row r="24" spans="1:16" ht="15.75" customHeight="1" x14ac:dyDescent="0.25">
      <c r="A24" s="63" t="str">
        <f t="shared" si="1"/>
        <v>004/2020/069.392.214-17</v>
      </c>
      <c r="B24" s="63" t="s">
        <v>1832</v>
      </c>
      <c r="C24" s="65">
        <v>44516.607996585648</v>
      </c>
      <c r="D24" s="63" t="s">
        <v>1833</v>
      </c>
      <c r="E24" s="63"/>
      <c r="F24" s="63" t="s">
        <v>1834</v>
      </c>
      <c r="G24" s="63" t="s">
        <v>1832</v>
      </c>
      <c r="H24" s="63" t="s">
        <v>1747</v>
      </c>
      <c r="I24" s="66" t="s">
        <v>1776</v>
      </c>
      <c r="J24" s="63">
        <v>2020</v>
      </c>
      <c r="K24" s="59" t="s">
        <v>16</v>
      </c>
      <c r="L24" s="59" t="s">
        <v>1835</v>
      </c>
      <c r="M24" s="58" t="s">
        <v>234</v>
      </c>
      <c r="N24" s="58" t="s">
        <v>1734</v>
      </c>
      <c r="O24" s="58" t="s">
        <v>1778</v>
      </c>
      <c r="P24" s="58" t="s">
        <v>16</v>
      </c>
    </row>
    <row r="25" spans="1:16" ht="15.75" customHeight="1" x14ac:dyDescent="0.25">
      <c r="A25" s="63" t="str">
        <f t="shared" si="1"/>
        <v>040/2019/060.831.554-01</v>
      </c>
      <c r="B25" s="63" t="s">
        <v>1836</v>
      </c>
      <c r="C25" s="65">
        <v>44516.663961099533</v>
      </c>
      <c r="D25" s="63" t="s">
        <v>1837</v>
      </c>
      <c r="E25" s="63"/>
      <c r="F25" s="63" t="s">
        <v>1838</v>
      </c>
      <c r="G25" s="63" t="s">
        <v>1836</v>
      </c>
      <c r="H25" s="63" t="s">
        <v>1747</v>
      </c>
      <c r="I25" s="66" t="s">
        <v>1758</v>
      </c>
      <c r="J25" s="63">
        <v>2019</v>
      </c>
      <c r="K25" s="59" t="s">
        <v>16</v>
      </c>
      <c r="L25" s="59" t="s">
        <v>1839</v>
      </c>
      <c r="M25" s="58" t="s">
        <v>234</v>
      </c>
      <c r="N25" s="58" t="s">
        <v>1734</v>
      </c>
      <c r="O25" s="58" t="s">
        <v>1760</v>
      </c>
      <c r="P25" s="58" t="s">
        <v>16</v>
      </c>
    </row>
    <row r="26" spans="1:16" ht="15.75" customHeight="1" x14ac:dyDescent="0.25">
      <c r="A26" s="63" t="str">
        <f t="shared" si="1"/>
        <v>004/2020/090.585.944-83</v>
      </c>
      <c r="B26" s="63" t="s">
        <v>1840</v>
      </c>
      <c r="C26" s="65">
        <v>44516.7739730787</v>
      </c>
      <c r="D26" s="63" t="s">
        <v>1841</v>
      </c>
      <c r="E26" s="63"/>
      <c r="F26" s="63" t="s">
        <v>1842</v>
      </c>
      <c r="G26" s="63" t="s">
        <v>1840</v>
      </c>
      <c r="H26" s="63" t="s">
        <v>1747</v>
      </c>
      <c r="I26" s="66" t="s">
        <v>1776</v>
      </c>
      <c r="J26" s="63">
        <v>2020</v>
      </c>
      <c r="K26" s="59" t="s">
        <v>16</v>
      </c>
      <c r="L26" s="59" t="s">
        <v>1843</v>
      </c>
      <c r="M26" s="58" t="s">
        <v>234</v>
      </c>
      <c r="N26" s="58" t="s">
        <v>1734</v>
      </c>
      <c r="O26" s="58" t="s">
        <v>1778</v>
      </c>
      <c r="P26" s="58" t="s">
        <v>16</v>
      </c>
    </row>
    <row r="27" spans="1:16" ht="15.75" customHeight="1" x14ac:dyDescent="0.25">
      <c r="A27" s="63" t="str">
        <f t="shared" si="1"/>
        <v>036/2019/072.650.304-51</v>
      </c>
      <c r="B27" s="63" t="s">
        <v>1844</v>
      </c>
      <c r="C27" s="65">
        <v>44517.670455370375</v>
      </c>
      <c r="D27" s="63" t="s">
        <v>1845</v>
      </c>
      <c r="E27" s="63"/>
      <c r="F27" s="63" t="s">
        <v>1846</v>
      </c>
      <c r="G27" s="63" t="s">
        <v>1844</v>
      </c>
      <c r="H27" s="63" t="s">
        <v>1747</v>
      </c>
      <c r="I27" s="66" t="s">
        <v>1748</v>
      </c>
      <c r="J27" s="63">
        <v>2019</v>
      </c>
      <c r="K27" s="59" t="s">
        <v>232</v>
      </c>
      <c r="L27" s="59" t="s">
        <v>1847</v>
      </c>
      <c r="M27" s="58" t="s">
        <v>234</v>
      </c>
      <c r="N27" s="58" t="s">
        <v>1734</v>
      </c>
      <c r="O27" s="58" t="s">
        <v>1750</v>
      </c>
      <c r="P27" s="58" t="s">
        <v>232</v>
      </c>
    </row>
    <row r="28" spans="1:16" ht="15.75" customHeight="1" x14ac:dyDescent="0.25">
      <c r="A28" s="63" t="str">
        <f t="shared" si="1"/>
        <v>004/2020/031.638.294-90</v>
      </c>
      <c r="B28" s="63" t="s">
        <v>1848</v>
      </c>
      <c r="C28" s="65">
        <v>44518.331719548616</v>
      </c>
      <c r="D28" s="63" t="s">
        <v>1849</v>
      </c>
      <c r="E28" s="63"/>
      <c r="F28" s="63" t="s">
        <v>1850</v>
      </c>
      <c r="G28" s="63" t="s">
        <v>1848</v>
      </c>
      <c r="H28" s="63" t="s">
        <v>1747</v>
      </c>
      <c r="I28" s="66" t="s">
        <v>1776</v>
      </c>
      <c r="J28" s="63">
        <v>2020</v>
      </c>
      <c r="K28" s="59" t="s">
        <v>16</v>
      </c>
      <c r="L28" s="59" t="s">
        <v>1851</v>
      </c>
      <c r="M28" s="58" t="s">
        <v>234</v>
      </c>
      <c r="N28" s="58" t="s">
        <v>1734</v>
      </c>
      <c r="O28" s="58" t="s">
        <v>1778</v>
      </c>
      <c r="P28" s="58" t="s">
        <v>16</v>
      </c>
    </row>
    <row r="29" spans="1:16" ht="15.75" customHeight="1" x14ac:dyDescent="0.25">
      <c r="A29" s="63" t="str">
        <f t="shared" si="1"/>
        <v>036/2019/007.722.994-04</v>
      </c>
      <c r="B29" s="63" t="s">
        <v>1852</v>
      </c>
      <c r="C29" s="65">
        <v>44519.464400497687</v>
      </c>
      <c r="D29" s="63" t="s">
        <v>1853</v>
      </c>
      <c r="E29" s="63"/>
      <c r="F29" s="63" t="s">
        <v>1854</v>
      </c>
      <c r="G29" s="63" t="s">
        <v>1852</v>
      </c>
      <c r="H29" s="63" t="s">
        <v>1747</v>
      </c>
      <c r="I29" s="66" t="s">
        <v>1748</v>
      </c>
      <c r="J29" s="63">
        <v>2019</v>
      </c>
      <c r="K29" s="59" t="s">
        <v>17</v>
      </c>
      <c r="L29" s="59" t="s">
        <v>1855</v>
      </c>
      <c r="M29" s="58" t="s">
        <v>234</v>
      </c>
      <c r="N29" s="58" t="s">
        <v>1734</v>
      </c>
      <c r="O29" s="58" t="s">
        <v>1750</v>
      </c>
      <c r="P29" s="58" t="s">
        <v>17</v>
      </c>
    </row>
    <row r="30" spans="1:16" ht="15.75" customHeight="1" x14ac:dyDescent="0.25">
      <c r="A30" s="63" t="str">
        <f t="shared" si="1"/>
        <v>004/2020/067.108.304-03</v>
      </c>
      <c r="B30" s="63" t="s">
        <v>1856</v>
      </c>
      <c r="C30" s="65">
        <v>44519.486429988421</v>
      </c>
      <c r="D30" s="63" t="s">
        <v>1857</v>
      </c>
      <c r="E30" s="63"/>
      <c r="F30" s="63" t="s">
        <v>1858</v>
      </c>
      <c r="G30" s="63" t="s">
        <v>1856</v>
      </c>
      <c r="H30" s="63" t="s">
        <v>1747</v>
      </c>
      <c r="I30" s="66" t="s">
        <v>1776</v>
      </c>
      <c r="J30" s="63">
        <v>2020</v>
      </c>
      <c r="K30" s="59" t="s">
        <v>16</v>
      </c>
      <c r="L30" s="59" t="s">
        <v>1859</v>
      </c>
      <c r="M30" s="58" t="s">
        <v>234</v>
      </c>
      <c r="N30" s="58" t="s">
        <v>1734</v>
      </c>
      <c r="O30" s="58" t="s">
        <v>1778</v>
      </c>
      <c r="P30" s="58" t="s">
        <v>16</v>
      </c>
    </row>
    <row r="31" spans="1:16" ht="15.75" customHeight="1" x14ac:dyDescent="0.25">
      <c r="A31" s="63" t="str">
        <f t="shared" si="1"/>
        <v>036/2019/045.633.034-88</v>
      </c>
      <c r="B31" s="63" t="s">
        <v>1860</v>
      </c>
      <c r="C31" s="65">
        <v>44522.550316655092</v>
      </c>
      <c r="D31" s="63" t="s">
        <v>1861</v>
      </c>
      <c r="E31" s="63"/>
      <c r="F31" s="63" t="s">
        <v>1862</v>
      </c>
      <c r="G31" s="63" t="s">
        <v>1860</v>
      </c>
      <c r="H31" s="63" t="s">
        <v>1747</v>
      </c>
      <c r="I31" s="66" t="s">
        <v>1748</v>
      </c>
      <c r="J31" s="63">
        <v>2019</v>
      </c>
      <c r="K31" s="59" t="s">
        <v>18</v>
      </c>
      <c r="L31" s="59" t="s">
        <v>1863</v>
      </c>
      <c r="M31" s="58" t="s">
        <v>234</v>
      </c>
      <c r="N31" s="58" t="s">
        <v>1734</v>
      </c>
      <c r="O31" s="58" t="s">
        <v>1750</v>
      </c>
      <c r="P31" s="58" t="s">
        <v>18</v>
      </c>
    </row>
    <row r="32" spans="1:16" ht="15.75" customHeight="1" x14ac:dyDescent="0.25">
      <c r="A32" s="63" t="str">
        <f t="shared" si="1"/>
        <v>038/2021/076.222.494-08</v>
      </c>
      <c r="B32" s="63" t="s">
        <v>1864</v>
      </c>
      <c r="C32" s="65">
        <v>44524.352297569443</v>
      </c>
      <c r="D32" s="63" t="s">
        <v>1865</v>
      </c>
      <c r="E32" s="63"/>
      <c r="F32" s="63" t="s">
        <v>1866</v>
      </c>
      <c r="G32" s="63" t="s">
        <v>1864</v>
      </c>
      <c r="H32" s="63" t="s">
        <v>1747</v>
      </c>
      <c r="I32" s="66" t="s">
        <v>1867</v>
      </c>
      <c r="J32" s="63">
        <v>2021</v>
      </c>
      <c r="K32" s="59" t="s">
        <v>16</v>
      </c>
      <c r="L32" s="59" t="s">
        <v>1868</v>
      </c>
      <c r="M32" s="58" t="s">
        <v>234</v>
      </c>
      <c r="N32" s="58" t="s">
        <v>1734</v>
      </c>
      <c r="O32" s="58" t="s">
        <v>1869</v>
      </c>
      <c r="P32" s="58" t="s">
        <v>16</v>
      </c>
    </row>
    <row r="33" spans="1:16" ht="15.75" customHeight="1" x14ac:dyDescent="0.25">
      <c r="A33" s="63" t="str">
        <f t="shared" si="1"/>
        <v>004/2020/101.307.274-07</v>
      </c>
      <c r="B33" s="63" t="s">
        <v>1870</v>
      </c>
      <c r="C33" s="65">
        <v>44524.742109918981</v>
      </c>
      <c r="D33" s="63" t="s">
        <v>1871</v>
      </c>
      <c r="E33" s="63"/>
      <c r="F33" s="63" t="s">
        <v>1872</v>
      </c>
      <c r="G33" s="63" t="s">
        <v>1870</v>
      </c>
      <c r="H33" s="63" t="s">
        <v>1747</v>
      </c>
      <c r="I33" s="66" t="s">
        <v>1776</v>
      </c>
      <c r="J33" s="63">
        <v>2020</v>
      </c>
      <c r="K33" s="59" t="s">
        <v>16</v>
      </c>
      <c r="L33" s="59" t="s">
        <v>1873</v>
      </c>
      <c r="M33" s="58" t="s">
        <v>234</v>
      </c>
      <c r="N33" s="58" t="s">
        <v>1734</v>
      </c>
      <c r="O33" s="58" t="s">
        <v>1778</v>
      </c>
      <c r="P33" s="58" t="s">
        <v>16</v>
      </c>
    </row>
    <row r="34" spans="1:16" ht="15.75" customHeight="1" x14ac:dyDescent="0.25">
      <c r="A34" s="63" t="str">
        <f t="shared" si="1"/>
        <v>036/2019/073.472.414-48</v>
      </c>
      <c r="B34" s="63" t="s">
        <v>1874</v>
      </c>
      <c r="C34" s="65">
        <v>44525.445276562503</v>
      </c>
      <c r="D34" s="63" t="s">
        <v>1875</v>
      </c>
      <c r="E34" s="63"/>
      <c r="F34" s="63" t="s">
        <v>1876</v>
      </c>
      <c r="G34" s="63" t="s">
        <v>1874</v>
      </c>
      <c r="H34" s="63" t="s">
        <v>1747</v>
      </c>
      <c r="I34" s="66" t="s">
        <v>1748</v>
      </c>
      <c r="J34" s="63">
        <v>2019</v>
      </c>
      <c r="K34" s="59" t="s">
        <v>232</v>
      </c>
      <c r="L34" s="59" t="s">
        <v>1877</v>
      </c>
      <c r="M34" s="58" t="s">
        <v>234</v>
      </c>
      <c r="N34" s="58" t="s">
        <v>1734</v>
      </c>
      <c r="O34" s="58" t="s">
        <v>1750</v>
      </c>
      <c r="P34" s="58" t="s">
        <v>232</v>
      </c>
    </row>
    <row r="35" spans="1:16" ht="15.75" customHeight="1" x14ac:dyDescent="0.25">
      <c r="A35" s="63" t="str">
        <f t="shared" si="1"/>
        <v>040/2019/082.784.524-31</v>
      </c>
      <c r="B35" s="63" t="s">
        <v>1878</v>
      </c>
      <c r="C35" s="65">
        <v>44525.511579328704</v>
      </c>
      <c r="D35" s="63" t="s">
        <v>1879</v>
      </c>
      <c r="E35" s="63"/>
      <c r="F35" s="63" t="s">
        <v>1880</v>
      </c>
      <c r="G35" s="63" t="s">
        <v>1878</v>
      </c>
      <c r="H35" s="63" t="s">
        <v>1747</v>
      </c>
      <c r="I35" s="66" t="s">
        <v>1758</v>
      </c>
      <c r="J35" s="63">
        <v>2019</v>
      </c>
      <c r="K35" s="59" t="s">
        <v>16</v>
      </c>
      <c r="L35" s="59" t="s">
        <v>1881</v>
      </c>
      <c r="M35" s="58" t="s">
        <v>234</v>
      </c>
      <c r="N35" s="58" t="s">
        <v>1734</v>
      </c>
      <c r="O35" s="58" t="s">
        <v>1760</v>
      </c>
      <c r="P35" s="58" t="s">
        <v>16</v>
      </c>
    </row>
    <row r="36" spans="1:16" ht="15.75" customHeight="1" x14ac:dyDescent="0.25">
      <c r="A36" s="63" t="str">
        <f t="shared" si="1"/>
        <v>036/2021/066.834.194-77</v>
      </c>
      <c r="B36" s="63" t="s">
        <v>1882</v>
      </c>
      <c r="C36" s="65">
        <v>44525.626266516207</v>
      </c>
      <c r="D36" s="63" t="s">
        <v>1883</v>
      </c>
      <c r="E36" s="63"/>
      <c r="F36" s="63" t="s">
        <v>1884</v>
      </c>
      <c r="G36" s="63" t="s">
        <v>1882</v>
      </c>
      <c r="H36" s="63" t="s">
        <v>1747</v>
      </c>
      <c r="I36" s="66" t="s">
        <v>1748</v>
      </c>
      <c r="J36" s="63">
        <v>2021</v>
      </c>
      <c r="K36" s="59" t="s">
        <v>18</v>
      </c>
      <c r="L36" s="59" t="s">
        <v>1885</v>
      </c>
      <c r="M36" s="58" t="s">
        <v>234</v>
      </c>
      <c r="N36" s="58" t="s">
        <v>1734</v>
      </c>
      <c r="O36" s="58" t="s">
        <v>1886</v>
      </c>
      <c r="P36" s="58" t="s">
        <v>18</v>
      </c>
    </row>
    <row r="37" spans="1:16" ht="15.75" customHeight="1" x14ac:dyDescent="0.25">
      <c r="A37" s="63" t="str">
        <f t="shared" si="1"/>
        <v>036/2019/085.920.754-40</v>
      </c>
      <c r="B37" s="63" t="s">
        <v>1887</v>
      </c>
      <c r="C37" s="65">
        <v>44525.636154467589</v>
      </c>
      <c r="D37" s="63" t="s">
        <v>1888</v>
      </c>
      <c r="E37" s="63"/>
      <c r="F37" s="63" t="s">
        <v>1889</v>
      </c>
      <c r="G37" s="63" t="s">
        <v>1887</v>
      </c>
      <c r="H37" s="63" t="s">
        <v>1747</v>
      </c>
      <c r="I37" s="66" t="s">
        <v>1748</v>
      </c>
      <c r="J37" s="63">
        <v>2019</v>
      </c>
      <c r="K37" s="59" t="s">
        <v>18</v>
      </c>
      <c r="L37" s="59" t="s">
        <v>1890</v>
      </c>
      <c r="M37" s="58" t="s">
        <v>234</v>
      </c>
      <c r="N37" s="58" t="s">
        <v>1734</v>
      </c>
      <c r="O37" s="58" t="s">
        <v>1750</v>
      </c>
      <c r="P37" s="58" t="s">
        <v>18</v>
      </c>
    </row>
    <row r="38" spans="1:16" ht="12.5" x14ac:dyDescent="0.25">
      <c r="A38" s="63" t="str">
        <f t="shared" si="1"/>
        <v>040/2019/702.768.134-05</v>
      </c>
      <c r="B38" s="63" t="s">
        <v>1891</v>
      </c>
      <c r="C38" s="65">
        <v>44528.879994270828</v>
      </c>
      <c r="D38" s="63" t="s">
        <v>1892</v>
      </c>
      <c r="E38" s="63"/>
      <c r="F38" s="63" t="s">
        <v>1893</v>
      </c>
      <c r="G38" s="63" t="s">
        <v>1891</v>
      </c>
      <c r="H38" s="63" t="s">
        <v>1747</v>
      </c>
      <c r="I38" s="66" t="s">
        <v>1758</v>
      </c>
      <c r="J38" s="63">
        <v>2019</v>
      </c>
      <c r="K38" s="59" t="s">
        <v>16</v>
      </c>
      <c r="L38" s="59" t="s">
        <v>1894</v>
      </c>
      <c r="M38" s="58" t="s">
        <v>234</v>
      </c>
      <c r="N38" s="58" t="s">
        <v>1734</v>
      </c>
      <c r="O38" s="58" t="s">
        <v>1760</v>
      </c>
      <c r="P38" s="58" t="s">
        <v>16</v>
      </c>
    </row>
    <row r="39" spans="1:16" ht="12.5" x14ac:dyDescent="0.25">
      <c r="A39" s="63" t="str">
        <f t="shared" si="1"/>
        <v>036/2021/061.512.284-13</v>
      </c>
      <c r="B39" s="63" t="s">
        <v>1895</v>
      </c>
      <c r="C39" s="65">
        <v>44531.425538773146</v>
      </c>
      <c r="D39" s="63" t="s">
        <v>1896</v>
      </c>
      <c r="E39" s="63"/>
      <c r="F39" s="63" t="s">
        <v>1897</v>
      </c>
      <c r="G39" s="63" t="s">
        <v>1895</v>
      </c>
      <c r="H39" s="63" t="s">
        <v>1747</v>
      </c>
      <c r="I39" s="66" t="s">
        <v>1748</v>
      </c>
      <c r="J39" s="63">
        <v>2021</v>
      </c>
      <c r="K39" s="59" t="s">
        <v>17</v>
      </c>
      <c r="L39" s="59" t="s">
        <v>1898</v>
      </c>
      <c r="M39" s="58" t="s">
        <v>234</v>
      </c>
      <c r="N39" s="58" t="s">
        <v>1734</v>
      </c>
      <c r="O39" s="58" t="s">
        <v>1886</v>
      </c>
      <c r="P39" s="58" t="s">
        <v>17</v>
      </c>
    </row>
    <row r="40" spans="1:16" ht="12.5" x14ac:dyDescent="0.25">
      <c r="A40" s="63" t="str">
        <f t="shared" si="1"/>
        <v>014/2021/026.366.924-60</v>
      </c>
      <c r="B40" s="63" t="s">
        <v>1899</v>
      </c>
      <c r="C40" s="65">
        <v>44531.917141377315</v>
      </c>
      <c r="D40" s="63" t="s">
        <v>1900</v>
      </c>
      <c r="E40" s="63" t="s">
        <v>1901</v>
      </c>
      <c r="F40" s="63" t="s">
        <v>1901</v>
      </c>
      <c r="G40" s="63" t="s">
        <v>1899</v>
      </c>
      <c r="H40" s="63" t="s">
        <v>1740</v>
      </c>
      <c r="I40" s="66" t="s">
        <v>1902</v>
      </c>
      <c r="J40" s="63">
        <v>2021</v>
      </c>
      <c r="K40" s="59" t="s">
        <v>232</v>
      </c>
      <c r="L40" s="59" t="s">
        <v>1903</v>
      </c>
      <c r="M40" s="58" t="s">
        <v>234</v>
      </c>
      <c r="N40" s="58" t="s">
        <v>1734</v>
      </c>
      <c r="O40" s="58" t="s">
        <v>1904</v>
      </c>
      <c r="P40" s="58" t="s">
        <v>232</v>
      </c>
    </row>
    <row r="41" spans="1:16" ht="12.5" x14ac:dyDescent="0.25">
      <c r="A41" s="63" t="str">
        <f t="shared" si="1"/>
        <v>036/2021/024.904.784-51</v>
      </c>
      <c r="B41" s="63" t="s">
        <v>1905</v>
      </c>
      <c r="C41" s="65">
        <v>44532.567696967591</v>
      </c>
      <c r="D41" s="63" t="s">
        <v>1906</v>
      </c>
      <c r="E41" s="63" t="s">
        <v>1907</v>
      </c>
      <c r="F41" s="63" t="s">
        <v>1907</v>
      </c>
      <c r="G41" s="63" t="s">
        <v>1905</v>
      </c>
      <c r="H41" s="63" t="s">
        <v>1740</v>
      </c>
      <c r="I41" s="66" t="s">
        <v>1748</v>
      </c>
      <c r="J41" s="63">
        <v>2021</v>
      </c>
      <c r="K41" s="59" t="s">
        <v>18</v>
      </c>
      <c r="L41" s="59" t="s">
        <v>1908</v>
      </c>
      <c r="M41" s="58" t="s">
        <v>234</v>
      </c>
      <c r="N41" s="58" t="s">
        <v>1734</v>
      </c>
      <c r="O41" s="58" t="s">
        <v>1886</v>
      </c>
      <c r="P41" s="58" t="s">
        <v>18</v>
      </c>
    </row>
    <row r="42" spans="1:16" ht="12.5" x14ac:dyDescent="0.25">
      <c r="A42" s="63" t="str">
        <f t="shared" si="1"/>
        <v>040/2019/053.653.624-46</v>
      </c>
      <c r="B42" s="63" t="s">
        <v>1909</v>
      </c>
      <c r="C42" s="65">
        <v>44537.550719571758</v>
      </c>
      <c r="D42" s="63" t="s">
        <v>1910</v>
      </c>
      <c r="E42" s="63"/>
      <c r="F42" s="63" t="s">
        <v>1911</v>
      </c>
      <c r="G42" s="63" t="s">
        <v>1909</v>
      </c>
      <c r="H42" s="63" t="s">
        <v>1747</v>
      </c>
      <c r="I42" s="66" t="s">
        <v>1758</v>
      </c>
      <c r="J42" s="63">
        <v>2019</v>
      </c>
      <c r="K42" s="59" t="s">
        <v>16</v>
      </c>
      <c r="L42" s="59" t="s">
        <v>1912</v>
      </c>
      <c r="M42" s="58" t="s">
        <v>234</v>
      </c>
      <c r="N42" s="58" t="s">
        <v>1734</v>
      </c>
      <c r="O42" s="58" t="s">
        <v>1760</v>
      </c>
      <c r="P42" s="58" t="s">
        <v>16</v>
      </c>
    </row>
    <row r="43" spans="1:16" ht="12.5" x14ac:dyDescent="0.25">
      <c r="A43" s="63" t="str">
        <f t="shared" si="1"/>
        <v>040/2019/005.682.393-26</v>
      </c>
      <c r="B43" s="63" t="s">
        <v>1913</v>
      </c>
      <c r="C43" s="65">
        <v>44540.462567847222</v>
      </c>
      <c r="D43" s="63" t="s">
        <v>1914</v>
      </c>
      <c r="E43" s="63"/>
      <c r="F43" s="63" t="s">
        <v>1915</v>
      </c>
      <c r="G43" s="63" t="s">
        <v>1913</v>
      </c>
      <c r="H43" s="63" t="s">
        <v>1747</v>
      </c>
      <c r="I43" s="66" t="s">
        <v>1758</v>
      </c>
      <c r="J43" s="63">
        <v>2019</v>
      </c>
      <c r="K43" s="59" t="s">
        <v>16</v>
      </c>
      <c r="L43" s="59" t="s">
        <v>1916</v>
      </c>
      <c r="M43" s="58" t="s">
        <v>234</v>
      </c>
      <c r="N43" s="58" t="s">
        <v>1734</v>
      </c>
      <c r="O43" s="58" t="s">
        <v>1760</v>
      </c>
      <c r="P43" s="58" t="s">
        <v>16</v>
      </c>
    </row>
    <row r="44" spans="1:16" ht="12.5" x14ac:dyDescent="0.25">
      <c r="A44" s="63" t="str">
        <f t="shared" si="1"/>
        <v>004/2020/690.562.004-10</v>
      </c>
      <c r="B44" s="63" t="s">
        <v>1917</v>
      </c>
      <c r="C44" s="65">
        <v>44540.703119189813</v>
      </c>
      <c r="D44" s="63" t="s">
        <v>1918</v>
      </c>
      <c r="E44" s="63"/>
      <c r="F44" s="63" t="s">
        <v>1919</v>
      </c>
      <c r="G44" s="63" t="s">
        <v>1917</v>
      </c>
      <c r="H44" s="63" t="s">
        <v>1747</v>
      </c>
      <c r="I44" s="66" t="s">
        <v>1776</v>
      </c>
      <c r="J44" s="63">
        <v>2020</v>
      </c>
      <c r="K44" s="59" t="s">
        <v>16</v>
      </c>
      <c r="L44" s="59" t="s">
        <v>1920</v>
      </c>
      <c r="M44" s="58" t="s">
        <v>234</v>
      </c>
      <c r="N44" s="58" t="s">
        <v>1734</v>
      </c>
      <c r="O44" s="58" t="s">
        <v>1778</v>
      </c>
      <c r="P44" s="58" t="s">
        <v>16</v>
      </c>
    </row>
    <row r="45" spans="1:16" ht="12.5" x14ac:dyDescent="0.25">
      <c r="A45" s="63" t="str">
        <f t="shared" si="1"/>
        <v>040/2019/084.389.894-11</v>
      </c>
      <c r="B45" s="63" t="s">
        <v>1921</v>
      </c>
      <c r="C45" s="65">
        <v>44543.690522534722</v>
      </c>
      <c r="D45" s="63" t="s">
        <v>1922</v>
      </c>
      <c r="E45" s="63"/>
      <c r="F45" s="63" t="s">
        <v>1923</v>
      </c>
      <c r="G45" s="63" t="s">
        <v>1921</v>
      </c>
      <c r="H45" s="63" t="s">
        <v>1747</v>
      </c>
      <c r="I45" s="66" t="s">
        <v>1758</v>
      </c>
      <c r="J45" s="63">
        <v>2019</v>
      </c>
      <c r="K45" s="59" t="s">
        <v>16</v>
      </c>
      <c r="L45" s="59" t="s">
        <v>1924</v>
      </c>
      <c r="M45" s="58" t="s">
        <v>234</v>
      </c>
      <c r="N45" s="58" t="s">
        <v>1734</v>
      </c>
      <c r="O45" s="58" t="s">
        <v>1760</v>
      </c>
      <c r="P45" s="58" t="s">
        <v>16</v>
      </c>
    </row>
    <row r="46" spans="1:16" ht="12.5" x14ac:dyDescent="0.25">
      <c r="A46" s="63" t="str">
        <f t="shared" si="1"/>
        <v>040/2019/083.845.074-14</v>
      </c>
      <c r="B46" s="63" t="s">
        <v>1925</v>
      </c>
      <c r="C46" s="65">
        <v>44543.825566585649</v>
      </c>
      <c r="D46" s="63" t="s">
        <v>1926</v>
      </c>
      <c r="E46" s="63"/>
      <c r="F46" s="63" t="s">
        <v>1927</v>
      </c>
      <c r="G46" s="63" t="s">
        <v>1925</v>
      </c>
      <c r="H46" s="63" t="s">
        <v>1747</v>
      </c>
      <c r="I46" s="66" t="s">
        <v>1758</v>
      </c>
      <c r="J46" s="63">
        <v>2019</v>
      </c>
      <c r="K46" s="59" t="s">
        <v>16</v>
      </c>
      <c r="L46" s="59" t="s">
        <v>1928</v>
      </c>
      <c r="M46" s="58" t="s">
        <v>234</v>
      </c>
      <c r="N46" s="58" t="s">
        <v>1734</v>
      </c>
      <c r="O46" s="58" t="s">
        <v>1760</v>
      </c>
      <c r="P46" s="58" t="s">
        <v>16</v>
      </c>
    </row>
    <row r="47" spans="1:16" ht="12.5" x14ac:dyDescent="0.25">
      <c r="A47" s="63" t="str">
        <f t="shared" si="1"/>
        <v>004/2020/084.736.824-67</v>
      </c>
      <c r="B47" s="63" t="s">
        <v>1929</v>
      </c>
      <c r="C47" s="65">
        <v>44544.481153530098</v>
      </c>
      <c r="D47" s="63" t="s">
        <v>1930</v>
      </c>
      <c r="E47" s="63"/>
      <c r="F47" s="63" t="s">
        <v>1931</v>
      </c>
      <c r="G47" s="63" t="s">
        <v>1929</v>
      </c>
      <c r="H47" s="63" t="s">
        <v>1747</v>
      </c>
      <c r="I47" s="66" t="s">
        <v>1776</v>
      </c>
      <c r="J47" s="63">
        <v>2020</v>
      </c>
      <c r="K47" s="59" t="s">
        <v>16</v>
      </c>
      <c r="L47" s="59" t="s">
        <v>1932</v>
      </c>
      <c r="M47" s="58" t="s">
        <v>234</v>
      </c>
      <c r="N47" s="58" t="s">
        <v>1734</v>
      </c>
      <c r="O47" s="58" t="s">
        <v>1778</v>
      </c>
      <c r="P47" s="58" t="s">
        <v>16</v>
      </c>
    </row>
    <row r="48" spans="1:16" ht="12.5" x14ac:dyDescent="0.25">
      <c r="A48" s="63" t="str">
        <f t="shared" si="1"/>
        <v>041/2019/052.064.024-19</v>
      </c>
      <c r="B48" s="63" t="s">
        <v>1933</v>
      </c>
      <c r="C48" s="65">
        <v>44544.654596689812</v>
      </c>
      <c r="D48" s="63" t="s">
        <v>1934</v>
      </c>
      <c r="E48" s="63"/>
      <c r="F48" s="63" t="s">
        <v>1935</v>
      </c>
      <c r="G48" s="63" t="s">
        <v>1933</v>
      </c>
      <c r="H48" s="63" t="s">
        <v>1747</v>
      </c>
      <c r="I48" s="66" t="s">
        <v>1936</v>
      </c>
      <c r="J48" s="63">
        <v>2019</v>
      </c>
      <c r="K48" s="59" t="s">
        <v>16</v>
      </c>
      <c r="L48" s="59" t="s">
        <v>1937</v>
      </c>
      <c r="M48" s="58" t="s">
        <v>234</v>
      </c>
      <c r="N48" s="58" t="s">
        <v>1734</v>
      </c>
      <c r="O48" s="58" t="s">
        <v>1938</v>
      </c>
      <c r="P48" s="58" t="s">
        <v>16</v>
      </c>
    </row>
    <row r="49" spans="1:16" ht="12.5" x14ac:dyDescent="0.25">
      <c r="A49" s="63" t="str">
        <f t="shared" si="1"/>
        <v>004/2020/022.199.774-12</v>
      </c>
      <c r="B49" s="63" t="s">
        <v>1939</v>
      </c>
      <c r="C49" s="65">
        <v>44544.810152812497</v>
      </c>
      <c r="D49" s="63" t="s">
        <v>1940</v>
      </c>
      <c r="E49" s="63"/>
      <c r="F49" s="63" t="s">
        <v>1941</v>
      </c>
      <c r="G49" s="63" t="s">
        <v>1939</v>
      </c>
      <c r="H49" s="63" t="s">
        <v>1747</v>
      </c>
      <c r="I49" s="66" t="s">
        <v>1776</v>
      </c>
      <c r="J49" s="63">
        <v>2020</v>
      </c>
      <c r="K49" s="59" t="s">
        <v>16</v>
      </c>
      <c r="L49" s="59" t="s">
        <v>1942</v>
      </c>
      <c r="M49" s="58" t="s">
        <v>234</v>
      </c>
      <c r="N49" s="58" t="s">
        <v>1734</v>
      </c>
      <c r="O49" s="58" t="s">
        <v>1778</v>
      </c>
      <c r="P49" s="58" t="s">
        <v>16</v>
      </c>
    </row>
    <row r="50" spans="1:16" ht="12.5" x14ac:dyDescent="0.25">
      <c r="A50" s="63" t="str">
        <f t="shared" si="1"/>
        <v>040/2019/077.122.724-84</v>
      </c>
      <c r="B50" s="63" t="s">
        <v>1943</v>
      </c>
      <c r="C50" s="65">
        <v>44544.850385254627</v>
      </c>
      <c r="D50" s="63" t="s">
        <v>1944</v>
      </c>
      <c r="E50" s="63"/>
      <c r="F50" s="63" t="s">
        <v>1945</v>
      </c>
      <c r="G50" s="63" t="s">
        <v>1943</v>
      </c>
      <c r="H50" s="63" t="s">
        <v>1747</v>
      </c>
      <c r="I50" s="66" t="s">
        <v>1758</v>
      </c>
      <c r="J50" s="63">
        <v>2019</v>
      </c>
      <c r="K50" s="59" t="s">
        <v>16</v>
      </c>
      <c r="L50" s="59" t="s">
        <v>1946</v>
      </c>
      <c r="M50" s="58" t="s">
        <v>234</v>
      </c>
      <c r="N50" s="58" t="s">
        <v>1734</v>
      </c>
      <c r="O50" s="58" t="s">
        <v>1760</v>
      </c>
      <c r="P50" s="58" t="s">
        <v>16</v>
      </c>
    </row>
    <row r="51" spans="1:16" ht="12.5" x14ac:dyDescent="0.25">
      <c r="A51" s="63" t="str">
        <f t="shared" si="1"/>
        <v>040/2019/059.648.264-74</v>
      </c>
      <c r="B51" s="63" t="s">
        <v>1947</v>
      </c>
      <c r="C51" s="65">
        <v>44545.476774594907</v>
      </c>
      <c r="D51" s="63" t="s">
        <v>1948</v>
      </c>
      <c r="E51" s="63"/>
      <c r="F51" s="63" t="s">
        <v>1949</v>
      </c>
      <c r="G51" s="63" t="s">
        <v>1947</v>
      </c>
      <c r="H51" s="63" t="s">
        <v>1747</v>
      </c>
      <c r="I51" s="66" t="s">
        <v>1758</v>
      </c>
      <c r="J51" s="63">
        <v>2019</v>
      </c>
      <c r="K51" s="59" t="s">
        <v>16</v>
      </c>
      <c r="L51" s="59" t="s">
        <v>1950</v>
      </c>
      <c r="M51" s="58" t="s">
        <v>234</v>
      </c>
      <c r="N51" s="58" t="s">
        <v>1734</v>
      </c>
      <c r="O51" s="58" t="s">
        <v>1760</v>
      </c>
      <c r="P51" s="58" t="s">
        <v>16</v>
      </c>
    </row>
    <row r="52" spans="1:16" ht="12.5" x14ac:dyDescent="0.25">
      <c r="A52" s="63" t="str">
        <f t="shared" si="1"/>
        <v>004/2020/105.058.644-10</v>
      </c>
      <c r="B52" s="63" t="s">
        <v>1951</v>
      </c>
      <c r="C52" s="65">
        <v>44546.419909537042</v>
      </c>
      <c r="D52" s="63" t="s">
        <v>1952</v>
      </c>
      <c r="E52" s="63"/>
      <c r="F52" s="63" t="s">
        <v>1953</v>
      </c>
      <c r="G52" s="63" t="s">
        <v>1951</v>
      </c>
      <c r="H52" s="63" t="s">
        <v>1747</v>
      </c>
      <c r="I52" s="66" t="s">
        <v>1776</v>
      </c>
      <c r="J52" s="63">
        <v>2020</v>
      </c>
      <c r="K52" s="59" t="s">
        <v>16</v>
      </c>
      <c r="L52" s="59" t="s">
        <v>1954</v>
      </c>
      <c r="M52" s="58" t="s">
        <v>234</v>
      </c>
      <c r="N52" s="58" t="s">
        <v>1734</v>
      </c>
      <c r="O52" s="58" t="s">
        <v>1778</v>
      </c>
      <c r="P52" s="58" t="s">
        <v>16</v>
      </c>
    </row>
    <row r="53" spans="1:16" ht="12.5" x14ac:dyDescent="0.25">
      <c r="A53" s="63" t="str">
        <f t="shared" si="1"/>
        <v>040/2019/101.765.284-82</v>
      </c>
      <c r="B53" s="63" t="s">
        <v>1955</v>
      </c>
      <c r="C53" s="65">
        <v>44546.690782002319</v>
      </c>
      <c r="D53" s="63" t="s">
        <v>1956</v>
      </c>
      <c r="E53" s="63"/>
      <c r="F53" s="63" t="s">
        <v>1957</v>
      </c>
      <c r="G53" s="63" t="s">
        <v>1955</v>
      </c>
      <c r="H53" s="63" t="s">
        <v>1747</v>
      </c>
      <c r="I53" s="66" t="s">
        <v>1758</v>
      </c>
      <c r="J53" s="63">
        <v>2019</v>
      </c>
      <c r="K53" s="59" t="s">
        <v>16</v>
      </c>
      <c r="L53" s="59" t="s">
        <v>1958</v>
      </c>
      <c r="M53" s="58" t="s">
        <v>234</v>
      </c>
      <c r="N53" s="58" t="s">
        <v>1734</v>
      </c>
      <c r="O53" s="58" t="s">
        <v>1760</v>
      </c>
      <c r="P53" s="58" t="s">
        <v>16</v>
      </c>
    </row>
    <row r="54" spans="1:16" ht="12.5" x14ac:dyDescent="0.25">
      <c r="A54" s="63" t="str">
        <f t="shared" si="1"/>
        <v>040/2019/101.547.854-90</v>
      </c>
      <c r="B54" s="63" t="s">
        <v>1959</v>
      </c>
      <c r="C54" s="65">
        <v>44546.854230486111</v>
      </c>
      <c r="D54" s="63" t="s">
        <v>1960</v>
      </c>
      <c r="E54" s="63"/>
      <c r="F54" s="63" t="s">
        <v>1961</v>
      </c>
      <c r="G54" s="63" t="s">
        <v>1959</v>
      </c>
      <c r="H54" s="63" t="s">
        <v>1747</v>
      </c>
      <c r="I54" s="66" t="s">
        <v>1758</v>
      </c>
      <c r="J54" s="63">
        <v>2019</v>
      </c>
      <c r="K54" s="59" t="s">
        <v>16</v>
      </c>
      <c r="L54" s="59" t="s">
        <v>1962</v>
      </c>
      <c r="M54" s="58" t="s">
        <v>234</v>
      </c>
      <c r="N54" s="58" t="s">
        <v>1734</v>
      </c>
      <c r="O54" s="58" t="s">
        <v>1760</v>
      </c>
      <c r="P54" s="58" t="s">
        <v>16</v>
      </c>
    </row>
    <row r="55" spans="1:16" ht="12.5" x14ac:dyDescent="0.25">
      <c r="A55" s="63" t="str">
        <f t="shared" si="1"/>
        <v>004/2020/101.307.274-07</v>
      </c>
      <c r="B55" s="63" t="s">
        <v>1870</v>
      </c>
      <c r="C55" s="65">
        <v>44546.902001226852</v>
      </c>
      <c r="D55" s="63" t="s">
        <v>1960</v>
      </c>
      <c r="E55" s="63"/>
      <c r="F55" s="63" t="s">
        <v>1963</v>
      </c>
      <c r="G55" s="63" t="s">
        <v>1870</v>
      </c>
      <c r="H55" s="63" t="s">
        <v>1747</v>
      </c>
      <c r="I55" s="66" t="s">
        <v>1776</v>
      </c>
      <c r="J55" s="63">
        <v>2020</v>
      </c>
      <c r="K55" s="59" t="s">
        <v>16</v>
      </c>
      <c r="L55" s="59" t="s">
        <v>1964</v>
      </c>
      <c r="M55" s="58" t="s">
        <v>234</v>
      </c>
      <c r="N55" s="58" t="s">
        <v>1734</v>
      </c>
      <c r="O55" s="58" t="s">
        <v>1778</v>
      </c>
      <c r="P55" s="58" t="s">
        <v>16</v>
      </c>
    </row>
    <row r="56" spans="1:16" ht="12.5" x14ac:dyDescent="0.25">
      <c r="A56" s="63" t="str">
        <f t="shared" si="1"/>
        <v>004/2020/101.307.274-07</v>
      </c>
      <c r="B56" s="63" t="s">
        <v>1870</v>
      </c>
      <c r="C56" s="65">
        <v>44546.905273136574</v>
      </c>
      <c r="D56" s="63" t="s">
        <v>1960</v>
      </c>
      <c r="E56" s="63"/>
      <c r="F56" s="63" t="s">
        <v>1963</v>
      </c>
      <c r="G56" s="63" t="s">
        <v>1870</v>
      </c>
      <c r="H56" s="63" t="s">
        <v>1747</v>
      </c>
      <c r="I56" s="66" t="s">
        <v>1776</v>
      </c>
      <c r="J56" s="63">
        <v>2020</v>
      </c>
      <c r="K56" s="59" t="s">
        <v>16</v>
      </c>
      <c r="L56" s="59" t="s">
        <v>1965</v>
      </c>
      <c r="M56" s="58" t="s">
        <v>234</v>
      </c>
      <c r="N56" s="58" t="s">
        <v>1734</v>
      </c>
      <c r="O56" s="58" t="s">
        <v>1778</v>
      </c>
      <c r="P56" s="58" t="s">
        <v>16</v>
      </c>
    </row>
    <row r="57" spans="1:16" ht="12.5" x14ac:dyDescent="0.25">
      <c r="A57" s="63" t="str">
        <f t="shared" si="1"/>
        <v>040/2019/038.986.184-71</v>
      </c>
      <c r="B57" s="63" t="s">
        <v>1966</v>
      </c>
      <c r="C57" s="65">
        <v>44547.629215381945</v>
      </c>
      <c r="D57" s="63" t="s">
        <v>1967</v>
      </c>
      <c r="E57" s="63"/>
      <c r="F57" s="63" t="s">
        <v>1968</v>
      </c>
      <c r="G57" s="63" t="s">
        <v>1966</v>
      </c>
      <c r="H57" s="63" t="s">
        <v>1747</v>
      </c>
      <c r="I57" s="66" t="s">
        <v>1758</v>
      </c>
      <c r="J57" s="63">
        <v>2019</v>
      </c>
      <c r="K57" s="59" t="s">
        <v>16</v>
      </c>
      <c r="L57" s="59" t="s">
        <v>1969</v>
      </c>
      <c r="M57" s="58" t="s">
        <v>234</v>
      </c>
      <c r="N57" s="58" t="s">
        <v>1734</v>
      </c>
      <c r="O57" s="58" t="s">
        <v>1760</v>
      </c>
      <c r="P57" s="58" t="s">
        <v>16</v>
      </c>
    </row>
    <row r="58" spans="1:16" ht="12.5" x14ac:dyDescent="0.25">
      <c r="A58" s="63" t="str">
        <f t="shared" si="1"/>
        <v>040/2019/095.425.224-10</v>
      </c>
      <c r="B58" s="63" t="s">
        <v>1970</v>
      </c>
      <c r="C58" s="65">
        <v>44547.800042071758</v>
      </c>
      <c r="D58" s="63" t="s">
        <v>1971</v>
      </c>
      <c r="E58" s="63"/>
      <c r="F58" s="63" t="s">
        <v>1972</v>
      </c>
      <c r="G58" s="63" t="s">
        <v>1970</v>
      </c>
      <c r="H58" s="63" t="s">
        <v>1747</v>
      </c>
      <c r="I58" s="66" t="s">
        <v>1758</v>
      </c>
      <c r="J58" s="63">
        <v>2019</v>
      </c>
      <c r="K58" s="59" t="s">
        <v>16</v>
      </c>
      <c r="L58" s="59" t="s">
        <v>1973</v>
      </c>
      <c r="M58" s="58" t="s">
        <v>234</v>
      </c>
      <c r="N58" s="58" t="s">
        <v>1734</v>
      </c>
      <c r="O58" s="58" t="s">
        <v>1760</v>
      </c>
      <c r="P58" s="58" t="s">
        <v>16</v>
      </c>
    </row>
    <row r="59" spans="1:16" ht="12.5" x14ac:dyDescent="0.25">
      <c r="A59" s="63" t="str">
        <f t="shared" si="1"/>
        <v>040/2019/084.161.074-67</v>
      </c>
      <c r="B59" s="63" t="s">
        <v>1974</v>
      </c>
      <c r="C59" s="65">
        <v>44550.334877986112</v>
      </c>
      <c r="D59" s="63" t="s">
        <v>1960</v>
      </c>
      <c r="E59" s="63"/>
      <c r="F59" s="63" t="s">
        <v>1975</v>
      </c>
      <c r="G59" s="63" t="s">
        <v>1974</v>
      </c>
      <c r="H59" s="63" t="s">
        <v>1747</v>
      </c>
      <c r="I59" s="66" t="s">
        <v>1758</v>
      </c>
      <c r="J59" s="63">
        <v>2019</v>
      </c>
      <c r="K59" s="59" t="s">
        <v>16</v>
      </c>
      <c r="L59" s="59" t="s">
        <v>1976</v>
      </c>
      <c r="M59" s="58" t="s">
        <v>234</v>
      </c>
      <c r="N59" s="58" t="s">
        <v>1734</v>
      </c>
      <c r="O59" s="58" t="s">
        <v>1760</v>
      </c>
      <c r="P59" s="58" t="s">
        <v>16</v>
      </c>
    </row>
    <row r="60" spans="1:16" ht="12.5" x14ac:dyDescent="0.25">
      <c r="A60" s="63" t="str">
        <f t="shared" si="1"/>
        <v>038/2021/059.429.914-48</v>
      </c>
      <c r="B60" s="63" t="s">
        <v>1977</v>
      </c>
      <c r="C60" s="65">
        <v>44550.69823076389</v>
      </c>
      <c r="D60" s="63" t="s">
        <v>1978</v>
      </c>
      <c r="E60" s="63"/>
      <c r="F60" s="63" t="s">
        <v>1979</v>
      </c>
      <c r="G60" s="63" t="s">
        <v>1977</v>
      </c>
      <c r="H60" s="63" t="s">
        <v>1747</v>
      </c>
      <c r="I60" s="66" t="s">
        <v>1867</v>
      </c>
      <c r="J60" s="63">
        <v>2021</v>
      </c>
      <c r="K60" s="59" t="s">
        <v>16</v>
      </c>
      <c r="L60" s="59" t="s">
        <v>1980</v>
      </c>
      <c r="M60" s="58" t="s">
        <v>234</v>
      </c>
      <c r="N60" s="58" t="s">
        <v>1734</v>
      </c>
      <c r="O60" s="58" t="s">
        <v>1869</v>
      </c>
      <c r="P60" s="58" t="s">
        <v>16</v>
      </c>
    </row>
    <row r="61" spans="1:16" ht="12.5" x14ac:dyDescent="0.25">
      <c r="A61" s="63" t="str">
        <f t="shared" si="1"/>
        <v>004/2020/071.230.954-30</v>
      </c>
      <c r="B61" s="63" t="s">
        <v>1981</v>
      </c>
      <c r="C61" s="65">
        <v>44551.361294259259</v>
      </c>
      <c r="D61" s="63" t="s">
        <v>1982</v>
      </c>
      <c r="E61" s="63"/>
      <c r="F61" s="63" t="s">
        <v>1983</v>
      </c>
      <c r="G61" s="63" t="s">
        <v>1981</v>
      </c>
      <c r="H61" s="63" t="s">
        <v>1747</v>
      </c>
      <c r="I61" s="66" t="s">
        <v>1776</v>
      </c>
      <c r="J61" s="63">
        <v>2020</v>
      </c>
      <c r="K61" s="59" t="s">
        <v>16</v>
      </c>
      <c r="L61" s="59" t="s">
        <v>1984</v>
      </c>
      <c r="M61" s="58" t="s">
        <v>234</v>
      </c>
      <c r="N61" s="58" t="s">
        <v>1734</v>
      </c>
      <c r="O61" s="58" t="s">
        <v>1778</v>
      </c>
      <c r="P61" s="58" t="s">
        <v>16</v>
      </c>
    </row>
    <row r="62" spans="1:16" ht="12.5" x14ac:dyDescent="0.25">
      <c r="A62" s="63" t="str">
        <f t="shared" si="1"/>
        <v>040/2019/022.984.864-84</v>
      </c>
      <c r="B62" s="63" t="s">
        <v>1985</v>
      </c>
      <c r="C62" s="65">
        <v>44551.731609236114</v>
      </c>
      <c r="D62" s="63" t="s">
        <v>1986</v>
      </c>
      <c r="E62" s="63"/>
      <c r="F62" s="63" t="s">
        <v>1987</v>
      </c>
      <c r="G62" s="63" t="s">
        <v>1985</v>
      </c>
      <c r="H62" s="63" t="s">
        <v>1747</v>
      </c>
      <c r="I62" s="66" t="s">
        <v>1758</v>
      </c>
      <c r="J62" s="63">
        <v>2019</v>
      </c>
      <c r="K62" s="59" t="s">
        <v>16</v>
      </c>
      <c r="L62" s="59" t="s">
        <v>1988</v>
      </c>
      <c r="M62" s="58" t="s">
        <v>234</v>
      </c>
      <c r="N62" s="58" t="s">
        <v>1734</v>
      </c>
      <c r="O62" s="58" t="s">
        <v>1760</v>
      </c>
      <c r="P62" s="58" t="s">
        <v>16</v>
      </c>
    </row>
    <row r="63" spans="1:16" ht="12.5" x14ac:dyDescent="0.25">
      <c r="A63" s="63" t="str">
        <f t="shared" si="1"/>
        <v>036/2019/042.069.334-30</v>
      </c>
      <c r="B63" s="63" t="s">
        <v>1989</v>
      </c>
      <c r="C63" s="65">
        <v>44552.85775693287</v>
      </c>
      <c r="D63" s="63" t="s">
        <v>1990</v>
      </c>
      <c r="E63" s="63" t="s">
        <v>1991</v>
      </c>
      <c r="F63" s="63" t="s">
        <v>1992</v>
      </c>
      <c r="G63" s="63" t="s">
        <v>1989</v>
      </c>
      <c r="H63" s="63" t="s">
        <v>1740</v>
      </c>
      <c r="I63" s="66" t="s">
        <v>1748</v>
      </c>
      <c r="J63" s="63">
        <v>2019</v>
      </c>
      <c r="K63" s="59" t="s">
        <v>16</v>
      </c>
      <c r="L63" s="59" t="s">
        <v>1993</v>
      </c>
      <c r="M63" s="58" t="s">
        <v>234</v>
      </c>
      <c r="N63" s="58" t="s">
        <v>1734</v>
      </c>
      <c r="O63" s="58" t="s">
        <v>1750</v>
      </c>
      <c r="P63" s="58" t="s">
        <v>16</v>
      </c>
    </row>
    <row r="64" spans="1:16" ht="12.5" x14ac:dyDescent="0.25">
      <c r="A64" s="63" t="str">
        <f t="shared" si="1"/>
        <v>004/2020/021.483.884-60</v>
      </c>
      <c r="B64" s="63" t="s">
        <v>1994</v>
      </c>
      <c r="C64" s="65">
        <v>44554.591838460648</v>
      </c>
      <c r="D64" s="63" t="s">
        <v>1995</v>
      </c>
      <c r="E64" s="63"/>
      <c r="F64" s="63" t="s">
        <v>1996</v>
      </c>
      <c r="G64" s="63" t="s">
        <v>1994</v>
      </c>
      <c r="H64" s="63" t="s">
        <v>1747</v>
      </c>
      <c r="I64" s="66" t="s">
        <v>1776</v>
      </c>
      <c r="J64" s="63">
        <v>2020</v>
      </c>
      <c r="K64" s="59" t="s">
        <v>16</v>
      </c>
      <c r="L64" s="59" t="s">
        <v>1997</v>
      </c>
      <c r="M64" s="58" t="s">
        <v>234</v>
      </c>
      <c r="N64" s="58" t="s">
        <v>1734</v>
      </c>
      <c r="O64" s="58" t="s">
        <v>1778</v>
      </c>
      <c r="P64" s="58" t="s">
        <v>16</v>
      </c>
    </row>
    <row r="65" spans="1:16" ht="12.5" x14ac:dyDescent="0.25">
      <c r="A65" s="63" t="str">
        <f t="shared" si="1"/>
        <v>004/2020/073.791.224-36</v>
      </c>
      <c r="B65" s="63" t="s">
        <v>1998</v>
      </c>
      <c r="C65" s="65">
        <v>44557.35380355324</v>
      </c>
      <c r="D65" s="63" t="s">
        <v>1999</v>
      </c>
      <c r="E65" s="63"/>
      <c r="F65" s="63" t="s">
        <v>2000</v>
      </c>
      <c r="G65" s="63" t="s">
        <v>1998</v>
      </c>
      <c r="H65" s="63" t="s">
        <v>1747</v>
      </c>
      <c r="I65" s="66" t="s">
        <v>1776</v>
      </c>
      <c r="J65" s="63">
        <v>2020</v>
      </c>
      <c r="K65" s="59" t="s">
        <v>16</v>
      </c>
      <c r="L65" s="59" t="s">
        <v>2001</v>
      </c>
      <c r="M65" s="58" t="s">
        <v>234</v>
      </c>
      <c r="N65" s="58" t="s">
        <v>1734</v>
      </c>
      <c r="O65" s="58" t="s">
        <v>1778</v>
      </c>
      <c r="P65" s="58" t="s">
        <v>16</v>
      </c>
    </row>
    <row r="66" spans="1:16" ht="12.5" x14ac:dyDescent="0.25">
      <c r="A66" s="63" t="str">
        <f t="shared" si="1"/>
        <v>038/2021/101.237.454-89</v>
      </c>
      <c r="B66" s="63" t="s">
        <v>2002</v>
      </c>
      <c r="C66" s="65">
        <v>44558.360278865744</v>
      </c>
      <c r="D66" s="63" t="s">
        <v>2003</v>
      </c>
      <c r="E66" s="63"/>
      <c r="F66" s="63" t="s">
        <v>2004</v>
      </c>
      <c r="G66" s="63" t="s">
        <v>2002</v>
      </c>
      <c r="H66" s="63" t="s">
        <v>1747</v>
      </c>
      <c r="I66" s="66" t="s">
        <v>1867</v>
      </c>
      <c r="J66" s="63">
        <v>2021</v>
      </c>
      <c r="K66" s="59" t="s">
        <v>16</v>
      </c>
      <c r="L66" s="59" t="s">
        <v>2005</v>
      </c>
      <c r="M66" s="58" t="s">
        <v>234</v>
      </c>
      <c r="N66" s="58" t="s">
        <v>1734</v>
      </c>
      <c r="O66" s="58" t="s">
        <v>1869</v>
      </c>
      <c r="P66" s="58" t="s">
        <v>16</v>
      </c>
    </row>
    <row r="67" spans="1:16" ht="12.5" x14ac:dyDescent="0.25">
      <c r="A67" s="63" t="str">
        <f t="shared" si="1"/>
        <v>004/2020/016.693.404-65</v>
      </c>
      <c r="B67" s="63" t="s">
        <v>2006</v>
      </c>
      <c r="C67" s="65">
        <v>44559.483597430561</v>
      </c>
      <c r="D67" s="63" t="s">
        <v>2007</v>
      </c>
      <c r="E67" s="63"/>
      <c r="F67" s="63" t="s">
        <v>2008</v>
      </c>
      <c r="G67" s="63" t="s">
        <v>2006</v>
      </c>
      <c r="H67" s="63" t="s">
        <v>1747</v>
      </c>
      <c r="I67" s="66" t="s">
        <v>1776</v>
      </c>
      <c r="J67" s="63">
        <v>2020</v>
      </c>
      <c r="K67" s="59" t="s">
        <v>16</v>
      </c>
      <c r="L67" s="59" t="s">
        <v>2009</v>
      </c>
      <c r="M67" s="58" t="s">
        <v>234</v>
      </c>
      <c r="N67" s="58" t="s">
        <v>1734</v>
      </c>
      <c r="O67" s="58" t="s">
        <v>1778</v>
      </c>
      <c r="P67" s="58" t="s">
        <v>16</v>
      </c>
    </row>
    <row r="68" spans="1:16" ht="12.5" x14ac:dyDescent="0.25">
      <c r="A68" s="63" t="str">
        <f t="shared" si="1"/>
        <v>040/2019/093.782.164-04</v>
      </c>
      <c r="B68" s="63" t="s">
        <v>2010</v>
      </c>
      <c r="C68" s="65">
        <v>44561.401171782403</v>
      </c>
      <c r="D68" s="63" t="s">
        <v>2011</v>
      </c>
      <c r="E68" s="63"/>
      <c r="F68" s="63" t="s">
        <v>2012</v>
      </c>
      <c r="G68" s="63" t="s">
        <v>2010</v>
      </c>
      <c r="H68" s="63" t="s">
        <v>1747</v>
      </c>
      <c r="I68" s="66" t="s">
        <v>1758</v>
      </c>
      <c r="J68" s="63">
        <v>2019</v>
      </c>
      <c r="K68" s="59" t="s">
        <v>16</v>
      </c>
      <c r="L68" s="59" t="s">
        <v>2013</v>
      </c>
      <c r="M68" s="58" t="s">
        <v>234</v>
      </c>
      <c r="N68" s="58" t="s">
        <v>1734</v>
      </c>
      <c r="O68" s="58" t="s">
        <v>1760</v>
      </c>
      <c r="P68" s="58" t="s">
        <v>16</v>
      </c>
    </row>
    <row r="69" spans="1:16" ht="12.5" x14ac:dyDescent="0.25">
      <c r="A69" s="63" t="str">
        <f t="shared" si="1"/>
        <v>046/2019/076.769.384-14</v>
      </c>
      <c r="B69" s="63" t="s">
        <v>2014</v>
      </c>
      <c r="C69" s="65">
        <v>44564.506100520834</v>
      </c>
      <c r="D69" s="63" t="s">
        <v>2015</v>
      </c>
      <c r="E69" s="63"/>
      <c r="F69" s="63" t="s">
        <v>2016</v>
      </c>
      <c r="G69" s="63" t="s">
        <v>2014</v>
      </c>
      <c r="H69" s="63" t="s">
        <v>1747</v>
      </c>
      <c r="I69" s="66" t="s">
        <v>2017</v>
      </c>
      <c r="J69" s="63">
        <v>2019</v>
      </c>
      <c r="K69" s="59" t="s">
        <v>232</v>
      </c>
      <c r="L69" s="59" t="s">
        <v>2018</v>
      </c>
      <c r="M69" s="58" t="s">
        <v>234</v>
      </c>
      <c r="N69" s="58" t="s">
        <v>1734</v>
      </c>
      <c r="O69" s="58" t="s">
        <v>2019</v>
      </c>
      <c r="P69" s="58" t="s">
        <v>232</v>
      </c>
    </row>
    <row r="70" spans="1:16" ht="12.5" x14ac:dyDescent="0.25">
      <c r="A70" s="63" t="str">
        <f t="shared" si="1"/>
        <v>021/2021/279.113.814-53</v>
      </c>
      <c r="B70" s="63" t="s">
        <v>2020</v>
      </c>
      <c r="C70" s="65">
        <v>44564.616512488428</v>
      </c>
      <c r="D70" s="63" t="s">
        <v>2021</v>
      </c>
      <c r="E70" s="63"/>
      <c r="F70" s="63" t="s">
        <v>2022</v>
      </c>
      <c r="G70" s="63" t="s">
        <v>2020</v>
      </c>
      <c r="H70" s="63" t="s">
        <v>1747</v>
      </c>
      <c r="I70" s="66" t="s">
        <v>2023</v>
      </c>
      <c r="J70" s="63">
        <v>2021</v>
      </c>
      <c r="K70" s="59" t="s">
        <v>17</v>
      </c>
      <c r="L70" s="59" t="s">
        <v>2024</v>
      </c>
      <c r="M70" s="58" t="s">
        <v>234</v>
      </c>
      <c r="N70" s="58" t="s">
        <v>1734</v>
      </c>
      <c r="O70" s="58" t="s">
        <v>2025</v>
      </c>
      <c r="P70" s="58" t="s">
        <v>17</v>
      </c>
    </row>
    <row r="71" spans="1:16" ht="12.5" x14ac:dyDescent="0.25">
      <c r="A71" s="63" t="str">
        <f t="shared" si="1"/>
        <v>004/2020/016.713.464-75</v>
      </c>
      <c r="B71" s="63" t="s">
        <v>2026</v>
      </c>
      <c r="C71" s="65">
        <v>44566.594876643518</v>
      </c>
      <c r="D71" s="63" t="s">
        <v>2027</v>
      </c>
      <c r="E71" s="63"/>
      <c r="F71" s="63" t="s">
        <v>2028</v>
      </c>
      <c r="G71" s="63" t="s">
        <v>2026</v>
      </c>
      <c r="H71" s="63" t="s">
        <v>1747</v>
      </c>
      <c r="I71" s="66" t="s">
        <v>1776</v>
      </c>
      <c r="J71" s="63">
        <v>2020</v>
      </c>
      <c r="K71" s="59" t="s">
        <v>16</v>
      </c>
      <c r="L71" s="59" t="s">
        <v>2029</v>
      </c>
      <c r="M71" s="58" t="s">
        <v>234</v>
      </c>
      <c r="N71" s="58" t="s">
        <v>1734</v>
      </c>
      <c r="O71" s="58" t="s">
        <v>1778</v>
      </c>
      <c r="P71" s="58" t="s">
        <v>16</v>
      </c>
    </row>
    <row r="72" spans="1:16" ht="12.5" x14ac:dyDescent="0.25">
      <c r="A72" s="63" t="str">
        <f t="shared" si="1"/>
        <v>040/2019/048.287.283-76</v>
      </c>
      <c r="B72" s="63" t="s">
        <v>2030</v>
      </c>
      <c r="C72" s="65">
        <v>44567.442882152776</v>
      </c>
      <c r="D72" s="63" t="s">
        <v>2031</v>
      </c>
      <c r="E72" s="63"/>
      <c r="F72" s="63" t="s">
        <v>2032</v>
      </c>
      <c r="G72" s="63" t="s">
        <v>2030</v>
      </c>
      <c r="H72" s="63" t="s">
        <v>1747</v>
      </c>
      <c r="I72" s="66" t="s">
        <v>1758</v>
      </c>
      <c r="J72" s="63">
        <v>2019</v>
      </c>
      <c r="K72" s="59" t="s">
        <v>16</v>
      </c>
      <c r="L72" s="59" t="s">
        <v>2033</v>
      </c>
      <c r="M72" s="58" t="s">
        <v>234</v>
      </c>
      <c r="N72" s="58" t="s">
        <v>1734</v>
      </c>
      <c r="O72" s="58" t="s">
        <v>1760</v>
      </c>
      <c r="P72" s="58" t="s">
        <v>16</v>
      </c>
    </row>
    <row r="73" spans="1:16" ht="12.5" x14ac:dyDescent="0.25">
      <c r="A73" s="63" t="str">
        <f t="shared" si="1"/>
        <v>032/2021/753.302.374-91</v>
      </c>
      <c r="B73" s="63" t="s">
        <v>2034</v>
      </c>
      <c r="C73" s="65">
        <v>44570.759678738425</v>
      </c>
      <c r="D73" s="63" t="s">
        <v>2035</v>
      </c>
      <c r="E73" s="63"/>
      <c r="F73" s="63" t="s">
        <v>2036</v>
      </c>
      <c r="G73" s="63" t="s">
        <v>2034</v>
      </c>
      <c r="H73" s="63" t="s">
        <v>1747</v>
      </c>
      <c r="I73" s="66" t="s">
        <v>1741</v>
      </c>
      <c r="J73" s="63">
        <v>2021</v>
      </c>
      <c r="K73" s="59" t="s">
        <v>17</v>
      </c>
      <c r="L73" s="59" t="s">
        <v>2037</v>
      </c>
      <c r="M73" s="58" t="s">
        <v>234</v>
      </c>
      <c r="N73" s="58" t="s">
        <v>1734</v>
      </c>
      <c r="O73" s="58" t="s">
        <v>1743</v>
      </c>
      <c r="P73" s="58" t="s">
        <v>17</v>
      </c>
    </row>
    <row r="74" spans="1:16" ht="12.5" x14ac:dyDescent="0.25">
      <c r="A74" s="63" t="str">
        <f t="shared" si="1"/>
        <v>032/2021/753.302.374-91</v>
      </c>
      <c r="B74" s="63" t="s">
        <v>2034</v>
      </c>
      <c r="C74" s="65">
        <v>44570.762211678244</v>
      </c>
      <c r="D74" s="63" t="s">
        <v>2035</v>
      </c>
      <c r="E74" s="63"/>
      <c r="F74" s="63" t="s">
        <v>2036</v>
      </c>
      <c r="G74" s="63" t="s">
        <v>2034</v>
      </c>
      <c r="H74" s="63" t="s">
        <v>1747</v>
      </c>
      <c r="I74" s="66" t="s">
        <v>1741</v>
      </c>
      <c r="J74" s="63">
        <v>2021</v>
      </c>
      <c r="K74" s="59" t="s">
        <v>17</v>
      </c>
      <c r="L74" s="59" t="s">
        <v>2038</v>
      </c>
      <c r="M74" s="58" t="s">
        <v>234</v>
      </c>
      <c r="N74" s="58" t="s">
        <v>1734</v>
      </c>
      <c r="O74" s="58" t="s">
        <v>1743</v>
      </c>
      <c r="P74" s="58" t="s">
        <v>17</v>
      </c>
    </row>
    <row r="75" spans="1:16" ht="12.5" x14ac:dyDescent="0.25">
      <c r="A75" s="63" t="str">
        <f t="shared" si="1"/>
        <v>040/2019/048.080.324-22</v>
      </c>
      <c r="B75" s="63" t="s">
        <v>2039</v>
      </c>
      <c r="C75" s="65">
        <v>44574.841747314815</v>
      </c>
      <c r="D75" s="63" t="s">
        <v>2040</v>
      </c>
      <c r="E75" s="63"/>
      <c r="F75" s="63" t="s">
        <v>2041</v>
      </c>
      <c r="G75" s="63" t="s">
        <v>2039</v>
      </c>
      <c r="H75" s="63" t="s">
        <v>1747</v>
      </c>
      <c r="I75" s="66" t="s">
        <v>1758</v>
      </c>
      <c r="J75" s="63">
        <v>2019</v>
      </c>
      <c r="K75" s="59" t="s">
        <v>16</v>
      </c>
      <c r="L75" s="59" t="s">
        <v>2042</v>
      </c>
      <c r="M75" s="58" t="s">
        <v>234</v>
      </c>
      <c r="N75" s="58" t="s">
        <v>1734</v>
      </c>
      <c r="O75" s="58" t="s">
        <v>1760</v>
      </c>
      <c r="P75" s="58" t="s">
        <v>16</v>
      </c>
    </row>
    <row r="76" spans="1:16" ht="12.5" x14ac:dyDescent="0.25">
      <c r="A76" s="63" t="str">
        <f t="shared" si="1"/>
        <v>011/2021/016.234.074-51</v>
      </c>
      <c r="B76" s="63" t="s">
        <v>2043</v>
      </c>
      <c r="C76" s="65">
        <v>44577.454153043982</v>
      </c>
      <c r="D76" s="63" t="s">
        <v>2044</v>
      </c>
      <c r="E76" s="63"/>
      <c r="F76" s="63" t="s">
        <v>2045</v>
      </c>
      <c r="G76" s="63" t="s">
        <v>2043</v>
      </c>
      <c r="H76" s="63" t="s">
        <v>1747</v>
      </c>
      <c r="I76" s="66" t="s">
        <v>2046</v>
      </c>
      <c r="J76" s="63">
        <v>2021</v>
      </c>
      <c r="K76" s="59" t="s">
        <v>16</v>
      </c>
      <c r="L76" s="59" t="s">
        <v>2047</v>
      </c>
      <c r="M76" s="58" t="s">
        <v>234</v>
      </c>
      <c r="N76" s="58" t="s">
        <v>1734</v>
      </c>
      <c r="O76" s="58" t="s">
        <v>2048</v>
      </c>
      <c r="P76" s="58" t="s">
        <v>16</v>
      </c>
    </row>
    <row r="77" spans="1:16" ht="12.5" x14ac:dyDescent="0.25">
      <c r="A77" s="63" t="str">
        <f t="shared" si="1"/>
        <v>036/2021/054.007.703-80</v>
      </c>
      <c r="B77" s="63" t="s">
        <v>2049</v>
      </c>
      <c r="C77" s="65">
        <v>44578.36119048611</v>
      </c>
      <c r="D77" s="63" t="s">
        <v>2050</v>
      </c>
      <c r="E77" s="63"/>
      <c r="F77" s="63" t="s">
        <v>2051</v>
      </c>
      <c r="G77" s="63" t="s">
        <v>2049</v>
      </c>
      <c r="H77" s="63" t="s">
        <v>1747</v>
      </c>
      <c r="I77" s="66" t="s">
        <v>1748</v>
      </c>
      <c r="J77" s="63">
        <v>2021</v>
      </c>
      <c r="K77" s="59" t="s">
        <v>17</v>
      </c>
      <c r="L77" s="59" t="s">
        <v>2052</v>
      </c>
      <c r="M77" s="58" t="s">
        <v>234</v>
      </c>
      <c r="N77" s="58" t="s">
        <v>1734</v>
      </c>
      <c r="O77" s="58" t="s">
        <v>1886</v>
      </c>
      <c r="P77" s="58" t="s">
        <v>17</v>
      </c>
    </row>
    <row r="78" spans="1:16" ht="12.5" x14ac:dyDescent="0.25">
      <c r="A78" s="63" t="str">
        <f t="shared" si="1"/>
        <v>036/2021/082.784.524-31</v>
      </c>
      <c r="B78" s="63" t="s">
        <v>1878</v>
      </c>
      <c r="C78" s="65">
        <v>44578.389816712966</v>
      </c>
      <c r="D78" s="63" t="s">
        <v>1879</v>
      </c>
      <c r="E78" s="63"/>
      <c r="F78" s="63" t="s">
        <v>1880</v>
      </c>
      <c r="G78" s="63" t="s">
        <v>1878</v>
      </c>
      <c r="H78" s="63" t="s">
        <v>1747</v>
      </c>
      <c r="I78" s="66" t="s">
        <v>1748</v>
      </c>
      <c r="J78" s="63">
        <v>2021</v>
      </c>
      <c r="K78" s="59" t="s">
        <v>17</v>
      </c>
      <c r="L78" s="59" t="s">
        <v>2053</v>
      </c>
      <c r="M78" s="58" t="s">
        <v>234</v>
      </c>
      <c r="N78" s="58" t="s">
        <v>1734</v>
      </c>
      <c r="O78" s="58" t="s">
        <v>1886</v>
      </c>
      <c r="P78" s="58" t="s">
        <v>17</v>
      </c>
    </row>
    <row r="79" spans="1:16" ht="12.5" x14ac:dyDescent="0.25">
      <c r="A79" s="63" t="str">
        <f t="shared" si="1"/>
        <v>036/2021/082.530.544-67</v>
      </c>
      <c r="B79" s="63" t="s">
        <v>2054</v>
      </c>
      <c r="C79" s="65">
        <v>44578.390862210646</v>
      </c>
      <c r="D79" s="63" t="s">
        <v>2055</v>
      </c>
      <c r="E79" s="63"/>
      <c r="F79" s="63" t="s">
        <v>2056</v>
      </c>
      <c r="G79" s="63" t="s">
        <v>2054</v>
      </c>
      <c r="H79" s="63" t="s">
        <v>1747</v>
      </c>
      <c r="I79" s="66" t="s">
        <v>1748</v>
      </c>
      <c r="J79" s="63">
        <v>2021</v>
      </c>
      <c r="K79" s="59" t="s">
        <v>18</v>
      </c>
      <c r="L79" s="59" t="s">
        <v>2057</v>
      </c>
      <c r="M79" s="58" t="s">
        <v>234</v>
      </c>
      <c r="N79" s="58" t="s">
        <v>1734</v>
      </c>
      <c r="O79" s="58" t="s">
        <v>1886</v>
      </c>
      <c r="P79" s="58" t="s">
        <v>18</v>
      </c>
    </row>
    <row r="80" spans="1:16" ht="12.5" x14ac:dyDescent="0.25">
      <c r="A80" s="63" t="str">
        <f t="shared" si="1"/>
        <v>040/2019/029.562.604-64</v>
      </c>
      <c r="B80" s="63" t="s">
        <v>2058</v>
      </c>
      <c r="C80" s="65">
        <v>44578.558859004625</v>
      </c>
      <c r="D80" s="63" t="s">
        <v>2059</v>
      </c>
      <c r="E80" s="63" t="s">
        <v>2060</v>
      </c>
      <c r="F80" s="63" t="s">
        <v>2061</v>
      </c>
      <c r="G80" s="63" t="s">
        <v>2058</v>
      </c>
      <c r="H80" s="63" t="s">
        <v>1740</v>
      </c>
      <c r="I80" s="66" t="s">
        <v>1758</v>
      </c>
      <c r="J80" s="63">
        <v>2019</v>
      </c>
      <c r="K80" s="59" t="s">
        <v>16</v>
      </c>
      <c r="L80" s="59" t="s">
        <v>2062</v>
      </c>
      <c r="M80" s="58" t="s">
        <v>234</v>
      </c>
      <c r="N80" s="58" t="s">
        <v>1734</v>
      </c>
      <c r="O80" s="58" t="s">
        <v>1760</v>
      </c>
      <c r="P80" s="58" t="s">
        <v>16</v>
      </c>
    </row>
    <row r="81" spans="1:16" ht="12.5" x14ac:dyDescent="0.25">
      <c r="A81" s="63" t="str">
        <f t="shared" si="1"/>
        <v>040/2019/118.862.867-44</v>
      </c>
      <c r="B81" s="63" t="s">
        <v>2063</v>
      </c>
      <c r="C81" s="65">
        <v>44578.798438067126</v>
      </c>
      <c r="D81" s="63" t="s">
        <v>2064</v>
      </c>
      <c r="E81" s="63" t="s">
        <v>2065</v>
      </c>
      <c r="F81" s="63" t="s">
        <v>2066</v>
      </c>
      <c r="G81" s="63" t="s">
        <v>2063</v>
      </c>
      <c r="H81" s="63" t="s">
        <v>1740</v>
      </c>
      <c r="I81" s="66" t="s">
        <v>1758</v>
      </c>
      <c r="J81" s="63">
        <v>2019</v>
      </c>
      <c r="K81" s="59" t="s">
        <v>16</v>
      </c>
      <c r="L81" s="59" t="s">
        <v>2067</v>
      </c>
      <c r="M81" s="58" t="s">
        <v>234</v>
      </c>
      <c r="N81" s="58" t="s">
        <v>1734</v>
      </c>
      <c r="O81" s="58" t="s">
        <v>1760</v>
      </c>
      <c r="P81" s="58" t="s">
        <v>16</v>
      </c>
    </row>
    <row r="82" spans="1:16" ht="12.5" x14ac:dyDescent="0.25">
      <c r="A82" s="63" t="str">
        <f t="shared" si="1"/>
        <v>045/2019/053.670.254-39</v>
      </c>
      <c r="B82" s="63" t="s">
        <v>2068</v>
      </c>
      <c r="C82" s="65">
        <v>44581.623931134258</v>
      </c>
      <c r="D82" s="63" t="s">
        <v>2069</v>
      </c>
      <c r="E82" s="63"/>
      <c r="F82" s="63" t="s">
        <v>2070</v>
      </c>
      <c r="G82" s="63" t="s">
        <v>2068</v>
      </c>
      <c r="H82" s="63" t="s">
        <v>1747</v>
      </c>
      <c r="I82" s="66" t="s">
        <v>2071</v>
      </c>
      <c r="J82" s="63">
        <v>2019</v>
      </c>
      <c r="K82" s="59" t="s">
        <v>18</v>
      </c>
      <c r="L82" s="59" t="s">
        <v>2072</v>
      </c>
      <c r="M82" s="58" t="s">
        <v>234</v>
      </c>
      <c r="N82" s="58" t="s">
        <v>1734</v>
      </c>
      <c r="O82" s="58" t="s">
        <v>2073</v>
      </c>
      <c r="P82" s="58" t="s">
        <v>18</v>
      </c>
    </row>
    <row r="83" spans="1:16" ht="12.5" x14ac:dyDescent="0.25">
      <c r="A83" s="63" t="str">
        <f t="shared" si="1"/>
        <v>042/2021/054.169.514-27</v>
      </c>
      <c r="B83" s="63" t="s">
        <v>2074</v>
      </c>
      <c r="C83" s="65">
        <v>44581.706812766206</v>
      </c>
      <c r="D83" s="63" t="s">
        <v>2075</v>
      </c>
      <c r="E83" s="63"/>
      <c r="F83" s="63" t="s">
        <v>2076</v>
      </c>
      <c r="G83" s="63" t="s">
        <v>2074</v>
      </c>
      <c r="H83" s="63" t="s">
        <v>1747</v>
      </c>
      <c r="I83" s="66" t="s">
        <v>2077</v>
      </c>
      <c r="J83" s="63">
        <v>2021</v>
      </c>
      <c r="K83" s="59" t="s">
        <v>16</v>
      </c>
      <c r="L83" s="59" t="s">
        <v>2078</v>
      </c>
      <c r="M83" s="58" t="s">
        <v>234</v>
      </c>
      <c r="N83" s="58" t="s">
        <v>1734</v>
      </c>
      <c r="O83" s="58" t="s">
        <v>2079</v>
      </c>
      <c r="P83" s="58" t="s">
        <v>16</v>
      </c>
    </row>
    <row r="84" spans="1:16" ht="12.5" x14ac:dyDescent="0.25">
      <c r="A84" s="63" t="str">
        <f t="shared" si="1"/>
        <v>040/2019/094.695.814-90</v>
      </c>
      <c r="B84" s="63" t="s">
        <v>2080</v>
      </c>
      <c r="C84" s="65">
        <v>44582.379170324071</v>
      </c>
      <c r="D84" s="63" t="s">
        <v>2081</v>
      </c>
      <c r="E84" s="63"/>
      <c r="F84" s="63" t="s">
        <v>2082</v>
      </c>
      <c r="G84" s="63" t="s">
        <v>2080</v>
      </c>
      <c r="H84" s="63" t="s">
        <v>1747</v>
      </c>
      <c r="I84" s="66" t="s">
        <v>1758</v>
      </c>
      <c r="J84" s="63">
        <v>2019</v>
      </c>
      <c r="K84" s="59" t="s">
        <v>16</v>
      </c>
      <c r="L84" s="59" t="s">
        <v>2083</v>
      </c>
      <c r="M84" s="58" t="s">
        <v>234</v>
      </c>
      <c r="N84" s="58" t="s">
        <v>1734</v>
      </c>
      <c r="O84" s="58" t="s">
        <v>1760</v>
      </c>
      <c r="P84" s="58" t="s">
        <v>16</v>
      </c>
    </row>
    <row r="85" spans="1:16" ht="12.5" x14ac:dyDescent="0.25">
      <c r="A85" s="63" t="str">
        <f t="shared" si="1"/>
        <v>036/2019/063.755.634-88</v>
      </c>
      <c r="B85" s="63" t="s">
        <v>2084</v>
      </c>
      <c r="C85" s="65">
        <v>44582.401124143522</v>
      </c>
      <c r="D85" s="63" t="s">
        <v>2085</v>
      </c>
      <c r="E85" s="63" t="s">
        <v>2086</v>
      </c>
      <c r="F85" s="63" t="s">
        <v>2087</v>
      </c>
      <c r="G85" s="63" t="s">
        <v>2084</v>
      </c>
      <c r="H85" s="63" t="s">
        <v>1740</v>
      </c>
      <c r="I85" s="66" t="s">
        <v>1748</v>
      </c>
      <c r="J85" s="63">
        <v>2019</v>
      </c>
      <c r="K85" s="59" t="s">
        <v>232</v>
      </c>
      <c r="L85" s="59" t="s">
        <v>2088</v>
      </c>
      <c r="M85" s="58" t="s">
        <v>234</v>
      </c>
      <c r="N85" s="58" t="s">
        <v>1734</v>
      </c>
      <c r="O85" s="58" t="s">
        <v>1750</v>
      </c>
      <c r="P85" s="58" t="s">
        <v>232</v>
      </c>
    </row>
    <row r="86" spans="1:16" ht="12.5" x14ac:dyDescent="0.25">
      <c r="A86" s="63" t="str">
        <f t="shared" si="1"/>
        <v>004/2020/059.484.854-71</v>
      </c>
      <c r="B86" s="63" t="s">
        <v>2089</v>
      </c>
      <c r="C86" s="65">
        <v>44582.443976956019</v>
      </c>
      <c r="D86" s="63" t="s">
        <v>2085</v>
      </c>
      <c r="E86" s="63" t="s">
        <v>2086</v>
      </c>
      <c r="F86" s="63" t="s">
        <v>2090</v>
      </c>
      <c r="G86" s="63" t="s">
        <v>2089</v>
      </c>
      <c r="H86" s="63" t="s">
        <v>1740</v>
      </c>
      <c r="I86" s="66" t="s">
        <v>1776</v>
      </c>
      <c r="J86" s="63">
        <v>2020</v>
      </c>
      <c r="K86" s="59" t="s">
        <v>16</v>
      </c>
      <c r="L86" s="59" t="s">
        <v>2091</v>
      </c>
      <c r="M86" s="58" t="s">
        <v>234</v>
      </c>
      <c r="N86" s="58" t="s">
        <v>1734</v>
      </c>
      <c r="O86" s="58" t="s">
        <v>1778</v>
      </c>
      <c r="P86" s="58" t="s">
        <v>16</v>
      </c>
    </row>
    <row r="87" spans="1:16" ht="12.5" x14ac:dyDescent="0.25">
      <c r="A87" s="63" t="str">
        <f t="shared" si="1"/>
        <v>036/2019/063.755.634-88</v>
      </c>
      <c r="B87" s="63" t="s">
        <v>2084</v>
      </c>
      <c r="C87" s="65">
        <v>44582.445401076387</v>
      </c>
      <c r="D87" s="63" t="s">
        <v>2085</v>
      </c>
      <c r="E87" s="63" t="s">
        <v>2086</v>
      </c>
      <c r="F87" s="63" t="s">
        <v>2087</v>
      </c>
      <c r="G87" s="63" t="s">
        <v>2084</v>
      </c>
      <c r="H87" s="63" t="s">
        <v>1740</v>
      </c>
      <c r="I87" s="66" t="s">
        <v>1748</v>
      </c>
      <c r="J87" s="63">
        <v>2019</v>
      </c>
      <c r="K87" s="59" t="s">
        <v>232</v>
      </c>
      <c r="L87" s="59" t="s">
        <v>2092</v>
      </c>
      <c r="M87" s="58" t="s">
        <v>234</v>
      </c>
      <c r="N87" s="58" t="s">
        <v>1734</v>
      </c>
      <c r="O87" s="58" t="s">
        <v>1750</v>
      </c>
      <c r="P87" s="58" t="s">
        <v>232</v>
      </c>
    </row>
    <row r="88" spans="1:16" ht="12.5" x14ac:dyDescent="0.25">
      <c r="A88" s="63" t="str">
        <f t="shared" si="1"/>
        <v>036/2019/185.472.528-94</v>
      </c>
      <c r="B88" s="63" t="s">
        <v>2093</v>
      </c>
      <c r="C88" s="65">
        <v>44582.629937245365</v>
      </c>
      <c r="D88" s="63" t="s">
        <v>2094</v>
      </c>
      <c r="E88" s="63" t="s">
        <v>2095</v>
      </c>
      <c r="F88" s="63" t="s">
        <v>2096</v>
      </c>
      <c r="G88" s="63" t="s">
        <v>2093</v>
      </c>
      <c r="H88" s="63" t="s">
        <v>1740</v>
      </c>
      <c r="I88" s="66" t="s">
        <v>1748</v>
      </c>
      <c r="J88" s="63">
        <v>2019</v>
      </c>
      <c r="K88" s="59" t="s">
        <v>232</v>
      </c>
      <c r="L88" s="59" t="s">
        <v>2097</v>
      </c>
      <c r="M88" s="58" t="s">
        <v>234</v>
      </c>
      <c r="N88" s="58" t="s">
        <v>1734</v>
      </c>
      <c r="O88" s="58" t="s">
        <v>1750</v>
      </c>
      <c r="P88" s="58" t="s">
        <v>232</v>
      </c>
    </row>
    <row r="89" spans="1:16" ht="12.5" x14ac:dyDescent="0.25">
      <c r="A89" s="63" t="str">
        <f t="shared" si="1"/>
        <v>036/2019/027.887.684-60</v>
      </c>
      <c r="B89" s="63" t="s">
        <v>2098</v>
      </c>
      <c r="C89" s="65">
        <v>44585.469352372689</v>
      </c>
      <c r="D89" s="63" t="s">
        <v>2099</v>
      </c>
      <c r="E89" s="63"/>
      <c r="F89" s="63" t="s">
        <v>2100</v>
      </c>
      <c r="G89" s="63" t="s">
        <v>2098</v>
      </c>
      <c r="H89" s="63" t="s">
        <v>1747</v>
      </c>
      <c r="I89" s="66" t="s">
        <v>1748</v>
      </c>
      <c r="J89" s="63">
        <v>2019</v>
      </c>
      <c r="K89" s="59" t="s">
        <v>18</v>
      </c>
      <c r="L89" s="59" t="s">
        <v>2101</v>
      </c>
      <c r="M89" s="58" t="s">
        <v>234</v>
      </c>
      <c r="N89" s="58" t="s">
        <v>1734</v>
      </c>
      <c r="O89" s="58" t="s">
        <v>1750</v>
      </c>
      <c r="P89" s="58" t="s">
        <v>18</v>
      </c>
    </row>
    <row r="90" spans="1:16" ht="12.5" x14ac:dyDescent="0.25">
      <c r="A90" s="63" t="str">
        <f t="shared" si="1"/>
        <v>004/2020/059.484.854-71</v>
      </c>
      <c r="B90" s="63" t="s">
        <v>2089</v>
      </c>
      <c r="C90" s="65">
        <v>44585.695494768515</v>
      </c>
      <c r="D90" s="63" t="s">
        <v>2085</v>
      </c>
      <c r="E90" s="63" t="s">
        <v>2086</v>
      </c>
      <c r="F90" s="63" t="s">
        <v>2090</v>
      </c>
      <c r="G90" s="63" t="s">
        <v>2089</v>
      </c>
      <c r="H90" s="63" t="s">
        <v>1740</v>
      </c>
      <c r="I90" s="66" t="s">
        <v>1776</v>
      </c>
      <c r="J90" s="63">
        <v>2020</v>
      </c>
      <c r="K90" s="59" t="s">
        <v>16</v>
      </c>
      <c r="L90" s="59" t="s">
        <v>2102</v>
      </c>
      <c r="M90" s="58" t="s">
        <v>234</v>
      </c>
      <c r="N90" s="58" t="s">
        <v>1734</v>
      </c>
      <c r="O90" s="58" t="s">
        <v>1778</v>
      </c>
      <c r="P90" s="58" t="s">
        <v>16</v>
      </c>
    </row>
    <row r="91" spans="1:16" ht="12.5" x14ac:dyDescent="0.25">
      <c r="A91" s="63" t="str">
        <f t="shared" si="1"/>
        <v>036/2019/063.755.634-88</v>
      </c>
      <c r="B91" s="63" t="s">
        <v>2084</v>
      </c>
      <c r="C91" s="65">
        <v>44585.69782833333</v>
      </c>
      <c r="D91" s="63" t="s">
        <v>2085</v>
      </c>
      <c r="E91" s="63" t="s">
        <v>2086</v>
      </c>
      <c r="F91" s="63" t="s">
        <v>2087</v>
      </c>
      <c r="G91" s="63" t="s">
        <v>2084</v>
      </c>
      <c r="H91" s="63" t="s">
        <v>1740</v>
      </c>
      <c r="I91" s="66" t="s">
        <v>1748</v>
      </c>
      <c r="J91" s="63">
        <v>2019</v>
      </c>
      <c r="K91" s="59" t="s">
        <v>232</v>
      </c>
      <c r="L91" s="59" t="s">
        <v>2103</v>
      </c>
      <c r="M91" s="58" t="s">
        <v>234</v>
      </c>
      <c r="N91" s="58" t="s">
        <v>1734</v>
      </c>
      <c r="O91" s="58" t="s">
        <v>1750</v>
      </c>
      <c r="P91" s="58" t="s">
        <v>232</v>
      </c>
    </row>
    <row r="92" spans="1:16" ht="12.5" x14ac:dyDescent="0.25">
      <c r="A92" s="63" t="str">
        <f t="shared" si="1"/>
        <v>036/2019/185.472.528-94</v>
      </c>
      <c r="B92" s="63" t="s">
        <v>2093</v>
      </c>
      <c r="C92" s="65">
        <v>44585.86249579861</v>
      </c>
      <c r="D92" s="63" t="s">
        <v>2094</v>
      </c>
      <c r="E92" s="63" t="s">
        <v>2104</v>
      </c>
      <c r="F92" s="63" t="s">
        <v>2104</v>
      </c>
      <c r="G92" s="63" t="s">
        <v>2093</v>
      </c>
      <c r="H92" s="63" t="s">
        <v>1740</v>
      </c>
      <c r="I92" s="66" t="s">
        <v>1748</v>
      </c>
      <c r="J92" s="63">
        <v>2019</v>
      </c>
      <c r="K92" s="59" t="s">
        <v>232</v>
      </c>
      <c r="L92" s="59" t="s">
        <v>2105</v>
      </c>
      <c r="M92" s="58" t="s">
        <v>234</v>
      </c>
      <c r="N92" s="58" t="s">
        <v>1734</v>
      </c>
      <c r="O92" s="58" t="s">
        <v>1750</v>
      </c>
      <c r="P92" s="58" t="s">
        <v>232</v>
      </c>
    </row>
    <row r="93" spans="1:16" ht="12.5" x14ac:dyDescent="0.25">
      <c r="A93" s="63" t="str">
        <f t="shared" si="1"/>
        <v>036/2019/839.709.914-04</v>
      </c>
      <c r="B93" s="63" t="s">
        <v>2106</v>
      </c>
      <c r="C93" s="65">
        <v>44586.514482349536</v>
      </c>
      <c r="D93" s="63" t="s">
        <v>2107</v>
      </c>
      <c r="E93" s="63"/>
      <c r="F93" s="63" t="s">
        <v>2108</v>
      </c>
      <c r="G93" s="63" t="s">
        <v>2106</v>
      </c>
      <c r="H93" s="63" t="s">
        <v>1747</v>
      </c>
      <c r="I93" s="66" t="s">
        <v>1748</v>
      </c>
      <c r="J93" s="63">
        <v>2019</v>
      </c>
      <c r="K93" s="59" t="s">
        <v>18</v>
      </c>
      <c r="L93" s="59" t="s">
        <v>2109</v>
      </c>
      <c r="M93" s="58" t="s">
        <v>234</v>
      </c>
      <c r="N93" s="58" t="s">
        <v>1734</v>
      </c>
      <c r="O93" s="58" t="s">
        <v>1750</v>
      </c>
      <c r="P93" s="58" t="s">
        <v>18</v>
      </c>
    </row>
    <row r="94" spans="1:16" ht="12.5" x14ac:dyDescent="0.25">
      <c r="A94" s="63" t="str">
        <f t="shared" si="1"/>
        <v>040/2019/024.406.924-76</v>
      </c>
      <c r="B94" s="63" t="s">
        <v>2110</v>
      </c>
      <c r="C94" s="65">
        <v>44586.870619513888</v>
      </c>
      <c r="D94" s="63" t="s">
        <v>2111</v>
      </c>
      <c r="E94" s="63" t="s">
        <v>2112</v>
      </c>
      <c r="F94" s="63" t="s">
        <v>2113</v>
      </c>
      <c r="G94" s="63" t="s">
        <v>2110</v>
      </c>
      <c r="H94" s="63" t="s">
        <v>1740</v>
      </c>
      <c r="I94" s="66" t="s">
        <v>1758</v>
      </c>
      <c r="J94" s="63">
        <v>2019</v>
      </c>
      <c r="K94" s="59" t="s">
        <v>16</v>
      </c>
      <c r="L94" s="59" t="s">
        <v>2114</v>
      </c>
      <c r="M94" s="58" t="s">
        <v>234</v>
      </c>
      <c r="N94" s="58" t="s">
        <v>1734</v>
      </c>
      <c r="O94" s="58" t="s">
        <v>1760</v>
      </c>
      <c r="P94" s="58" t="s">
        <v>16</v>
      </c>
    </row>
    <row r="95" spans="1:16" ht="12.5" x14ac:dyDescent="0.25">
      <c r="A95" s="63" t="str">
        <f t="shared" si="1"/>
        <v>004/2020/041.289.524-27</v>
      </c>
      <c r="B95" s="63" t="s">
        <v>2115</v>
      </c>
      <c r="C95" s="65">
        <v>44587.451844513889</v>
      </c>
      <c r="D95" s="63" t="s">
        <v>2116</v>
      </c>
      <c r="E95" s="63"/>
      <c r="F95" s="63" t="s">
        <v>2117</v>
      </c>
      <c r="G95" s="63" t="s">
        <v>2115</v>
      </c>
      <c r="H95" s="63" t="s">
        <v>1747</v>
      </c>
      <c r="I95" s="66" t="s">
        <v>1776</v>
      </c>
      <c r="J95" s="63">
        <v>2020</v>
      </c>
      <c r="K95" s="59" t="s">
        <v>16</v>
      </c>
      <c r="L95" s="59" t="s">
        <v>2118</v>
      </c>
      <c r="M95" s="58" t="s">
        <v>234</v>
      </c>
      <c r="N95" s="58" t="s">
        <v>1734</v>
      </c>
      <c r="O95" s="58" t="s">
        <v>1778</v>
      </c>
      <c r="P95" s="58" t="s">
        <v>16</v>
      </c>
    </row>
    <row r="96" spans="1:16" ht="12.5" x14ac:dyDescent="0.25">
      <c r="A96" s="63" t="str">
        <f t="shared" si="1"/>
        <v>004/2020/101.488.284-26</v>
      </c>
      <c r="B96" s="63" t="s">
        <v>2119</v>
      </c>
      <c r="C96" s="65">
        <v>44587.554205300927</v>
      </c>
      <c r="D96" s="63" t="s">
        <v>2120</v>
      </c>
      <c r="E96" s="63"/>
      <c r="F96" s="63" t="s">
        <v>2121</v>
      </c>
      <c r="G96" s="63" t="s">
        <v>2119</v>
      </c>
      <c r="H96" s="63" t="s">
        <v>1747</v>
      </c>
      <c r="I96" s="66" t="s">
        <v>1776</v>
      </c>
      <c r="J96" s="63">
        <v>2020</v>
      </c>
      <c r="K96" s="59" t="s">
        <v>16</v>
      </c>
      <c r="L96" s="59" t="s">
        <v>2122</v>
      </c>
      <c r="M96" s="58" t="s">
        <v>234</v>
      </c>
      <c r="N96" s="58" t="s">
        <v>1734</v>
      </c>
      <c r="O96" s="58" t="s">
        <v>1778</v>
      </c>
      <c r="P96" s="58" t="s">
        <v>16</v>
      </c>
    </row>
    <row r="97" spans="1:16" ht="12.5" x14ac:dyDescent="0.25">
      <c r="A97" s="63" t="str">
        <f t="shared" si="1"/>
        <v>040/2019/069.641.384-12</v>
      </c>
      <c r="B97" s="63" t="s">
        <v>2123</v>
      </c>
      <c r="C97" s="65">
        <v>44587.571831747686</v>
      </c>
      <c r="D97" s="63" t="s">
        <v>2124</v>
      </c>
      <c r="E97" s="63" t="s">
        <v>2125</v>
      </c>
      <c r="F97" s="63" t="s">
        <v>2126</v>
      </c>
      <c r="G97" s="63" t="s">
        <v>2123</v>
      </c>
      <c r="H97" s="63" t="s">
        <v>1740</v>
      </c>
      <c r="I97" s="66" t="s">
        <v>1758</v>
      </c>
      <c r="J97" s="63">
        <v>2019</v>
      </c>
      <c r="K97" s="59" t="s">
        <v>16</v>
      </c>
      <c r="L97" s="59" t="s">
        <v>2127</v>
      </c>
      <c r="M97" s="58" t="s">
        <v>234</v>
      </c>
      <c r="N97" s="58" t="s">
        <v>1734</v>
      </c>
      <c r="O97" s="58" t="s">
        <v>1760</v>
      </c>
      <c r="P97" s="58" t="s">
        <v>16</v>
      </c>
    </row>
    <row r="98" spans="1:16" ht="12.5" x14ac:dyDescent="0.25">
      <c r="A98" s="63" t="str">
        <f t="shared" si="1"/>
        <v>040/2019/069.641.384-12</v>
      </c>
      <c r="B98" s="63" t="s">
        <v>2123</v>
      </c>
      <c r="C98" s="65">
        <v>44587.57856736111</v>
      </c>
      <c r="D98" s="63" t="s">
        <v>2128</v>
      </c>
      <c r="E98" s="63" t="s">
        <v>2125</v>
      </c>
      <c r="F98" s="63" t="s">
        <v>2126</v>
      </c>
      <c r="G98" s="63" t="s">
        <v>2123</v>
      </c>
      <c r="H98" s="63" t="s">
        <v>1740</v>
      </c>
      <c r="I98" s="66" t="s">
        <v>1758</v>
      </c>
      <c r="J98" s="63">
        <v>2019</v>
      </c>
      <c r="K98" s="59" t="s">
        <v>16</v>
      </c>
      <c r="L98" s="59" t="s">
        <v>2129</v>
      </c>
      <c r="M98" s="58" t="s">
        <v>234</v>
      </c>
      <c r="N98" s="58" t="s">
        <v>1734</v>
      </c>
      <c r="O98" s="58" t="s">
        <v>1760</v>
      </c>
      <c r="P98" s="58" t="s">
        <v>16</v>
      </c>
    </row>
    <row r="99" spans="1:16" ht="12.5" x14ac:dyDescent="0.25">
      <c r="A99" s="63" t="str">
        <f t="shared" si="1"/>
        <v>036/2021/081.494.804-98</v>
      </c>
      <c r="B99" s="63" t="s">
        <v>2130</v>
      </c>
      <c r="C99" s="65">
        <v>44589.610417523145</v>
      </c>
      <c r="D99" s="63" t="s">
        <v>2131</v>
      </c>
      <c r="E99" s="63" t="s">
        <v>2132</v>
      </c>
      <c r="F99" s="63" t="s">
        <v>2132</v>
      </c>
      <c r="G99" s="63" t="s">
        <v>2130</v>
      </c>
      <c r="H99" s="63" t="s">
        <v>1740</v>
      </c>
      <c r="I99" s="66" t="s">
        <v>1748</v>
      </c>
      <c r="J99" s="63">
        <v>2021</v>
      </c>
      <c r="K99" s="59" t="s">
        <v>17</v>
      </c>
      <c r="L99" s="59" t="s">
        <v>2133</v>
      </c>
      <c r="M99" s="58" t="s">
        <v>234</v>
      </c>
      <c r="N99" s="58" t="s">
        <v>1734</v>
      </c>
      <c r="O99" s="58" t="s">
        <v>1886</v>
      </c>
      <c r="P99" s="58" t="s">
        <v>17</v>
      </c>
    </row>
    <row r="100" spans="1:16" ht="12.5" x14ac:dyDescent="0.25">
      <c r="A100" s="63" t="str">
        <f t="shared" si="1"/>
        <v>040/2019/066.162.414-59</v>
      </c>
      <c r="B100" s="63" t="s">
        <v>2134</v>
      </c>
      <c r="C100" s="65">
        <v>44589.649753240737</v>
      </c>
      <c r="D100" s="63" t="s">
        <v>2135</v>
      </c>
      <c r="E100" s="63"/>
      <c r="F100" s="63" t="s">
        <v>2136</v>
      </c>
      <c r="G100" s="63" t="s">
        <v>2134</v>
      </c>
      <c r="H100" s="63" t="s">
        <v>1747</v>
      </c>
      <c r="I100" s="66" t="s">
        <v>1758</v>
      </c>
      <c r="J100" s="63">
        <v>2019</v>
      </c>
      <c r="K100" s="59" t="s">
        <v>16</v>
      </c>
      <c r="L100" s="59" t="s">
        <v>2137</v>
      </c>
      <c r="M100" s="58" t="s">
        <v>234</v>
      </c>
      <c r="N100" s="58" t="s">
        <v>1734</v>
      </c>
      <c r="O100" s="58" t="s">
        <v>1760</v>
      </c>
      <c r="P100" s="58" t="s">
        <v>16</v>
      </c>
    </row>
    <row r="101" spans="1:16" ht="12.5" x14ac:dyDescent="0.25">
      <c r="A101" s="63" t="str">
        <f t="shared" si="1"/>
        <v>040/2019/066.162.414-59</v>
      </c>
      <c r="B101" s="63" t="s">
        <v>2134</v>
      </c>
      <c r="C101" s="65">
        <v>44589.669372453704</v>
      </c>
      <c r="D101" s="63" t="s">
        <v>2138</v>
      </c>
      <c r="E101" s="63"/>
      <c r="F101" s="63" t="s">
        <v>2139</v>
      </c>
      <c r="G101" s="63" t="s">
        <v>2134</v>
      </c>
      <c r="H101" s="63" t="s">
        <v>1747</v>
      </c>
      <c r="I101" s="66" t="s">
        <v>1758</v>
      </c>
      <c r="J101" s="63">
        <v>2019</v>
      </c>
      <c r="K101" s="59" t="s">
        <v>16</v>
      </c>
      <c r="L101" s="59" t="s">
        <v>2140</v>
      </c>
      <c r="M101" s="58" t="s">
        <v>234</v>
      </c>
      <c r="N101" s="58" t="s">
        <v>1734</v>
      </c>
      <c r="O101" s="58" t="s">
        <v>1760</v>
      </c>
      <c r="P101" s="58" t="s">
        <v>16</v>
      </c>
    </row>
    <row r="102" spans="1:16" ht="12.5" x14ac:dyDescent="0.25">
      <c r="A102" s="63" t="str">
        <f t="shared" si="1"/>
        <v>046/2021/082.842.434-90</v>
      </c>
      <c r="B102" s="63" t="s">
        <v>2141</v>
      </c>
      <c r="C102" s="65">
        <v>44592.493982094908</v>
      </c>
      <c r="D102" s="63" t="s">
        <v>2142</v>
      </c>
      <c r="E102" s="63"/>
      <c r="F102" s="63" t="s">
        <v>2143</v>
      </c>
      <c r="G102" s="63" t="s">
        <v>2141</v>
      </c>
      <c r="H102" s="63" t="s">
        <v>1747</v>
      </c>
      <c r="I102" s="66" t="s">
        <v>2017</v>
      </c>
      <c r="J102" s="63">
        <v>2021</v>
      </c>
      <c r="K102" s="59" t="s">
        <v>18</v>
      </c>
      <c r="L102" s="59" t="s">
        <v>2144</v>
      </c>
      <c r="M102" s="58" t="s">
        <v>234</v>
      </c>
      <c r="N102" s="58" t="s">
        <v>1734</v>
      </c>
      <c r="O102" s="58" t="s">
        <v>2145</v>
      </c>
      <c r="P102" s="58" t="s">
        <v>18</v>
      </c>
    </row>
    <row r="103" spans="1:16" ht="12.5" x14ac:dyDescent="0.25">
      <c r="A103" s="63" t="str">
        <f t="shared" si="1"/>
        <v>004/2020/101.323.934-25</v>
      </c>
      <c r="B103" s="63" t="s">
        <v>2146</v>
      </c>
      <c r="C103" s="65">
        <v>44592.8383703125</v>
      </c>
      <c r="D103" s="63" t="s">
        <v>2147</v>
      </c>
      <c r="E103" s="63"/>
      <c r="F103" s="63" t="s">
        <v>2148</v>
      </c>
      <c r="G103" s="63" t="s">
        <v>2146</v>
      </c>
      <c r="H103" s="63" t="s">
        <v>1747</v>
      </c>
      <c r="I103" s="66" t="s">
        <v>1776</v>
      </c>
      <c r="J103" s="63">
        <v>2020</v>
      </c>
      <c r="K103" s="59" t="s">
        <v>16</v>
      </c>
      <c r="L103" s="59" t="s">
        <v>2149</v>
      </c>
      <c r="M103" s="58" t="s">
        <v>234</v>
      </c>
      <c r="N103" s="58" t="s">
        <v>1734</v>
      </c>
      <c r="O103" s="58" t="s">
        <v>1778</v>
      </c>
      <c r="P103" s="58" t="s">
        <v>16</v>
      </c>
    </row>
    <row r="104" spans="1:16" ht="12.5" x14ac:dyDescent="0.25">
      <c r="A104" s="63" t="str">
        <f t="shared" si="1"/>
        <v>036/2021/073.472.414-48</v>
      </c>
      <c r="B104" s="63" t="s">
        <v>1874</v>
      </c>
      <c r="C104" s="65">
        <v>44594.57340706019</v>
      </c>
      <c r="D104" s="63" t="s">
        <v>2150</v>
      </c>
      <c r="E104" s="63"/>
      <c r="F104" s="63" t="s">
        <v>1876</v>
      </c>
      <c r="G104" s="63" t="s">
        <v>1874</v>
      </c>
      <c r="H104" s="63" t="s">
        <v>1747</v>
      </c>
      <c r="I104" s="66" t="s">
        <v>1748</v>
      </c>
      <c r="J104" s="63">
        <v>2021</v>
      </c>
      <c r="K104" s="59" t="s">
        <v>18</v>
      </c>
      <c r="L104" s="59" t="s">
        <v>2151</v>
      </c>
      <c r="M104" s="58" t="s">
        <v>234</v>
      </c>
      <c r="N104" s="58" t="s">
        <v>1734</v>
      </c>
      <c r="O104" s="58" t="s">
        <v>1886</v>
      </c>
      <c r="P104" s="58" t="s">
        <v>18</v>
      </c>
    </row>
    <row r="105" spans="1:16" ht="12.5" x14ac:dyDescent="0.25">
      <c r="A105" s="63" t="str">
        <f t="shared" si="1"/>
        <v>046/2021/021.714.324-54</v>
      </c>
      <c r="B105" s="63" t="s">
        <v>2152</v>
      </c>
      <c r="C105" s="65">
        <v>44594.589249375</v>
      </c>
      <c r="D105" s="63" t="s">
        <v>2153</v>
      </c>
      <c r="E105" s="63"/>
      <c r="F105" s="63" t="s">
        <v>2154</v>
      </c>
      <c r="G105" s="63" t="s">
        <v>2152</v>
      </c>
      <c r="H105" s="63" t="s">
        <v>1747</v>
      </c>
      <c r="I105" s="66" t="s">
        <v>2017</v>
      </c>
      <c r="J105" s="63">
        <v>2021</v>
      </c>
      <c r="K105" s="59" t="s">
        <v>18</v>
      </c>
      <c r="L105" s="59" t="s">
        <v>2155</v>
      </c>
      <c r="M105" s="58" t="s">
        <v>234</v>
      </c>
      <c r="N105" s="58" t="s">
        <v>1734</v>
      </c>
      <c r="O105" s="58" t="s">
        <v>2145</v>
      </c>
      <c r="P105" s="58" t="s">
        <v>18</v>
      </c>
    </row>
    <row r="106" spans="1:16" ht="12.5" x14ac:dyDescent="0.25">
      <c r="A106" s="63" t="str">
        <f t="shared" si="1"/>
        <v>036/2019/086.051.554-00</v>
      </c>
      <c r="B106" s="63" t="s">
        <v>2156</v>
      </c>
      <c r="C106" s="65">
        <v>44595.844600925921</v>
      </c>
      <c r="D106" s="63" t="s">
        <v>2157</v>
      </c>
      <c r="E106" s="63"/>
      <c r="F106" s="63" t="s">
        <v>2158</v>
      </c>
      <c r="G106" s="63" t="s">
        <v>2156</v>
      </c>
      <c r="H106" s="63" t="s">
        <v>1747</v>
      </c>
      <c r="I106" s="66" t="s">
        <v>1748</v>
      </c>
      <c r="J106" s="63">
        <v>2019</v>
      </c>
      <c r="K106" s="59" t="s">
        <v>18</v>
      </c>
      <c r="L106" s="59" t="s">
        <v>2159</v>
      </c>
      <c r="M106" s="58" t="s">
        <v>234</v>
      </c>
      <c r="N106" s="58" t="s">
        <v>1734</v>
      </c>
      <c r="O106" s="58" t="s">
        <v>1750</v>
      </c>
      <c r="P106" s="58" t="s">
        <v>18</v>
      </c>
    </row>
    <row r="107" spans="1:16" ht="12.5" x14ac:dyDescent="0.25">
      <c r="A107" s="63" t="str">
        <f t="shared" si="1"/>
        <v>036/2019/053.429.684-02</v>
      </c>
      <c r="B107" s="63" t="s">
        <v>2160</v>
      </c>
      <c r="C107" s="65">
        <v>44595.845525196761</v>
      </c>
      <c r="D107" s="63" t="s">
        <v>2161</v>
      </c>
      <c r="E107" s="63"/>
      <c r="F107" s="63" t="s">
        <v>2162</v>
      </c>
      <c r="G107" s="63" t="s">
        <v>2160</v>
      </c>
      <c r="H107" s="63" t="s">
        <v>1747</v>
      </c>
      <c r="I107" s="66" t="s">
        <v>1748</v>
      </c>
      <c r="J107" s="63">
        <v>2019</v>
      </c>
      <c r="K107" s="59" t="s">
        <v>17</v>
      </c>
      <c r="L107" s="59" t="s">
        <v>2163</v>
      </c>
      <c r="M107" s="58" t="s">
        <v>234</v>
      </c>
      <c r="N107" s="58" t="s">
        <v>1734</v>
      </c>
      <c r="O107" s="58" t="s">
        <v>1750</v>
      </c>
      <c r="P107" s="58" t="s">
        <v>17</v>
      </c>
    </row>
    <row r="108" spans="1:16" ht="12.5" x14ac:dyDescent="0.25">
      <c r="A108" s="63" t="str">
        <f t="shared" si="1"/>
        <v>036/2019/045.724.274-45</v>
      </c>
      <c r="B108" s="63" t="s">
        <v>2164</v>
      </c>
      <c r="C108" s="65">
        <v>44595.856346782406</v>
      </c>
      <c r="D108" s="63" t="s">
        <v>2165</v>
      </c>
      <c r="E108" s="63"/>
      <c r="F108" s="63" t="s">
        <v>2166</v>
      </c>
      <c r="G108" s="63" t="s">
        <v>2164</v>
      </c>
      <c r="H108" s="63" t="s">
        <v>1747</v>
      </c>
      <c r="I108" s="66" t="s">
        <v>1748</v>
      </c>
      <c r="J108" s="63">
        <v>2019</v>
      </c>
      <c r="K108" s="59" t="s">
        <v>232</v>
      </c>
      <c r="L108" s="59" t="s">
        <v>2167</v>
      </c>
      <c r="M108" s="58" t="s">
        <v>234</v>
      </c>
      <c r="N108" s="58" t="s">
        <v>1734</v>
      </c>
      <c r="O108" s="58" t="s">
        <v>1750</v>
      </c>
      <c r="P108" s="58" t="s">
        <v>232</v>
      </c>
    </row>
    <row r="109" spans="1:16" ht="12.5" x14ac:dyDescent="0.25">
      <c r="A109" s="63" t="str">
        <f t="shared" si="1"/>
        <v>046/2021/072.852.604-28</v>
      </c>
      <c r="B109" s="63" t="s">
        <v>2168</v>
      </c>
      <c r="C109" s="65">
        <v>44595.895563900463</v>
      </c>
      <c r="D109" s="63" t="s">
        <v>2169</v>
      </c>
      <c r="E109" s="63"/>
      <c r="F109" s="63" t="s">
        <v>2170</v>
      </c>
      <c r="G109" s="63" t="s">
        <v>2168</v>
      </c>
      <c r="H109" s="63" t="s">
        <v>1747</v>
      </c>
      <c r="I109" s="66" t="s">
        <v>2017</v>
      </c>
      <c r="J109" s="63">
        <v>2021</v>
      </c>
      <c r="K109" s="59" t="s">
        <v>232</v>
      </c>
      <c r="L109" s="59" t="s">
        <v>2171</v>
      </c>
      <c r="M109" s="58" t="s">
        <v>234</v>
      </c>
      <c r="N109" s="58" t="s">
        <v>1734</v>
      </c>
      <c r="O109" s="58" t="s">
        <v>2145</v>
      </c>
      <c r="P109" s="58" t="s">
        <v>232</v>
      </c>
    </row>
    <row r="110" spans="1:16" ht="12.5" x14ac:dyDescent="0.25">
      <c r="A110" s="63" t="str">
        <f t="shared" si="1"/>
        <v>036/2019/094.642.434-90</v>
      </c>
      <c r="B110" s="63" t="s">
        <v>2172</v>
      </c>
      <c r="C110" s="65">
        <v>44596.80794835648</v>
      </c>
      <c r="D110" s="63" t="s">
        <v>2173</v>
      </c>
      <c r="E110" s="63" t="s">
        <v>2174</v>
      </c>
      <c r="F110" s="63" t="s">
        <v>2174</v>
      </c>
      <c r="G110" s="63" t="s">
        <v>2172</v>
      </c>
      <c r="H110" s="63" t="s">
        <v>1740</v>
      </c>
      <c r="I110" s="66" t="s">
        <v>1748</v>
      </c>
      <c r="J110" s="63">
        <v>2019</v>
      </c>
      <c r="K110" s="59" t="s">
        <v>232</v>
      </c>
      <c r="L110" s="59" t="s">
        <v>2175</v>
      </c>
      <c r="M110" s="58" t="s">
        <v>234</v>
      </c>
      <c r="N110" s="58" t="s">
        <v>1734</v>
      </c>
      <c r="O110" s="58" t="s">
        <v>1750</v>
      </c>
      <c r="P110" s="58" t="s">
        <v>232</v>
      </c>
    </row>
    <row r="111" spans="1:16" ht="12.5" x14ac:dyDescent="0.25">
      <c r="A111" s="63" t="str">
        <f t="shared" si="1"/>
        <v>046/2021/075.798.264-61</v>
      </c>
      <c r="B111" s="63" t="s">
        <v>2176</v>
      </c>
      <c r="C111" s="65">
        <v>44599.643526689819</v>
      </c>
      <c r="D111" s="63" t="s">
        <v>2177</v>
      </c>
      <c r="E111" s="63"/>
      <c r="F111" s="63" t="s">
        <v>2178</v>
      </c>
      <c r="G111" s="63" t="s">
        <v>2176</v>
      </c>
      <c r="H111" s="63" t="s">
        <v>1747</v>
      </c>
      <c r="I111" s="66" t="s">
        <v>2017</v>
      </c>
      <c r="J111" s="63">
        <v>2021</v>
      </c>
      <c r="K111" s="59" t="s">
        <v>18</v>
      </c>
      <c r="L111" s="59" t="s">
        <v>2179</v>
      </c>
      <c r="M111" s="58" t="s">
        <v>234</v>
      </c>
      <c r="N111" s="58" t="s">
        <v>1734</v>
      </c>
      <c r="O111" s="58" t="s">
        <v>2145</v>
      </c>
      <c r="P111" s="58" t="s">
        <v>18</v>
      </c>
    </row>
    <row r="112" spans="1:16" ht="12.5" x14ac:dyDescent="0.25">
      <c r="A112" s="63" t="str">
        <f t="shared" si="1"/>
        <v>040/2019/048.544.244-27</v>
      </c>
      <c r="B112" s="63" t="s">
        <v>2180</v>
      </c>
      <c r="C112" s="65">
        <v>44599.832092893514</v>
      </c>
      <c r="D112" s="63" t="s">
        <v>2181</v>
      </c>
      <c r="E112" s="63"/>
      <c r="F112" s="63" t="s">
        <v>2182</v>
      </c>
      <c r="G112" s="63" t="s">
        <v>2180</v>
      </c>
      <c r="H112" s="63" t="s">
        <v>1747</v>
      </c>
      <c r="I112" s="66" t="s">
        <v>1758</v>
      </c>
      <c r="J112" s="63">
        <v>2019</v>
      </c>
      <c r="K112" s="59" t="s">
        <v>16</v>
      </c>
      <c r="L112" s="59" t="s">
        <v>1894</v>
      </c>
      <c r="M112" s="58" t="s">
        <v>234</v>
      </c>
      <c r="N112" s="58" t="s">
        <v>1734</v>
      </c>
      <c r="O112" s="58" t="s">
        <v>1760</v>
      </c>
      <c r="P112" s="58" t="s">
        <v>16</v>
      </c>
    </row>
    <row r="113" spans="1:16" ht="12.5" x14ac:dyDescent="0.25">
      <c r="A113" s="63" t="str">
        <f t="shared" si="1"/>
        <v>004/2020/024.406.924-76</v>
      </c>
      <c r="B113" s="63" t="s">
        <v>2110</v>
      </c>
      <c r="C113" s="65">
        <v>44600.454603009261</v>
      </c>
      <c r="D113" s="63" t="s">
        <v>2183</v>
      </c>
      <c r="E113" s="63" t="s">
        <v>2112</v>
      </c>
      <c r="F113" s="63" t="s">
        <v>2113</v>
      </c>
      <c r="G113" s="63" t="s">
        <v>2110</v>
      </c>
      <c r="H113" s="63" t="s">
        <v>1740</v>
      </c>
      <c r="I113" s="66" t="s">
        <v>1776</v>
      </c>
      <c r="J113" s="63">
        <v>2020</v>
      </c>
      <c r="K113" s="59" t="s">
        <v>17</v>
      </c>
      <c r="L113" s="59" t="s">
        <v>2184</v>
      </c>
      <c r="M113" s="58" t="s">
        <v>234</v>
      </c>
      <c r="N113" s="58" t="s">
        <v>1734</v>
      </c>
      <c r="O113" s="58" t="s">
        <v>1778</v>
      </c>
      <c r="P113" s="58" t="s">
        <v>17</v>
      </c>
    </row>
    <row r="114" spans="1:16" ht="12.5" x14ac:dyDescent="0.25">
      <c r="A114" s="63" t="str">
        <f t="shared" si="1"/>
        <v>047/2021/075.816.754-75</v>
      </c>
      <c r="B114" s="63" t="s">
        <v>2185</v>
      </c>
      <c r="C114" s="65">
        <v>44601.759076770832</v>
      </c>
      <c r="D114" s="63" t="s">
        <v>2186</v>
      </c>
      <c r="E114" s="63"/>
      <c r="F114" s="63" t="s">
        <v>2187</v>
      </c>
      <c r="G114" s="63" t="s">
        <v>2185</v>
      </c>
      <c r="H114" s="63" t="s">
        <v>1747</v>
      </c>
      <c r="I114" s="66" t="s">
        <v>2188</v>
      </c>
      <c r="J114" s="63">
        <v>2021</v>
      </c>
      <c r="K114" s="59" t="s">
        <v>16</v>
      </c>
      <c r="L114" s="59" t="s">
        <v>2189</v>
      </c>
      <c r="M114" s="58" t="s">
        <v>234</v>
      </c>
      <c r="N114" s="58" t="s">
        <v>1734</v>
      </c>
      <c r="O114" s="58" t="s">
        <v>2190</v>
      </c>
      <c r="P114" s="58" t="s">
        <v>16</v>
      </c>
    </row>
    <row r="115" spans="1:16" ht="12.5" x14ac:dyDescent="0.25">
      <c r="A115" s="63" t="str">
        <f t="shared" si="1"/>
        <v>040/2019/062.016.974-54</v>
      </c>
      <c r="B115" s="63" t="s">
        <v>2191</v>
      </c>
      <c r="C115" s="65">
        <v>44602.863716585649</v>
      </c>
      <c r="D115" s="63" t="s">
        <v>2192</v>
      </c>
      <c r="E115" s="63"/>
      <c r="F115" s="63" t="s">
        <v>2193</v>
      </c>
      <c r="G115" s="63" t="s">
        <v>2191</v>
      </c>
      <c r="H115" s="63" t="s">
        <v>1747</v>
      </c>
      <c r="I115" s="66" t="s">
        <v>1758</v>
      </c>
      <c r="J115" s="63">
        <v>2019</v>
      </c>
      <c r="K115" s="59" t="s">
        <v>16</v>
      </c>
      <c r="L115" s="59" t="s">
        <v>2194</v>
      </c>
      <c r="M115" s="58" t="s">
        <v>234</v>
      </c>
      <c r="N115" s="58" t="s">
        <v>1734</v>
      </c>
      <c r="O115" s="58" t="s">
        <v>1760</v>
      </c>
      <c r="P115" s="58" t="s">
        <v>16</v>
      </c>
    </row>
    <row r="116" spans="1:16" ht="12.5" x14ac:dyDescent="0.25">
      <c r="A116" s="63" t="str">
        <f t="shared" si="1"/>
        <v>047/2021/917.429.354-00</v>
      </c>
      <c r="B116" s="63" t="s">
        <v>2195</v>
      </c>
      <c r="C116" s="65">
        <v>44603.405760879628</v>
      </c>
      <c r="D116" s="63" t="s">
        <v>2196</v>
      </c>
      <c r="E116" s="63"/>
      <c r="F116" s="63" t="s">
        <v>2197</v>
      </c>
      <c r="G116" s="63" t="s">
        <v>2195</v>
      </c>
      <c r="H116" s="63" t="s">
        <v>1747</v>
      </c>
      <c r="I116" s="66" t="s">
        <v>2188</v>
      </c>
      <c r="J116" s="63">
        <v>2021</v>
      </c>
      <c r="K116" s="59" t="s">
        <v>16</v>
      </c>
      <c r="L116" s="59" t="s">
        <v>2198</v>
      </c>
      <c r="M116" s="58" t="s">
        <v>234</v>
      </c>
      <c r="N116" s="58" t="s">
        <v>1734</v>
      </c>
      <c r="O116" s="58" t="s">
        <v>2190</v>
      </c>
      <c r="P116" s="58" t="s">
        <v>16</v>
      </c>
    </row>
    <row r="117" spans="1:16" ht="12.5" x14ac:dyDescent="0.25">
      <c r="A117" s="63" t="str">
        <f t="shared" si="1"/>
        <v>047/2021/048.888.774-75</v>
      </c>
      <c r="B117" s="63" t="s">
        <v>2199</v>
      </c>
      <c r="C117" s="65">
        <v>44605.395965104166</v>
      </c>
      <c r="D117" s="63" t="s">
        <v>2200</v>
      </c>
      <c r="E117" s="63"/>
      <c r="F117" s="63" t="s">
        <v>2201</v>
      </c>
      <c r="G117" s="63" t="s">
        <v>2199</v>
      </c>
      <c r="H117" s="63" t="s">
        <v>1747</v>
      </c>
      <c r="I117" s="66" t="s">
        <v>2188</v>
      </c>
      <c r="J117" s="63">
        <v>2021</v>
      </c>
      <c r="K117" s="59" t="s">
        <v>16</v>
      </c>
      <c r="L117" s="59" t="s">
        <v>2202</v>
      </c>
      <c r="M117" s="58" t="s">
        <v>234</v>
      </c>
      <c r="N117" s="58" t="s">
        <v>1734</v>
      </c>
      <c r="O117" s="58" t="s">
        <v>2190</v>
      </c>
      <c r="P117" s="58" t="s">
        <v>16</v>
      </c>
    </row>
    <row r="118" spans="1:16" ht="12.5" x14ac:dyDescent="0.25">
      <c r="A118" s="63" t="str">
        <f t="shared" si="1"/>
        <v>047/2021/062.845.624-70</v>
      </c>
      <c r="B118" s="63" t="s">
        <v>2203</v>
      </c>
      <c r="C118" s="65">
        <v>44606.367063541664</v>
      </c>
      <c r="D118" s="63" t="s">
        <v>2204</v>
      </c>
      <c r="E118" s="63"/>
      <c r="F118" s="63" t="s">
        <v>2205</v>
      </c>
      <c r="G118" s="63" t="s">
        <v>2203</v>
      </c>
      <c r="H118" s="63" t="s">
        <v>1747</v>
      </c>
      <c r="I118" s="66" t="s">
        <v>2188</v>
      </c>
      <c r="J118" s="63">
        <v>2021</v>
      </c>
      <c r="K118" s="59" t="s">
        <v>16</v>
      </c>
      <c r="L118" s="59" t="s">
        <v>2206</v>
      </c>
      <c r="M118" s="58" t="s">
        <v>234</v>
      </c>
      <c r="N118" s="58" t="s">
        <v>1734</v>
      </c>
      <c r="O118" s="58" t="s">
        <v>2190</v>
      </c>
      <c r="P118" s="58" t="s">
        <v>16</v>
      </c>
    </row>
    <row r="119" spans="1:16" ht="12.5" x14ac:dyDescent="0.25">
      <c r="A119" s="63" t="str">
        <f t="shared" si="1"/>
        <v>047/2021/080.904.034-41</v>
      </c>
      <c r="B119" s="63" t="s">
        <v>2207</v>
      </c>
      <c r="C119" s="65">
        <v>44606.424595960649</v>
      </c>
      <c r="D119" s="63" t="s">
        <v>2208</v>
      </c>
      <c r="E119" s="63"/>
      <c r="F119" s="63" t="s">
        <v>2209</v>
      </c>
      <c r="G119" s="63" t="s">
        <v>2207</v>
      </c>
      <c r="H119" s="63" t="s">
        <v>1747</v>
      </c>
      <c r="I119" s="66" t="s">
        <v>2188</v>
      </c>
      <c r="J119" s="63">
        <v>2021</v>
      </c>
      <c r="K119" s="59" t="s">
        <v>16</v>
      </c>
      <c r="L119" s="59" t="s">
        <v>2210</v>
      </c>
      <c r="M119" s="58" t="s">
        <v>234</v>
      </c>
      <c r="N119" s="58" t="s">
        <v>1734</v>
      </c>
      <c r="O119" s="58" t="s">
        <v>2190</v>
      </c>
      <c r="P119" s="58" t="s">
        <v>16</v>
      </c>
    </row>
    <row r="120" spans="1:16" ht="12.5" x14ac:dyDescent="0.25">
      <c r="A120" s="63" t="str">
        <f t="shared" si="1"/>
        <v>046/2021/058.720.334-00</v>
      </c>
      <c r="B120" s="63" t="s">
        <v>2211</v>
      </c>
      <c r="C120" s="65">
        <v>44606.661003171292</v>
      </c>
      <c r="D120" s="63" t="s">
        <v>2212</v>
      </c>
      <c r="E120" s="63"/>
      <c r="F120" s="63" t="s">
        <v>2213</v>
      </c>
      <c r="G120" s="63" t="s">
        <v>2211</v>
      </c>
      <c r="H120" s="63" t="s">
        <v>1747</v>
      </c>
      <c r="I120" s="66" t="s">
        <v>2017</v>
      </c>
      <c r="J120" s="63">
        <v>2021</v>
      </c>
      <c r="K120" s="59" t="s">
        <v>18</v>
      </c>
      <c r="L120" s="59" t="s">
        <v>2214</v>
      </c>
      <c r="M120" s="58" t="s">
        <v>234</v>
      </c>
      <c r="N120" s="58" t="s">
        <v>1734</v>
      </c>
      <c r="O120" s="58" t="s">
        <v>2145</v>
      </c>
      <c r="P120" s="58" t="s">
        <v>18</v>
      </c>
    </row>
    <row r="121" spans="1:16" ht="12.5" x14ac:dyDescent="0.25">
      <c r="A121" s="63" t="str">
        <f t="shared" si="1"/>
        <v>047/2021/014.032.044-03</v>
      </c>
      <c r="B121" s="63" t="s">
        <v>2215</v>
      </c>
      <c r="C121" s="65">
        <v>44607.625559814813</v>
      </c>
      <c r="D121" s="63" t="s">
        <v>2216</v>
      </c>
      <c r="E121" s="63"/>
      <c r="F121" s="63" t="s">
        <v>2217</v>
      </c>
      <c r="G121" s="63" t="s">
        <v>2215</v>
      </c>
      <c r="H121" s="63" t="s">
        <v>1747</v>
      </c>
      <c r="I121" s="66" t="s">
        <v>2188</v>
      </c>
      <c r="J121" s="63">
        <v>2021</v>
      </c>
      <c r="K121" s="59" t="s">
        <v>16</v>
      </c>
      <c r="L121" s="59" t="s">
        <v>2218</v>
      </c>
      <c r="M121" s="58" t="s">
        <v>234</v>
      </c>
      <c r="N121" s="58" t="s">
        <v>1734</v>
      </c>
      <c r="O121" s="58" t="s">
        <v>2190</v>
      </c>
      <c r="P121" s="58" t="s">
        <v>16</v>
      </c>
    </row>
    <row r="122" spans="1:16" ht="12.5" x14ac:dyDescent="0.25">
      <c r="A122" s="63" t="str">
        <f t="shared" si="1"/>
        <v>040/2019/067.166.564-21</v>
      </c>
      <c r="B122" s="63" t="s">
        <v>2219</v>
      </c>
      <c r="C122" s="65">
        <v>44608.85127550926</v>
      </c>
      <c r="D122" s="63" t="s">
        <v>2220</v>
      </c>
      <c r="E122" s="63"/>
      <c r="F122" s="63" t="s">
        <v>2221</v>
      </c>
      <c r="G122" s="63" t="s">
        <v>2219</v>
      </c>
      <c r="H122" s="63" t="s">
        <v>1747</v>
      </c>
      <c r="I122" s="66" t="s">
        <v>1758</v>
      </c>
      <c r="J122" s="63">
        <v>2019</v>
      </c>
      <c r="K122" s="59" t="s">
        <v>16</v>
      </c>
      <c r="L122" s="59" t="s">
        <v>2222</v>
      </c>
      <c r="M122" s="58" t="s">
        <v>234</v>
      </c>
      <c r="N122" s="58" t="s">
        <v>1734</v>
      </c>
      <c r="O122" s="58" t="s">
        <v>1760</v>
      </c>
      <c r="P122" s="58" t="s">
        <v>16</v>
      </c>
    </row>
    <row r="123" spans="1:16" ht="12.5" x14ac:dyDescent="0.25">
      <c r="A123" s="63" t="str">
        <f t="shared" si="1"/>
        <v>047/2021/052.526.084-66</v>
      </c>
      <c r="B123" s="63" t="s">
        <v>2223</v>
      </c>
      <c r="C123" s="65">
        <v>44609.396747743056</v>
      </c>
      <c r="D123" s="63" t="s">
        <v>2224</v>
      </c>
      <c r="E123" s="63"/>
      <c r="F123" s="63" t="s">
        <v>2225</v>
      </c>
      <c r="G123" s="63" t="s">
        <v>2223</v>
      </c>
      <c r="H123" s="63" t="s">
        <v>1747</v>
      </c>
      <c r="I123" s="66" t="s">
        <v>2188</v>
      </c>
      <c r="J123" s="63">
        <v>2021</v>
      </c>
      <c r="K123" s="59" t="s">
        <v>16</v>
      </c>
      <c r="L123" s="59" t="s">
        <v>2226</v>
      </c>
      <c r="M123" s="58" t="s">
        <v>234</v>
      </c>
      <c r="N123" s="58" t="s">
        <v>1734</v>
      </c>
      <c r="O123" s="58" t="s">
        <v>2190</v>
      </c>
      <c r="P123" s="58" t="s">
        <v>16</v>
      </c>
    </row>
    <row r="124" spans="1:16" ht="12.5" x14ac:dyDescent="0.25">
      <c r="A124" s="63" t="str">
        <f t="shared" si="1"/>
        <v>046/2021/707.097.034-06</v>
      </c>
      <c r="B124" s="63" t="s">
        <v>2227</v>
      </c>
      <c r="C124" s="65">
        <v>44609.637588726851</v>
      </c>
      <c r="D124" s="63" t="s">
        <v>2228</v>
      </c>
      <c r="E124" s="63"/>
      <c r="F124" s="63" t="s">
        <v>2229</v>
      </c>
      <c r="G124" s="63" t="s">
        <v>2227</v>
      </c>
      <c r="H124" s="63" t="s">
        <v>1747</v>
      </c>
      <c r="I124" s="66" t="s">
        <v>2017</v>
      </c>
      <c r="J124" s="63">
        <v>2021</v>
      </c>
      <c r="K124" s="59" t="s">
        <v>18</v>
      </c>
      <c r="L124" s="59" t="s">
        <v>2230</v>
      </c>
      <c r="M124" s="58" t="s">
        <v>234</v>
      </c>
      <c r="N124" s="58" t="s">
        <v>1734</v>
      </c>
      <c r="O124" s="58" t="s">
        <v>2145</v>
      </c>
      <c r="P124" s="58" t="s">
        <v>18</v>
      </c>
    </row>
    <row r="125" spans="1:16" ht="12.5" x14ac:dyDescent="0.25">
      <c r="A125" s="63" t="str">
        <f t="shared" si="1"/>
        <v>046/2021/101.699.684-56</v>
      </c>
      <c r="B125" s="63" t="s">
        <v>2231</v>
      </c>
      <c r="C125" s="65">
        <v>44610.864417129633</v>
      </c>
      <c r="D125" s="63" t="s">
        <v>2232</v>
      </c>
      <c r="E125" s="63" t="s">
        <v>2233</v>
      </c>
      <c r="F125" s="63" t="s">
        <v>2233</v>
      </c>
      <c r="G125" s="63" t="s">
        <v>2231</v>
      </c>
      <c r="H125" s="63" t="s">
        <v>1740</v>
      </c>
      <c r="I125" s="66" t="s">
        <v>2017</v>
      </c>
      <c r="J125" s="63">
        <v>2021</v>
      </c>
      <c r="K125" s="59" t="s">
        <v>232</v>
      </c>
      <c r="L125" s="59" t="s">
        <v>2234</v>
      </c>
      <c r="M125" s="58" t="s">
        <v>234</v>
      </c>
      <c r="N125" s="58" t="s">
        <v>1734</v>
      </c>
      <c r="O125" s="58" t="s">
        <v>2145</v>
      </c>
      <c r="P125" s="58" t="s">
        <v>232</v>
      </c>
    </row>
    <row r="126" spans="1:16" ht="12.5" x14ac:dyDescent="0.25">
      <c r="A126" s="63" t="str">
        <f t="shared" si="1"/>
        <v>046/2021/705.339.604-52</v>
      </c>
      <c r="B126" s="63" t="s">
        <v>2235</v>
      </c>
      <c r="C126" s="65">
        <v>44612.982832928239</v>
      </c>
      <c r="D126" s="63" t="s">
        <v>2236</v>
      </c>
      <c r="E126" s="63"/>
      <c r="F126" s="63" t="s">
        <v>2237</v>
      </c>
      <c r="G126" s="63" t="s">
        <v>2235</v>
      </c>
      <c r="H126" s="63" t="s">
        <v>1747</v>
      </c>
      <c r="I126" s="66" t="s">
        <v>2017</v>
      </c>
      <c r="J126" s="63">
        <v>2021</v>
      </c>
      <c r="K126" s="59" t="s">
        <v>18</v>
      </c>
      <c r="L126" s="59" t="s">
        <v>2238</v>
      </c>
      <c r="M126" s="58" t="s">
        <v>234</v>
      </c>
      <c r="N126" s="58" t="s">
        <v>1734</v>
      </c>
      <c r="O126" s="58" t="s">
        <v>2145</v>
      </c>
      <c r="P126" s="58" t="s">
        <v>18</v>
      </c>
    </row>
    <row r="127" spans="1:16" ht="12.5" x14ac:dyDescent="0.25">
      <c r="A127" s="63" t="str">
        <f t="shared" si="1"/>
        <v>047/2021/116.767.504-52</v>
      </c>
      <c r="B127" s="63" t="s">
        <v>2239</v>
      </c>
      <c r="C127" s="65">
        <v>44613.364412731476</v>
      </c>
      <c r="D127" s="63" t="s">
        <v>2240</v>
      </c>
      <c r="E127" s="63"/>
      <c r="F127" s="63" t="s">
        <v>2241</v>
      </c>
      <c r="G127" s="63" t="s">
        <v>2239</v>
      </c>
      <c r="H127" s="63" t="s">
        <v>1747</v>
      </c>
      <c r="I127" s="66" t="s">
        <v>2188</v>
      </c>
      <c r="J127" s="63">
        <v>2021</v>
      </c>
      <c r="K127" s="59" t="s">
        <v>16</v>
      </c>
      <c r="L127" s="59" t="s">
        <v>2242</v>
      </c>
      <c r="M127" s="58" t="s">
        <v>234</v>
      </c>
      <c r="N127" s="58" t="s">
        <v>1734</v>
      </c>
      <c r="O127" s="58" t="s">
        <v>2190</v>
      </c>
      <c r="P127" s="58" t="s">
        <v>16</v>
      </c>
    </row>
    <row r="128" spans="1:16" ht="12.5" x14ac:dyDescent="0.25">
      <c r="A128" s="63" t="str">
        <f t="shared" si="1"/>
        <v>004/2020/059.120.314-62</v>
      </c>
      <c r="B128" s="63" t="s">
        <v>2243</v>
      </c>
      <c r="C128" s="65">
        <v>44614.327712500002</v>
      </c>
      <c r="D128" s="63" t="s">
        <v>2244</v>
      </c>
      <c r="E128" s="63"/>
      <c r="F128" s="63" t="s">
        <v>2245</v>
      </c>
      <c r="G128" s="63" t="s">
        <v>2243</v>
      </c>
      <c r="H128" s="63" t="s">
        <v>1747</v>
      </c>
      <c r="I128" s="66" t="s">
        <v>1776</v>
      </c>
      <c r="J128" s="63">
        <v>2020</v>
      </c>
      <c r="K128" s="59" t="s">
        <v>16</v>
      </c>
      <c r="L128" s="59" t="s">
        <v>2246</v>
      </c>
      <c r="M128" s="58" t="s">
        <v>234</v>
      </c>
      <c r="N128" s="58" t="s">
        <v>1734</v>
      </c>
      <c r="O128" s="58" t="s">
        <v>1778</v>
      </c>
      <c r="P128" s="58" t="s">
        <v>16</v>
      </c>
    </row>
    <row r="129" spans="1:16" ht="12.5" x14ac:dyDescent="0.25">
      <c r="A129" s="63" t="str">
        <f t="shared" si="1"/>
        <v>042/2021/082.331.824-94</v>
      </c>
      <c r="B129" s="63" t="s">
        <v>2247</v>
      </c>
      <c r="C129" s="65">
        <v>44617.468881805558</v>
      </c>
      <c r="D129" s="63" t="s">
        <v>2248</v>
      </c>
      <c r="E129" s="63"/>
      <c r="F129" s="63" t="s">
        <v>2249</v>
      </c>
      <c r="G129" s="63" t="s">
        <v>2247</v>
      </c>
      <c r="H129" s="63" t="s">
        <v>1747</v>
      </c>
      <c r="I129" s="66" t="s">
        <v>2077</v>
      </c>
      <c r="J129" s="63">
        <v>2021</v>
      </c>
      <c r="K129" s="59" t="s">
        <v>16</v>
      </c>
      <c r="L129" s="59" t="s">
        <v>2250</v>
      </c>
      <c r="M129" s="58" t="s">
        <v>234</v>
      </c>
      <c r="N129" s="58" t="s">
        <v>1734</v>
      </c>
      <c r="O129" s="58" t="s">
        <v>2079</v>
      </c>
      <c r="P129" s="58" t="s">
        <v>16</v>
      </c>
    </row>
    <row r="130" spans="1:16" ht="12.5" x14ac:dyDescent="0.25">
      <c r="A130" s="63" t="str">
        <f t="shared" si="1"/>
        <v>047/2021/086.554.084-50</v>
      </c>
      <c r="B130" s="63" t="s">
        <v>2251</v>
      </c>
      <c r="C130" s="65">
        <v>44618.527858553236</v>
      </c>
      <c r="D130" s="63" t="s">
        <v>2252</v>
      </c>
      <c r="E130" s="63"/>
      <c r="F130" s="63" t="s">
        <v>2253</v>
      </c>
      <c r="G130" s="63" t="s">
        <v>2251</v>
      </c>
      <c r="H130" s="63" t="s">
        <v>1747</v>
      </c>
      <c r="I130" s="66" t="s">
        <v>2188</v>
      </c>
      <c r="J130" s="63">
        <v>2021</v>
      </c>
      <c r="K130" s="59" t="s">
        <v>16</v>
      </c>
      <c r="L130" s="59" t="s">
        <v>2254</v>
      </c>
      <c r="M130" s="58" t="s">
        <v>234</v>
      </c>
      <c r="N130" s="58" t="s">
        <v>1734</v>
      </c>
      <c r="O130" s="58" t="s">
        <v>2190</v>
      </c>
      <c r="P130" s="58" t="s">
        <v>16</v>
      </c>
    </row>
    <row r="131" spans="1:16" ht="12.5" x14ac:dyDescent="0.25">
      <c r="A131" s="63" t="str">
        <f t="shared" si="1"/>
        <v>019/2021/083.845.074-14</v>
      </c>
      <c r="B131" s="63" t="s">
        <v>1925</v>
      </c>
      <c r="C131" s="65">
        <v>44620.344847384258</v>
      </c>
      <c r="D131" s="63" t="s">
        <v>2255</v>
      </c>
      <c r="E131" s="63"/>
      <c r="F131" s="63" t="s">
        <v>1927</v>
      </c>
      <c r="G131" s="63" t="s">
        <v>1925</v>
      </c>
      <c r="H131" s="63" t="s">
        <v>1747</v>
      </c>
      <c r="I131" s="66" t="s">
        <v>2256</v>
      </c>
      <c r="J131" s="63">
        <v>2021</v>
      </c>
      <c r="K131" s="59" t="s">
        <v>16</v>
      </c>
      <c r="L131" s="59" t="s">
        <v>2257</v>
      </c>
      <c r="M131" s="58" t="s">
        <v>234</v>
      </c>
      <c r="N131" s="58" t="s">
        <v>1734</v>
      </c>
      <c r="O131" s="58" t="s">
        <v>2258</v>
      </c>
      <c r="P131" s="58" t="s">
        <v>16</v>
      </c>
    </row>
    <row r="132" spans="1:16" ht="12.5" x14ac:dyDescent="0.25">
      <c r="A132" s="63" t="str">
        <f t="shared" si="1"/>
        <v>038/2021/076.797.904-42</v>
      </c>
      <c r="B132" s="63" t="s">
        <v>2259</v>
      </c>
      <c r="C132" s="65">
        <v>44620.443056689815</v>
      </c>
      <c r="D132" s="63" t="s">
        <v>2260</v>
      </c>
      <c r="E132" s="63"/>
      <c r="F132" s="63" t="s">
        <v>2261</v>
      </c>
      <c r="G132" s="63" t="s">
        <v>2259</v>
      </c>
      <c r="H132" s="63" t="s">
        <v>1747</v>
      </c>
      <c r="I132" s="66" t="s">
        <v>1867</v>
      </c>
      <c r="J132" s="63">
        <v>2021</v>
      </c>
      <c r="K132" s="59" t="s">
        <v>16</v>
      </c>
      <c r="L132" s="59" t="s">
        <v>2262</v>
      </c>
      <c r="M132" s="58" t="s">
        <v>234</v>
      </c>
      <c r="N132" s="58" t="s">
        <v>1734</v>
      </c>
      <c r="O132" s="58" t="s">
        <v>1869</v>
      </c>
      <c r="P132" s="58" t="s">
        <v>16</v>
      </c>
    </row>
    <row r="133" spans="1:16" ht="12.5" x14ac:dyDescent="0.25">
      <c r="A133" s="63" t="str">
        <f t="shared" si="1"/>
        <v>036/2019/051.508.264-30</v>
      </c>
      <c r="B133" s="63" t="s">
        <v>2263</v>
      </c>
      <c r="C133" s="65">
        <v>44620.852956365736</v>
      </c>
      <c r="D133" s="63" t="s">
        <v>2264</v>
      </c>
      <c r="E133" s="63" t="s">
        <v>2265</v>
      </c>
      <c r="F133" s="63" t="s">
        <v>2266</v>
      </c>
      <c r="G133" s="63" t="s">
        <v>2263</v>
      </c>
      <c r="H133" s="63" t="s">
        <v>1740</v>
      </c>
      <c r="I133" s="66" t="s">
        <v>1748</v>
      </c>
      <c r="J133" s="63">
        <v>2019</v>
      </c>
      <c r="K133" s="59" t="s">
        <v>232</v>
      </c>
      <c r="L133" s="59" t="s">
        <v>2267</v>
      </c>
      <c r="M133" s="58" t="s">
        <v>234</v>
      </c>
      <c r="N133" s="58" t="s">
        <v>1734</v>
      </c>
      <c r="O133" s="58" t="s">
        <v>1750</v>
      </c>
      <c r="P133" s="58" t="s">
        <v>232</v>
      </c>
    </row>
    <row r="134" spans="1:16" ht="12.5" x14ac:dyDescent="0.25">
      <c r="A134" s="63" t="str">
        <f t="shared" si="1"/>
        <v>046/2021/707.014.364-84</v>
      </c>
      <c r="B134" s="63" t="s">
        <v>2268</v>
      </c>
      <c r="C134" s="65">
        <v>44621.829290127316</v>
      </c>
      <c r="D134" s="63" t="s">
        <v>2269</v>
      </c>
      <c r="E134" s="63" t="s">
        <v>2270</v>
      </c>
      <c r="F134" s="63" t="s">
        <v>2270</v>
      </c>
      <c r="G134" s="63" t="s">
        <v>2268</v>
      </c>
      <c r="H134" s="63" t="s">
        <v>1740</v>
      </c>
      <c r="I134" s="66" t="s">
        <v>2017</v>
      </c>
      <c r="J134" s="63">
        <v>2021</v>
      </c>
      <c r="K134" s="59" t="s">
        <v>17</v>
      </c>
      <c r="L134" s="59" t="s">
        <v>2271</v>
      </c>
      <c r="M134" s="58" t="s">
        <v>234</v>
      </c>
      <c r="N134" s="58" t="s">
        <v>1734</v>
      </c>
      <c r="O134" s="58" t="s">
        <v>2145</v>
      </c>
      <c r="P134" s="58" t="s">
        <v>17</v>
      </c>
    </row>
    <row r="135" spans="1:16" ht="12.5" x14ac:dyDescent="0.25">
      <c r="A135" s="63" t="str">
        <f t="shared" si="1"/>
        <v>011/2021/079.727.914-81</v>
      </c>
      <c r="B135" s="63" t="s">
        <v>2272</v>
      </c>
      <c r="C135" s="65">
        <v>44623.868712025462</v>
      </c>
      <c r="D135" s="63" t="s">
        <v>2273</v>
      </c>
      <c r="E135" s="63"/>
      <c r="F135" s="63" t="s">
        <v>2274</v>
      </c>
      <c r="G135" s="63" t="s">
        <v>2272</v>
      </c>
      <c r="H135" s="63" t="s">
        <v>1747</v>
      </c>
      <c r="I135" s="66" t="s">
        <v>2046</v>
      </c>
      <c r="J135" s="63">
        <v>2021</v>
      </c>
      <c r="K135" s="59" t="s">
        <v>16</v>
      </c>
      <c r="L135" s="59" t="s">
        <v>2275</v>
      </c>
      <c r="M135" s="58" t="s">
        <v>234</v>
      </c>
      <c r="N135" s="58" t="s">
        <v>1734</v>
      </c>
      <c r="O135" s="58" t="s">
        <v>2048</v>
      </c>
      <c r="P135" s="58" t="s">
        <v>16</v>
      </c>
    </row>
    <row r="136" spans="1:16" ht="12.5" x14ac:dyDescent="0.25">
      <c r="A136" s="63" t="str">
        <f t="shared" si="1"/>
        <v>001/2022/065.457.224-09</v>
      </c>
      <c r="B136" s="63" t="s">
        <v>2276</v>
      </c>
      <c r="C136" s="65">
        <v>44623.913647326393</v>
      </c>
      <c r="D136" s="63" t="s">
        <v>2277</v>
      </c>
      <c r="E136" s="63"/>
      <c r="F136" s="63" t="s">
        <v>2278</v>
      </c>
      <c r="G136" s="63" t="s">
        <v>2276</v>
      </c>
      <c r="H136" s="63" t="s">
        <v>1747</v>
      </c>
      <c r="I136" s="66" t="s">
        <v>2279</v>
      </c>
      <c r="J136" s="63">
        <v>2022</v>
      </c>
      <c r="K136" s="59" t="s">
        <v>16</v>
      </c>
      <c r="L136" s="59" t="s">
        <v>2280</v>
      </c>
      <c r="M136" s="58" t="s">
        <v>235</v>
      </c>
      <c r="N136" s="58" t="s">
        <v>2281</v>
      </c>
      <c r="O136" s="58" t="s">
        <v>2282</v>
      </c>
      <c r="P136" s="58" t="s">
        <v>16</v>
      </c>
    </row>
    <row r="137" spans="1:16" ht="12.5" x14ac:dyDescent="0.25">
      <c r="A137" s="63" t="str">
        <f t="shared" si="1"/>
        <v>038/2021/918.668.804-97</v>
      </c>
      <c r="B137" s="63" t="s">
        <v>2283</v>
      </c>
      <c r="C137" s="65">
        <v>44624.494551203708</v>
      </c>
      <c r="D137" s="63" t="s">
        <v>2284</v>
      </c>
      <c r="E137" s="63"/>
      <c r="F137" s="63" t="s">
        <v>2285</v>
      </c>
      <c r="G137" s="63" t="s">
        <v>2283</v>
      </c>
      <c r="H137" s="63" t="s">
        <v>1747</v>
      </c>
      <c r="I137" s="66" t="s">
        <v>1867</v>
      </c>
      <c r="J137" s="63">
        <v>2021</v>
      </c>
      <c r="K137" s="59" t="s">
        <v>16</v>
      </c>
      <c r="L137" s="59" t="s">
        <v>2286</v>
      </c>
      <c r="M137" s="58" t="s">
        <v>234</v>
      </c>
      <c r="N137" s="58" t="s">
        <v>1734</v>
      </c>
      <c r="O137" s="58" t="s">
        <v>1869</v>
      </c>
      <c r="P137" s="58" t="s">
        <v>16</v>
      </c>
    </row>
    <row r="138" spans="1:16" ht="12.5" x14ac:dyDescent="0.25">
      <c r="A138" s="63" t="str">
        <f t="shared" si="1"/>
        <v>039/2019/076.716.504-71</v>
      </c>
      <c r="B138" s="63" t="s">
        <v>2287</v>
      </c>
      <c r="C138" s="65">
        <v>44624.536841956018</v>
      </c>
      <c r="D138" s="63" t="s">
        <v>2288</v>
      </c>
      <c r="E138" s="63"/>
      <c r="F138" s="63" t="s">
        <v>2289</v>
      </c>
      <c r="G138" s="63" t="s">
        <v>2287</v>
      </c>
      <c r="H138" s="63" t="s">
        <v>1747</v>
      </c>
      <c r="I138" s="66" t="s">
        <v>2290</v>
      </c>
      <c r="J138" s="63">
        <v>2019</v>
      </c>
      <c r="K138" s="59" t="s">
        <v>16</v>
      </c>
      <c r="L138" s="59" t="s">
        <v>2291</v>
      </c>
      <c r="M138" s="58" t="s">
        <v>234</v>
      </c>
      <c r="N138" s="58" t="s">
        <v>1734</v>
      </c>
      <c r="O138" s="58" t="s">
        <v>2292</v>
      </c>
      <c r="P138" s="58" t="s">
        <v>16</v>
      </c>
    </row>
    <row r="139" spans="1:16" ht="12.5" x14ac:dyDescent="0.25">
      <c r="A139" s="63" t="str">
        <f t="shared" si="1"/>
        <v>038/2021/040.006.304-23</v>
      </c>
      <c r="B139" s="63" t="s">
        <v>2293</v>
      </c>
      <c r="C139" s="65">
        <v>44624.689704201388</v>
      </c>
      <c r="D139" s="63" t="s">
        <v>2294</v>
      </c>
      <c r="E139" s="63"/>
      <c r="F139" s="63" t="s">
        <v>2295</v>
      </c>
      <c r="G139" s="63" t="s">
        <v>2293</v>
      </c>
      <c r="H139" s="63" t="s">
        <v>1747</v>
      </c>
      <c r="I139" s="66" t="s">
        <v>1867</v>
      </c>
      <c r="J139" s="63">
        <v>2021</v>
      </c>
      <c r="K139" s="59" t="s">
        <v>16</v>
      </c>
      <c r="L139" s="59" t="s">
        <v>2296</v>
      </c>
      <c r="M139" s="58" t="s">
        <v>234</v>
      </c>
      <c r="N139" s="58" t="s">
        <v>1734</v>
      </c>
      <c r="O139" s="58" t="s">
        <v>1869</v>
      </c>
      <c r="P139" s="58" t="s">
        <v>16</v>
      </c>
    </row>
    <row r="140" spans="1:16" ht="12.5" x14ac:dyDescent="0.25">
      <c r="A140" s="63" t="str">
        <f t="shared" si="1"/>
        <v>046/2021/063.563.944-04</v>
      </c>
      <c r="B140" s="63" t="s">
        <v>2297</v>
      </c>
      <c r="C140" s="65">
        <v>44625.869781851856</v>
      </c>
      <c r="D140" s="63" t="s">
        <v>2298</v>
      </c>
      <c r="E140" s="63"/>
      <c r="F140" s="63" t="s">
        <v>2299</v>
      </c>
      <c r="G140" s="63" t="s">
        <v>2297</v>
      </c>
      <c r="H140" s="63" t="s">
        <v>1747</v>
      </c>
      <c r="I140" s="66" t="s">
        <v>2017</v>
      </c>
      <c r="J140" s="63">
        <v>2021</v>
      </c>
      <c r="K140" s="59" t="s">
        <v>232</v>
      </c>
      <c r="L140" s="59" t="s">
        <v>2300</v>
      </c>
      <c r="M140" s="58" t="s">
        <v>234</v>
      </c>
      <c r="N140" s="58" t="s">
        <v>1734</v>
      </c>
      <c r="O140" s="58" t="s">
        <v>2145</v>
      </c>
      <c r="P140" s="58" t="s">
        <v>232</v>
      </c>
    </row>
    <row r="141" spans="1:16" ht="12.5" x14ac:dyDescent="0.25">
      <c r="A141" s="63" t="str">
        <f t="shared" si="1"/>
        <v>019/2021/080.611.294-85</v>
      </c>
      <c r="B141" s="63" t="s">
        <v>2301</v>
      </c>
      <c r="C141" s="65">
        <v>44630.463644687501</v>
      </c>
      <c r="D141" s="63" t="s">
        <v>2302</v>
      </c>
      <c r="E141" s="63" t="s">
        <v>2303</v>
      </c>
      <c r="F141" s="63" t="s">
        <v>2304</v>
      </c>
      <c r="G141" s="63" t="s">
        <v>2301</v>
      </c>
      <c r="H141" s="63" t="s">
        <v>1740</v>
      </c>
      <c r="I141" s="66" t="s">
        <v>2256</v>
      </c>
      <c r="J141" s="63">
        <v>2021</v>
      </c>
      <c r="K141" s="59" t="s">
        <v>16</v>
      </c>
      <c r="L141" s="59" t="s">
        <v>2305</v>
      </c>
      <c r="M141" s="58" t="s">
        <v>234</v>
      </c>
      <c r="N141" s="58" t="s">
        <v>1734</v>
      </c>
      <c r="O141" s="58" t="s">
        <v>2258</v>
      </c>
      <c r="P141" s="58" t="s">
        <v>16</v>
      </c>
    </row>
    <row r="142" spans="1:16" ht="12.5" x14ac:dyDescent="0.25">
      <c r="A142" s="63" t="str">
        <f t="shared" si="1"/>
        <v>001/2022/072.694.464-58</v>
      </c>
      <c r="B142" s="63" t="s">
        <v>2306</v>
      </c>
      <c r="C142" s="65">
        <v>44631.608253553241</v>
      </c>
      <c r="D142" s="63" t="s">
        <v>2302</v>
      </c>
      <c r="E142" s="63" t="s">
        <v>2303</v>
      </c>
      <c r="F142" s="63" t="s">
        <v>2307</v>
      </c>
      <c r="G142" s="63" t="s">
        <v>2306</v>
      </c>
      <c r="H142" s="63" t="s">
        <v>1740</v>
      </c>
      <c r="I142" s="63" t="s">
        <v>2279</v>
      </c>
      <c r="J142" s="63">
        <v>2022</v>
      </c>
      <c r="K142" s="59" t="s">
        <v>16</v>
      </c>
      <c r="L142" s="59" t="s">
        <v>2308</v>
      </c>
      <c r="M142" s="58" t="s">
        <v>234</v>
      </c>
      <c r="N142" s="58" t="s">
        <v>1734</v>
      </c>
      <c r="O142" s="58" t="s">
        <v>2282</v>
      </c>
      <c r="P142" s="58" t="s">
        <v>16</v>
      </c>
    </row>
    <row r="143" spans="1:16" ht="12.5" x14ac:dyDescent="0.25">
      <c r="A143" s="63" t="str">
        <f t="shared" si="1"/>
        <v>047/2021/058.720.334-00</v>
      </c>
      <c r="B143" s="63" t="s">
        <v>2211</v>
      </c>
      <c r="C143" s="65">
        <v>44633.598124270837</v>
      </c>
      <c r="D143" s="63" t="s">
        <v>2212</v>
      </c>
      <c r="E143" s="63"/>
      <c r="F143" s="63" t="s">
        <v>2213</v>
      </c>
      <c r="G143" s="63" t="s">
        <v>2211</v>
      </c>
      <c r="H143" s="63" t="s">
        <v>1747</v>
      </c>
      <c r="I143" s="63" t="s">
        <v>2188</v>
      </c>
      <c r="J143" s="63">
        <v>2021</v>
      </c>
      <c r="K143" s="59" t="s">
        <v>16</v>
      </c>
      <c r="L143" s="59" t="s">
        <v>2309</v>
      </c>
      <c r="M143" s="58" t="s">
        <v>234</v>
      </c>
      <c r="N143" s="58" t="s">
        <v>1734</v>
      </c>
      <c r="O143" s="58" t="s">
        <v>2190</v>
      </c>
      <c r="P143" s="58" t="s">
        <v>16</v>
      </c>
    </row>
    <row r="144" spans="1:16" ht="12.5" x14ac:dyDescent="0.25">
      <c r="A144" s="63" t="str">
        <f t="shared" si="1"/>
        <v>047/2021/657.008.722-34</v>
      </c>
      <c r="B144" s="63" t="s">
        <v>2310</v>
      </c>
      <c r="C144" s="65">
        <v>44634.592271250003</v>
      </c>
      <c r="D144" s="63" t="s">
        <v>2311</v>
      </c>
      <c r="E144" s="63"/>
      <c r="F144" s="63" t="s">
        <v>2312</v>
      </c>
      <c r="G144" s="63" t="s">
        <v>2310</v>
      </c>
      <c r="H144" s="63" t="s">
        <v>1747</v>
      </c>
      <c r="I144" s="63" t="s">
        <v>2188</v>
      </c>
      <c r="J144" s="63">
        <v>2021</v>
      </c>
      <c r="K144" s="59" t="s">
        <v>16</v>
      </c>
      <c r="L144" s="59" t="s">
        <v>2313</v>
      </c>
      <c r="M144" s="58" t="s">
        <v>234</v>
      </c>
      <c r="N144" s="58" t="s">
        <v>1734</v>
      </c>
      <c r="O144" s="58" t="s">
        <v>2190</v>
      </c>
      <c r="P144" s="58" t="s">
        <v>16</v>
      </c>
    </row>
    <row r="145" spans="1:16" ht="12.5" x14ac:dyDescent="0.25">
      <c r="A145" s="63" t="str">
        <f t="shared" si="1"/>
        <v>043/2021/090.126.104-19</v>
      </c>
      <c r="B145" s="63" t="s">
        <v>2314</v>
      </c>
      <c r="C145" s="65">
        <v>44635.753521018516</v>
      </c>
      <c r="D145" s="63" t="s">
        <v>2315</v>
      </c>
      <c r="E145" s="63"/>
      <c r="F145" s="63" t="s">
        <v>2316</v>
      </c>
      <c r="G145" s="63" t="s">
        <v>2314</v>
      </c>
      <c r="H145" s="63" t="s">
        <v>1747</v>
      </c>
      <c r="I145" s="63" t="s">
        <v>2317</v>
      </c>
      <c r="J145" s="63">
        <v>2021</v>
      </c>
      <c r="K145" s="59" t="s">
        <v>18</v>
      </c>
      <c r="L145" s="59" t="s">
        <v>2318</v>
      </c>
      <c r="M145" s="58" t="s">
        <v>234</v>
      </c>
      <c r="N145" s="58" t="s">
        <v>1734</v>
      </c>
      <c r="O145" s="58" t="s">
        <v>2319</v>
      </c>
      <c r="P145" s="58" t="s">
        <v>18</v>
      </c>
    </row>
    <row r="146" spans="1:16" ht="12.5" x14ac:dyDescent="0.25">
      <c r="A146" s="63" t="str">
        <f t="shared" si="1"/>
        <v>024/2021/094.309.424-09</v>
      </c>
      <c r="B146" s="63" t="s">
        <v>2320</v>
      </c>
      <c r="C146" s="65">
        <v>44640.977189942132</v>
      </c>
      <c r="D146" s="63" t="s">
        <v>2321</v>
      </c>
      <c r="E146" s="63"/>
      <c r="F146" s="63" t="s">
        <v>2322</v>
      </c>
      <c r="G146" s="63" t="s">
        <v>2320</v>
      </c>
      <c r="H146" s="63" t="s">
        <v>1747</v>
      </c>
      <c r="I146" s="63" t="s">
        <v>2323</v>
      </c>
      <c r="J146" s="63">
        <v>2021</v>
      </c>
      <c r="K146" s="59" t="s">
        <v>16</v>
      </c>
      <c r="L146" s="59" t="s">
        <v>2324</v>
      </c>
      <c r="M146" s="58" t="s">
        <v>234</v>
      </c>
      <c r="N146" s="58" t="s">
        <v>1734</v>
      </c>
      <c r="O146" s="58" t="s">
        <v>2325</v>
      </c>
      <c r="P146" s="58" t="s">
        <v>16</v>
      </c>
    </row>
    <row r="147" spans="1:16" ht="12.5" x14ac:dyDescent="0.25">
      <c r="A147" s="63" t="str">
        <f t="shared" si="1"/>
        <v>042/2021/069.863.914-63</v>
      </c>
      <c r="B147" s="63" t="s">
        <v>2326</v>
      </c>
      <c r="C147" s="65">
        <v>44641.663141747689</v>
      </c>
      <c r="D147" s="63" t="s">
        <v>2327</v>
      </c>
      <c r="E147" s="63"/>
      <c r="F147" s="63" t="s">
        <v>2328</v>
      </c>
      <c r="G147" s="63" t="s">
        <v>2326</v>
      </c>
      <c r="H147" s="63" t="s">
        <v>1747</v>
      </c>
      <c r="I147" s="63" t="s">
        <v>2077</v>
      </c>
      <c r="J147" s="63">
        <v>2021</v>
      </c>
      <c r="K147" s="59" t="s">
        <v>16</v>
      </c>
      <c r="L147" s="59" t="s">
        <v>2329</v>
      </c>
      <c r="M147" s="58" t="s">
        <v>234</v>
      </c>
      <c r="N147" s="58" t="s">
        <v>1734</v>
      </c>
      <c r="O147" s="58" t="s">
        <v>2079</v>
      </c>
      <c r="P147" s="58" t="s">
        <v>16</v>
      </c>
    </row>
    <row r="148" spans="1:16" ht="12.5" x14ac:dyDescent="0.25">
      <c r="A148" s="63" t="str">
        <f t="shared" si="1"/>
        <v>019/2021/079.954.134-67</v>
      </c>
      <c r="B148" s="63" t="s">
        <v>2330</v>
      </c>
      <c r="C148" s="65">
        <v>44642.535751307871</v>
      </c>
      <c r="D148" s="63" t="s">
        <v>2331</v>
      </c>
      <c r="E148" s="63"/>
      <c r="F148" s="63" t="s">
        <v>2332</v>
      </c>
      <c r="G148" s="63" t="s">
        <v>2330</v>
      </c>
      <c r="H148" s="63" t="s">
        <v>1747</v>
      </c>
      <c r="I148" s="63" t="s">
        <v>2256</v>
      </c>
      <c r="J148" s="63">
        <v>2021</v>
      </c>
      <c r="K148" s="59" t="s">
        <v>16</v>
      </c>
      <c r="L148" s="59" t="s">
        <v>2333</v>
      </c>
      <c r="M148" s="58" t="s">
        <v>234</v>
      </c>
      <c r="N148" s="58" t="s">
        <v>1734</v>
      </c>
      <c r="O148" s="58" t="s">
        <v>2258</v>
      </c>
      <c r="P148" s="58" t="s">
        <v>16</v>
      </c>
    </row>
    <row r="149" spans="1:16" ht="12.5" x14ac:dyDescent="0.25">
      <c r="A149" s="63" t="str">
        <f t="shared" si="1"/>
        <v>032/2021/654.213.881-15</v>
      </c>
      <c r="B149" s="63" t="s">
        <v>2334</v>
      </c>
      <c r="C149" s="65">
        <v>44643.538063148153</v>
      </c>
      <c r="D149" s="63" t="s">
        <v>2335</v>
      </c>
      <c r="E149" s="63" t="s">
        <v>2336</v>
      </c>
      <c r="F149" s="63" t="s">
        <v>2336</v>
      </c>
      <c r="G149" s="63" t="s">
        <v>2334</v>
      </c>
      <c r="H149" s="63" t="s">
        <v>1740</v>
      </c>
      <c r="I149" s="63" t="s">
        <v>1741</v>
      </c>
      <c r="J149" s="63">
        <v>2021</v>
      </c>
      <c r="K149" s="59" t="s">
        <v>17</v>
      </c>
      <c r="L149" s="59" t="s">
        <v>2337</v>
      </c>
      <c r="M149" s="58" t="s">
        <v>234</v>
      </c>
      <c r="N149" s="58" t="s">
        <v>1734</v>
      </c>
      <c r="O149" s="58" t="s">
        <v>1743</v>
      </c>
      <c r="P149" s="58" t="s">
        <v>17</v>
      </c>
    </row>
    <row r="150" spans="1:16" ht="12.5" x14ac:dyDescent="0.25">
      <c r="A150" s="63" t="str">
        <f t="shared" si="1"/>
        <v>047/2021/082.800.554-01</v>
      </c>
      <c r="B150" s="63" t="s">
        <v>2338</v>
      </c>
      <c r="C150" s="65">
        <v>44643.852092800924</v>
      </c>
      <c r="D150" s="63" t="s">
        <v>2339</v>
      </c>
      <c r="E150" s="63"/>
      <c r="F150" s="63" t="s">
        <v>2340</v>
      </c>
      <c r="G150" s="63" t="s">
        <v>2338</v>
      </c>
      <c r="H150" s="63" t="s">
        <v>1747</v>
      </c>
      <c r="I150" s="63" t="s">
        <v>2188</v>
      </c>
      <c r="J150" s="63">
        <v>2021</v>
      </c>
      <c r="K150" s="59" t="s">
        <v>16</v>
      </c>
      <c r="L150" s="59" t="s">
        <v>2341</v>
      </c>
      <c r="M150" s="58" t="s">
        <v>234</v>
      </c>
      <c r="N150" s="58" t="s">
        <v>1734</v>
      </c>
      <c r="O150" s="58" t="s">
        <v>2190</v>
      </c>
      <c r="P150" s="58" t="s">
        <v>16</v>
      </c>
    </row>
    <row r="151" spans="1:16" ht="12.5" x14ac:dyDescent="0.25">
      <c r="A151" s="63" t="str">
        <f t="shared" si="1"/>
        <v>046/2021/112.418.584-46</v>
      </c>
      <c r="B151" s="63" t="s">
        <v>2342</v>
      </c>
      <c r="C151" s="65">
        <v>44644.627139849537</v>
      </c>
      <c r="D151" s="63" t="s">
        <v>2343</v>
      </c>
      <c r="E151" s="63"/>
      <c r="F151" s="63" t="s">
        <v>2344</v>
      </c>
      <c r="G151" s="63" t="s">
        <v>2342</v>
      </c>
      <c r="H151" s="63" t="s">
        <v>1747</v>
      </c>
      <c r="I151" s="63" t="s">
        <v>2017</v>
      </c>
      <c r="J151" s="63">
        <v>2021</v>
      </c>
      <c r="K151" s="59" t="s">
        <v>232</v>
      </c>
      <c r="L151" s="59" t="s">
        <v>2345</v>
      </c>
      <c r="M151" s="58" t="s">
        <v>234</v>
      </c>
      <c r="N151" s="58" t="s">
        <v>1734</v>
      </c>
      <c r="O151" s="58" t="s">
        <v>2145</v>
      </c>
      <c r="P151" s="58" t="s">
        <v>232</v>
      </c>
    </row>
    <row r="152" spans="1:16" ht="12.5" x14ac:dyDescent="0.25">
      <c r="A152" s="63" t="str">
        <f t="shared" si="1"/>
        <v>046/2021/059.429.914-48</v>
      </c>
      <c r="B152" s="63" t="s">
        <v>1977</v>
      </c>
      <c r="C152" s="65">
        <v>44644.741638437496</v>
      </c>
      <c r="D152" s="63" t="s">
        <v>1978</v>
      </c>
      <c r="E152" s="63"/>
      <c r="F152" s="63" t="s">
        <v>1979</v>
      </c>
      <c r="G152" s="63" t="s">
        <v>1977</v>
      </c>
      <c r="H152" s="63" t="s">
        <v>1747</v>
      </c>
      <c r="I152" s="63" t="s">
        <v>2017</v>
      </c>
      <c r="J152" s="63">
        <v>2021</v>
      </c>
      <c r="K152" s="59" t="s">
        <v>17</v>
      </c>
      <c r="L152" s="59" t="s">
        <v>2346</v>
      </c>
      <c r="M152" s="58" t="s">
        <v>234</v>
      </c>
      <c r="N152" s="58" t="s">
        <v>1734</v>
      </c>
      <c r="O152" s="58" t="s">
        <v>2145</v>
      </c>
      <c r="P152" s="58" t="s">
        <v>17</v>
      </c>
    </row>
    <row r="153" spans="1:16" ht="12.5" x14ac:dyDescent="0.25">
      <c r="A153" s="63" t="str">
        <f t="shared" si="1"/>
        <v>040/2019/031.446.764-54</v>
      </c>
      <c r="B153" s="63" t="s">
        <v>2347</v>
      </c>
      <c r="C153" s="65">
        <v>44645.44000180556</v>
      </c>
      <c r="D153" s="63" t="s">
        <v>2348</v>
      </c>
      <c r="E153" s="63"/>
      <c r="F153" s="63" t="s">
        <v>2349</v>
      </c>
      <c r="G153" s="63" t="s">
        <v>2347</v>
      </c>
      <c r="H153" s="63" t="s">
        <v>1747</v>
      </c>
      <c r="I153" s="66" t="s">
        <v>1758</v>
      </c>
      <c r="J153" s="63">
        <v>2019</v>
      </c>
      <c r="K153" s="59" t="s">
        <v>16</v>
      </c>
      <c r="L153" s="59" t="s">
        <v>2350</v>
      </c>
      <c r="M153" s="58" t="s">
        <v>234</v>
      </c>
      <c r="N153" s="58" t="s">
        <v>1734</v>
      </c>
      <c r="O153" s="58" t="s">
        <v>1760</v>
      </c>
      <c r="P153" s="58" t="s">
        <v>16</v>
      </c>
    </row>
    <row r="154" spans="1:16" ht="12.5" x14ac:dyDescent="0.25">
      <c r="A154" s="63" t="str">
        <f t="shared" si="1"/>
        <v>040/2019/031.446.764-54</v>
      </c>
      <c r="B154" s="63" t="s">
        <v>2347</v>
      </c>
      <c r="C154" s="65">
        <v>44645.50183105324</v>
      </c>
      <c r="D154" s="63" t="s">
        <v>2348</v>
      </c>
      <c r="E154" s="63"/>
      <c r="F154" s="63" t="s">
        <v>2349</v>
      </c>
      <c r="G154" s="63" t="s">
        <v>2347</v>
      </c>
      <c r="H154" s="63" t="s">
        <v>1747</v>
      </c>
      <c r="I154" s="63" t="s">
        <v>1758</v>
      </c>
      <c r="J154" s="63">
        <v>2019</v>
      </c>
      <c r="K154" s="59" t="s">
        <v>16</v>
      </c>
      <c r="L154" s="59" t="s">
        <v>2351</v>
      </c>
      <c r="M154" s="58" t="s">
        <v>234</v>
      </c>
      <c r="N154" s="58" t="s">
        <v>1734</v>
      </c>
      <c r="O154" s="58" t="s">
        <v>1760</v>
      </c>
      <c r="P154" s="58" t="s">
        <v>16</v>
      </c>
    </row>
    <row r="155" spans="1:16" ht="12.5" x14ac:dyDescent="0.25">
      <c r="A155" s="63" t="str">
        <f t="shared" si="1"/>
        <v>019/2021/080.611.294-85</v>
      </c>
      <c r="B155" s="63" t="s">
        <v>2301</v>
      </c>
      <c r="C155" s="65">
        <v>44645.613160983798</v>
      </c>
      <c r="D155" s="63" t="s">
        <v>2352</v>
      </c>
      <c r="E155" s="63"/>
      <c r="F155" s="63" t="s">
        <v>2304</v>
      </c>
      <c r="G155" s="63" t="s">
        <v>2301</v>
      </c>
      <c r="H155" s="63" t="s">
        <v>1747</v>
      </c>
      <c r="I155" s="63" t="s">
        <v>2256</v>
      </c>
      <c r="J155" s="63">
        <v>2021</v>
      </c>
      <c r="K155" s="59" t="s">
        <v>16</v>
      </c>
      <c r="L155" s="59" t="s">
        <v>2353</v>
      </c>
      <c r="M155" s="58" t="s">
        <v>234</v>
      </c>
      <c r="N155" s="58" t="s">
        <v>1734</v>
      </c>
      <c r="O155" s="58" t="s">
        <v>2258</v>
      </c>
      <c r="P155" s="58" t="s">
        <v>16</v>
      </c>
    </row>
    <row r="156" spans="1:16" ht="12.5" x14ac:dyDescent="0.25">
      <c r="A156" s="63" t="str">
        <f t="shared" si="1"/>
        <v>040/2019/069.939.224-10</v>
      </c>
      <c r="B156" s="63" t="s">
        <v>2354</v>
      </c>
      <c r="C156" s="65">
        <v>44645.614660300926</v>
      </c>
      <c r="D156" s="63" t="s">
        <v>2355</v>
      </c>
      <c r="E156" s="63"/>
      <c r="F156" s="63" t="s">
        <v>2356</v>
      </c>
      <c r="G156" s="63" t="s">
        <v>2354</v>
      </c>
      <c r="H156" s="63" t="s">
        <v>1747</v>
      </c>
      <c r="I156" s="63" t="s">
        <v>1758</v>
      </c>
      <c r="J156" s="63">
        <v>2019</v>
      </c>
      <c r="K156" s="59" t="s">
        <v>16</v>
      </c>
      <c r="L156" s="59" t="s">
        <v>2357</v>
      </c>
      <c r="M156" s="58" t="s">
        <v>234</v>
      </c>
      <c r="N156" s="58" t="s">
        <v>1734</v>
      </c>
      <c r="O156" s="58" t="s">
        <v>1760</v>
      </c>
      <c r="P156" s="58" t="s">
        <v>16</v>
      </c>
    </row>
    <row r="157" spans="1:16" ht="12.5" x14ac:dyDescent="0.25">
      <c r="A157" s="63" t="str">
        <f t="shared" si="1"/>
        <v>046/2021/063.003.764-78</v>
      </c>
      <c r="B157" s="63" t="s">
        <v>2358</v>
      </c>
      <c r="C157" s="65">
        <v>44645.637240937504</v>
      </c>
      <c r="D157" s="63" t="s">
        <v>2359</v>
      </c>
      <c r="E157" s="63"/>
      <c r="F157" s="63" t="s">
        <v>2360</v>
      </c>
      <c r="G157" s="63" t="s">
        <v>2358</v>
      </c>
      <c r="H157" s="63" t="s">
        <v>1747</v>
      </c>
      <c r="I157" s="63" t="s">
        <v>2017</v>
      </c>
      <c r="J157" s="63">
        <v>2021</v>
      </c>
      <c r="K157" s="59" t="s">
        <v>18</v>
      </c>
      <c r="L157" s="59" t="s">
        <v>2361</v>
      </c>
      <c r="M157" s="58" t="s">
        <v>234</v>
      </c>
      <c r="N157" s="58" t="s">
        <v>1734</v>
      </c>
      <c r="O157" s="58" t="s">
        <v>2145</v>
      </c>
      <c r="P157" s="58" t="s">
        <v>18</v>
      </c>
    </row>
    <row r="158" spans="1:16" ht="12.5" x14ac:dyDescent="0.25">
      <c r="A158" s="63" t="str">
        <f t="shared" si="1"/>
        <v>040/2019/036.658.404-90</v>
      </c>
      <c r="B158" s="63" t="s">
        <v>2362</v>
      </c>
      <c r="C158" s="65">
        <v>44645.735795972221</v>
      </c>
      <c r="D158" s="63" t="s">
        <v>2363</v>
      </c>
      <c r="E158" s="63"/>
      <c r="F158" s="63" t="s">
        <v>2364</v>
      </c>
      <c r="G158" s="63" t="s">
        <v>2362</v>
      </c>
      <c r="H158" s="63" t="s">
        <v>1747</v>
      </c>
      <c r="I158" s="63" t="s">
        <v>1758</v>
      </c>
      <c r="J158" s="63">
        <v>2019</v>
      </c>
      <c r="K158" s="59" t="s">
        <v>16</v>
      </c>
      <c r="L158" s="59" t="s">
        <v>2365</v>
      </c>
      <c r="M158" s="58" t="s">
        <v>234</v>
      </c>
      <c r="N158" s="58" t="s">
        <v>1734</v>
      </c>
      <c r="O158" s="58" t="s">
        <v>1760</v>
      </c>
      <c r="P158" s="58" t="s">
        <v>16</v>
      </c>
    </row>
    <row r="159" spans="1:16" ht="12.5" x14ac:dyDescent="0.25">
      <c r="A159" s="63" t="str">
        <f t="shared" si="1"/>
        <v>019/2021/078.754.464-73</v>
      </c>
      <c r="B159" s="63" t="s">
        <v>2366</v>
      </c>
      <c r="C159" s="65">
        <v>44648.501660196758</v>
      </c>
      <c r="D159" s="63" t="s">
        <v>2302</v>
      </c>
      <c r="E159" s="63" t="s">
        <v>2303</v>
      </c>
      <c r="F159" s="63" t="s">
        <v>2367</v>
      </c>
      <c r="G159" s="63" t="s">
        <v>2366</v>
      </c>
      <c r="H159" s="63" t="s">
        <v>1740</v>
      </c>
      <c r="I159" s="63" t="s">
        <v>2256</v>
      </c>
      <c r="J159" s="63">
        <v>2021</v>
      </c>
      <c r="K159" s="59" t="s">
        <v>16</v>
      </c>
      <c r="L159" s="59" t="s">
        <v>2368</v>
      </c>
      <c r="M159" s="58" t="s">
        <v>234</v>
      </c>
      <c r="N159" s="58" t="s">
        <v>1734</v>
      </c>
      <c r="O159" s="58" t="s">
        <v>2258</v>
      </c>
      <c r="P159" s="58" t="s">
        <v>16</v>
      </c>
    </row>
    <row r="160" spans="1:16" ht="12.5" x14ac:dyDescent="0.25">
      <c r="A160" s="63" t="str">
        <f t="shared" si="1"/>
        <v>011/2021/031.634.114-28</v>
      </c>
      <c r="B160" s="63" t="s">
        <v>2369</v>
      </c>
      <c r="C160" s="65">
        <v>44648.540018194442</v>
      </c>
      <c r="D160" s="63" t="s">
        <v>2370</v>
      </c>
      <c r="E160" s="63"/>
      <c r="F160" s="63" t="s">
        <v>2371</v>
      </c>
      <c r="G160" s="63" t="s">
        <v>2369</v>
      </c>
      <c r="H160" s="63" t="s">
        <v>1747</v>
      </c>
      <c r="I160" s="63" t="s">
        <v>2046</v>
      </c>
      <c r="J160" s="63">
        <v>2021</v>
      </c>
      <c r="K160" s="59" t="s">
        <v>16</v>
      </c>
      <c r="L160" s="59" t="s">
        <v>2372</v>
      </c>
      <c r="M160" s="58" t="s">
        <v>234</v>
      </c>
      <c r="N160" s="58" t="s">
        <v>1734</v>
      </c>
      <c r="O160" s="58" t="s">
        <v>2048</v>
      </c>
      <c r="P160" s="58" t="s">
        <v>16</v>
      </c>
    </row>
    <row r="161" spans="1:16" ht="12.5" x14ac:dyDescent="0.25">
      <c r="A161" s="63" t="str">
        <f t="shared" si="1"/>
        <v>004/2020/102.402.524-11</v>
      </c>
      <c r="B161" s="63" t="s">
        <v>2373</v>
      </c>
      <c r="C161" s="65">
        <v>44648.608693622686</v>
      </c>
      <c r="D161" s="63" t="s">
        <v>2374</v>
      </c>
      <c r="E161" s="63"/>
      <c r="F161" s="63" t="s">
        <v>2375</v>
      </c>
      <c r="G161" s="63" t="s">
        <v>2373</v>
      </c>
      <c r="H161" s="63" t="s">
        <v>1747</v>
      </c>
      <c r="I161" s="63" t="s">
        <v>1776</v>
      </c>
      <c r="J161" s="63">
        <v>2020</v>
      </c>
      <c r="K161" s="59" t="s">
        <v>16</v>
      </c>
      <c r="L161" s="59" t="s">
        <v>2376</v>
      </c>
      <c r="M161" s="58" t="s">
        <v>234</v>
      </c>
      <c r="N161" s="58" t="s">
        <v>1734</v>
      </c>
      <c r="O161" s="58" t="s">
        <v>1778</v>
      </c>
      <c r="P161" s="58" t="s">
        <v>16</v>
      </c>
    </row>
    <row r="162" spans="1:16" ht="12.5" x14ac:dyDescent="0.25">
      <c r="A162" s="63" t="str">
        <f t="shared" si="1"/>
        <v>032/2021/012.960.594-80</v>
      </c>
      <c r="B162" s="63" t="s">
        <v>2377</v>
      </c>
      <c r="C162" s="65">
        <v>44648.637149733797</v>
      </c>
      <c r="D162" s="63" t="s">
        <v>2378</v>
      </c>
      <c r="E162" s="63" t="s">
        <v>2379</v>
      </c>
      <c r="F162" s="63" t="s">
        <v>2379</v>
      </c>
      <c r="G162" s="63" t="s">
        <v>2377</v>
      </c>
      <c r="H162" s="63" t="s">
        <v>1740</v>
      </c>
      <c r="I162" s="63" t="s">
        <v>1741</v>
      </c>
      <c r="J162" s="63">
        <v>2021</v>
      </c>
      <c r="K162" s="59" t="s">
        <v>17</v>
      </c>
      <c r="L162" s="59" t="s">
        <v>2380</v>
      </c>
      <c r="M162" s="58" t="s">
        <v>234</v>
      </c>
      <c r="N162" s="58" t="s">
        <v>1734</v>
      </c>
      <c r="O162" s="58" t="s">
        <v>1743</v>
      </c>
      <c r="P162" s="58" t="s">
        <v>17</v>
      </c>
    </row>
    <row r="163" spans="1:16" ht="12.5" x14ac:dyDescent="0.25">
      <c r="A163" s="63" t="str">
        <f t="shared" si="1"/>
        <v>038/2021/645.251.204-87</v>
      </c>
      <c r="B163" s="63" t="s">
        <v>2381</v>
      </c>
      <c r="C163" s="65">
        <v>44648.778165370371</v>
      </c>
      <c r="D163" s="63" t="s">
        <v>2382</v>
      </c>
      <c r="E163" s="63"/>
      <c r="F163" s="63" t="s">
        <v>2383</v>
      </c>
      <c r="G163" s="63" t="s">
        <v>2381</v>
      </c>
      <c r="H163" s="63" t="s">
        <v>1747</v>
      </c>
      <c r="I163" s="66" t="s">
        <v>1867</v>
      </c>
      <c r="J163" s="63">
        <v>2021</v>
      </c>
      <c r="K163" s="59" t="s">
        <v>16</v>
      </c>
      <c r="L163" s="59" t="s">
        <v>2384</v>
      </c>
      <c r="M163" s="58" t="s">
        <v>234</v>
      </c>
      <c r="N163" s="58" t="s">
        <v>1734</v>
      </c>
      <c r="O163" s="58" t="s">
        <v>1869</v>
      </c>
      <c r="P163" s="58" t="s">
        <v>16</v>
      </c>
    </row>
    <row r="164" spans="1:16" ht="12.5" x14ac:dyDescent="0.25">
      <c r="A164" s="63" t="str">
        <f t="shared" si="1"/>
        <v>005/2022/071.643.854-24</v>
      </c>
      <c r="B164" s="63" t="s">
        <v>2385</v>
      </c>
      <c r="C164" s="65">
        <v>44649.492332708338</v>
      </c>
      <c r="D164" s="63" t="s">
        <v>2386</v>
      </c>
      <c r="E164" s="63"/>
      <c r="F164" s="63" t="s">
        <v>2387</v>
      </c>
      <c r="G164" s="63" t="s">
        <v>2385</v>
      </c>
      <c r="H164" s="63" t="s">
        <v>1747</v>
      </c>
      <c r="I164" s="63" t="s">
        <v>2388</v>
      </c>
      <c r="J164" s="63">
        <v>2022</v>
      </c>
      <c r="K164" s="59" t="s">
        <v>18</v>
      </c>
      <c r="L164" s="59" t="s">
        <v>2389</v>
      </c>
      <c r="M164" s="58" t="s">
        <v>234</v>
      </c>
      <c r="N164" s="58" t="s">
        <v>1734</v>
      </c>
      <c r="O164" s="58" t="s">
        <v>2390</v>
      </c>
      <c r="P164" s="58" t="s">
        <v>18</v>
      </c>
    </row>
    <row r="165" spans="1:16" ht="12.5" x14ac:dyDescent="0.25">
      <c r="A165" s="63" t="str">
        <f t="shared" si="1"/>
        <v>032/2021/913.981.184-00</v>
      </c>
      <c r="B165" s="63" t="s">
        <v>2391</v>
      </c>
      <c r="C165" s="65">
        <v>44649.659860509259</v>
      </c>
      <c r="D165" s="63" t="s">
        <v>2392</v>
      </c>
      <c r="E165" s="63" t="s">
        <v>2393</v>
      </c>
      <c r="F165" s="63" t="s">
        <v>2393</v>
      </c>
      <c r="G165" s="63" t="s">
        <v>2391</v>
      </c>
      <c r="H165" s="63" t="s">
        <v>1740</v>
      </c>
      <c r="I165" s="63" t="s">
        <v>1741</v>
      </c>
      <c r="J165" s="63">
        <v>2021</v>
      </c>
      <c r="K165" s="59" t="s">
        <v>17</v>
      </c>
      <c r="L165" s="59" t="s">
        <v>2394</v>
      </c>
      <c r="M165" s="58" t="s">
        <v>234</v>
      </c>
      <c r="N165" s="58" t="s">
        <v>1734</v>
      </c>
      <c r="O165" s="58" t="s">
        <v>1743</v>
      </c>
      <c r="P165" s="58" t="s">
        <v>17</v>
      </c>
    </row>
    <row r="166" spans="1:16" ht="12.5" x14ac:dyDescent="0.25">
      <c r="A166" s="63" t="str">
        <f t="shared" si="1"/>
        <v>032/2021/913.981.184-00</v>
      </c>
      <c r="B166" s="63" t="s">
        <v>2391</v>
      </c>
      <c r="C166" s="65">
        <v>44649.705324270835</v>
      </c>
      <c r="D166" s="63" t="s">
        <v>2395</v>
      </c>
      <c r="E166" s="63" t="s">
        <v>2396</v>
      </c>
      <c r="F166" s="63" t="s">
        <v>2396</v>
      </c>
      <c r="G166" s="63" t="s">
        <v>2391</v>
      </c>
      <c r="H166" s="63" t="s">
        <v>1740</v>
      </c>
      <c r="I166" s="63" t="s">
        <v>1741</v>
      </c>
      <c r="J166" s="63">
        <v>2021</v>
      </c>
      <c r="K166" s="59" t="s">
        <v>17</v>
      </c>
      <c r="L166" s="59" t="s">
        <v>2397</v>
      </c>
      <c r="M166" s="58" t="s">
        <v>234</v>
      </c>
      <c r="N166" s="58" t="s">
        <v>1734</v>
      </c>
      <c r="O166" s="58" t="s">
        <v>1743</v>
      </c>
      <c r="P166" s="58" t="s">
        <v>17</v>
      </c>
    </row>
    <row r="167" spans="1:16" ht="12.5" x14ac:dyDescent="0.25">
      <c r="A167" s="63" t="str">
        <f t="shared" si="1"/>
        <v>032/2021/913.981.184-00</v>
      </c>
      <c r="B167" s="63" t="s">
        <v>2391</v>
      </c>
      <c r="C167" s="65">
        <v>44649.708129675928</v>
      </c>
      <c r="D167" s="63" t="s">
        <v>2398</v>
      </c>
      <c r="E167" s="63" t="s">
        <v>2399</v>
      </c>
      <c r="F167" s="63" t="s">
        <v>2396</v>
      </c>
      <c r="G167" s="63" t="s">
        <v>2391</v>
      </c>
      <c r="H167" s="63" t="s">
        <v>1740</v>
      </c>
      <c r="I167" s="63" t="s">
        <v>1741</v>
      </c>
      <c r="J167" s="63">
        <v>2021</v>
      </c>
      <c r="K167" s="59" t="s">
        <v>17</v>
      </c>
      <c r="L167" s="59" t="s">
        <v>2400</v>
      </c>
      <c r="M167" s="58" t="s">
        <v>234</v>
      </c>
      <c r="N167" s="58" t="s">
        <v>1734</v>
      </c>
      <c r="O167" s="58" t="s">
        <v>1743</v>
      </c>
      <c r="P167" s="58" t="s">
        <v>17</v>
      </c>
    </row>
    <row r="168" spans="1:16" ht="12.5" x14ac:dyDescent="0.25">
      <c r="A168" s="63" t="str">
        <f t="shared" si="1"/>
        <v>036/2019/076.646.514-41</v>
      </c>
      <c r="B168" s="63" t="s">
        <v>2401</v>
      </c>
      <c r="C168" s="65">
        <v>44650.402732974537</v>
      </c>
      <c r="D168" s="63" t="s">
        <v>2402</v>
      </c>
      <c r="E168" s="63"/>
      <c r="F168" s="63" t="s">
        <v>2403</v>
      </c>
      <c r="G168" s="63" t="s">
        <v>2401</v>
      </c>
      <c r="H168" s="63" t="s">
        <v>1747</v>
      </c>
      <c r="I168" s="63" t="s">
        <v>1748</v>
      </c>
      <c r="J168" s="63">
        <v>2019</v>
      </c>
      <c r="K168" s="59" t="s">
        <v>232</v>
      </c>
      <c r="L168" s="59" t="s">
        <v>2404</v>
      </c>
      <c r="M168" s="58" t="s">
        <v>234</v>
      </c>
      <c r="N168" s="58" t="s">
        <v>1734</v>
      </c>
      <c r="O168" s="58" t="s">
        <v>1750</v>
      </c>
      <c r="P168" s="58" t="s">
        <v>232</v>
      </c>
    </row>
    <row r="169" spans="1:16" ht="12.5" x14ac:dyDescent="0.25">
      <c r="A169" s="63" t="str">
        <f t="shared" si="1"/>
        <v>046/2021/016.713.464-75</v>
      </c>
      <c r="B169" s="63" t="s">
        <v>2026</v>
      </c>
      <c r="C169" s="65">
        <v>44650.527872465274</v>
      </c>
      <c r="D169" s="63" t="s">
        <v>2405</v>
      </c>
      <c r="E169" s="63"/>
      <c r="F169" s="63" t="s">
        <v>2028</v>
      </c>
      <c r="G169" s="63" t="s">
        <v>2026</v>
      </c>
      <c r="H169" s="63" t="s">
        <v>1747</v>
      </c>
      <c r="I169" s="63" t="s">
        <v>2017</v>
      </c>
      <c r="J169" s="63">
        <v>2021</v>
      </c>
      <c r="K169" s="59" t="s">
        <v>18</v>
      </c>
      <c r="L169" s="59" t="s">
        <v>2406</v>
      </c>
      <c r="M169" s="58" t="s">
        <v>234</v>
      </c>
      <c r="N169" s="58" t="s">
        <v>1734</v>
      </c>
      <c r="O169" s="58" t="s">
        <v>2145</v>
      </c>
      <c r="P169" s="58" t="s">
        <v>18</v>
      </c>
    </row>
    <row r="170" spans="1:16" ht="12.5" x14ac:dyDescent="0.25">
      <c r="A170" s="63" t="str">
        <f t="shared" si="1"/>
        <v>047/2021/076.559.894-94</v>
      </c>
      <c r="B170" s="63" t="s">
        <v>2407</v>
      </c>
      <c r="C170" s="65">
        <v>44650.576274768522</v>
      </c>
      <c r="D170" s="63" t="s">
        <v>2408</v>
      </c>
      <c r="E170" s="63"/>
      <c r="F170" s="63" t="s">
        <v>2409</v>
      </c>
      <c r="G170" s="63" t="s">
        <v>2407</v>
      </c>
      <c r="H170" s="63" t="s">
        <v>1747</v>
      </c>
      <c r="I170" s="63" t="s">
        <v>2188</v>
      </c>
      <c r="J170" s="63">
        <v>2021</v>
      </c>
      <c r="K170" s="59" t="s">
        <v>16</v>
      </c>
      <c r="L170" s="59" t="s">
        <v>2410</v>
      </c>
      <c r="M170" s="58" t="s">
        <v>234</v>
      </c>
      <c r="N170" s="58" t="s">
        <v>1734</v>
      </c>
      <c r="O170" s="58" t="s">
        <v>2190</v>
      </c>
      <c r="P170" s="58" t="s">
        <v>16</v>
      </c>
    </row>
    <row r="171" spans="1:16" ht="12.5" x14ac:dyDescent="0.25">
      <c r="A171" s="63" t="str">
        <f t="shared" si="1"/>
        <v>045/2019/061.512.284-13</v>
      </c>
      <c r="B171" s="63" t="s">
        <v>1895</v>
      </c>
      <c r="C171" s="65">
        <v>44650.674812314814</v>
      </c>
      <c r="D171" s="63" t="s">
        <v>2411</v>
      </c>
      <c r="E171" s="63"/>
      <c r="F171" s="63" t="s">
        <v>1897</v>
      </c>
      <c r="G171" s="63" t="s">
        <v>1895</v>
      </c>
      <c r="H171" s="63" t="s">
        <v>1747</v>
      </c>
      <c r="I171" s="63" t="s">
        <v>2071</v>
      </c>
      <c r="J171" s="63">
        <v>2019</v>
      </c>
      <c r="K171" s="59" t="s">
        <v>17</v>
      </c>
      <c r="L171" s="59" t="s">
        <v>2412</v>
      </c>
      <c r="M171" s="58" t="s">
        <v>234</v>
      </c>
      <c r="N171" s="58" t="s">
        <v>1734</v>
      </c>
      <c r="O171" s="58" t="s">
        <v>2073</v>
      </c>
      <c r="P171" s="58" t="s">
        <v>17</v>
      </c>
    </row>
    <row r="172" spans="1:16" ht="12.5" x14ac:dyDescent="0.25">
      <c r="A172" s="63" t="str">
        <f t="shared" si="1"/>
        <v>047/2021/097.390.974-99</v>
      </c>
      <c r="B172" s="63" t="s">
        <v>2413</v>
      </c>
      <c r="C172" s="65">
        <v>44652.541456273146</v>
      </c>
      <c r="D172" s="63" t="s">
        <v>2414</v>
      </c>
      <c r="E172" s="63"/>
      <c r="F172" s="63" t="s">
        <v>2415</v>
      </c>
      <c r="G172" s="63" t="s">
        <v>2413</v>
      </c>
      <c r="H172" s="63" t="s">
        <v>1747</v>
      </c>
      <c r="I172" s="63" t="s">
        <v>2188</v>
      </c>
      <c r="J172" s="63">
        <v>2021</v>
      </c>
      <c r="K172" s="59" t="s">
        <v>16</v>
      </c>
      <c r="L172" s="59" t="s">
        <v>2416</v>
      </c>
      <c r="M172" s="58" t="s">
        <v>234</v>
      </c>
      <c r="N172" s="58" t="s">
        <v>1734</v>
      </c>
      <c r="O172" s="58" t="s">
        <v>2190</v>
      </c>
      <c r="P172" s="58" t="s">
        <v>16</v>
      </c>
    </row>
    <row r="173" spans="1:16" ht="12.5" x14ac:dyDescent="0.25">
      <c r="A173" s="63" t="str">
        <f t="shared" si="1"/>
        <v>002/2022/059.005.164-40</v>
      </c>
      <c r="B173" s="63" t="s">
        <v>2417</v>
      </c>
      <c r="C173" s="65">
        <v>44652.615850740738</v>
      </c>
      <c r="D173" s="63" t="s">
        <v>2418</v>
      </c>
      <c r="E173" s="63"/>
      <c r="F173" s="63" t="s">
        <v>2419</v>
      </c>
      <c r="G173" s="63" t="s">
        <v>2417</v>
      </c>
      <c r="H173" s="63" t="s">
        <v>1747</v>
      </c>
      <c r="I173" s="63" t="s">
        <v>2420</v>
      </c>
      <c r="J173" s="63">
        <v>2022</v>
      </c>
      <c r="K173" s="59" t="s">
        <v>17</v>
      </c>
      <c r="L173" s="59" t="s">
        <v>2421</v>
      </c>
      <c r="M173" s="58" t="s">
        <v>234</v>
      </c>
      <c r="N173" s="58" t="s">
        <v>1734</v>
      </c>
      <c r="O173" s="58" t="s">
        <v>2422</v>
      </c>
      <c r="P173" s="58" t="s">
        <v>17</v>
      </c>
    </row>
    <row r="174" spans="1:16" ht="12.5" x14ac:dyDescent="0.25">
      <c r="A174" s="63" t="str">
        <f t="shared" si="1"/>
        <v>043/2021/100.900.404-22</v>
      </c>
      <c r="B174" s="63" t="s">
        <v>2423</v>
      </c>
      <c r="C174" s="65">
        <v>44653.421939618056</v>
      </c>
      <c r="D174" s="63" t="s">
        <v>2424</v>
      </c>
      <c r="E174" s="63"/>
      <c r="F174" s="63" t="s">
        <v>2425</v>
      </c>
      <c r="G174" s="63" t="s">
        <v>2423</v>
      </c>
      <c r="H174" s="63" t="s">
        <v>1747</v>
      </c>
      <c r="I174" s="63" t="s">
        <v>2317</v>
      </c>
      <c r="J174" s="63">
        <v>2021</v>
      </c>
      <c r="K174" s="59" t="s">
        <v>18</v>
      </c>
      <c r="L174" s="59" t="s">
        <v>2426</v>
      </c>
      <c r="M174" s="58" t="s">
        <v>234</v>
      </c>
      <c r="N174" s="58" t="s">
        <v>1734</v>
      </c>
      <c r="O174" s="58" t="s">
        <v>2319</v>
      </c>
      <c r="P174" s="58" t="s">
        <v>18</v>
      </c>
    </row>
    <row r="175" spans="1:16" ht="12.5" x14ac:dyDescent="0.25">
      <c r="A175" s="63" t="str">
        <f t="shared" si="1"/>
        <v>032/2021/082.807.394-59</v>
      </c>
      <c r="B175" s="63" t="s">
        <v>2427</v>
      </c>
      <c r="C175" s="65">
        <v>44654.38824025463</v>
      </c>
      <c r="D175" s="63" t="s">
        <v>2428</v>
      </c>
      <c r="E175" s="63"/>
      <c r="F175" s="63" t="s">
        <v>2429</v>
      </c>
      <c r="G175" s="63" t="s">
        <v>2427</v>
      </c>
      <c r="H175" s="63" t="s">
        <v>1747</v>
      </c>
      <c r="I175" s="63" t="s">
        <v>1741</v>
      </c>
      <c r="J175" s="63">
        <v>2021</v>
      </c>
      <c r="K175" s="59" t="s">
        <v>17</v>
      </c>
      <c r="L175" s="59" t="s">
        <v>2430</v>
      </c>
      <c r="M175" s="58" t="s">
        <v>234</v>
      </c>
      <c r="N175" s="58" t="s">
        <v>1734</v>
      </c>
      <c r="O175" s="58" t="s">
        <v>1743</v>
      </c>
      <c r="P175" s="58" t="s">
        <v>17</v>
      </c>
    </row>
    <row r="176" spans="1:16" ht="12.5" x14ac:dyDescent="0.25">
      <c r="A176" s="63" t="str">
        <f t="shared" si="1"/>
        <v>024/2021/569.660.914-72</v>
      </c>
      <c r="B176" s="63" t="s">
        <v>2431</v>
      </c>
      <c r="C176" s="65">
        <v>44655.419984918983</v>
      </c>
      <c r="D176" s="63" t="s">
        <v>2432</v>
      </c>
      <c r="E176" s="63"/>
      <c r="F176" s="63" t="s">
        <v>2433</v>
      </c>
      <c r="G176" s="63" t="s">
        <v>2431</v>
      </c>
      <c r="H176" s="63" t="s">
        <v>1747</v>
      </c>
      <c r="I176" s="63" t="s">
        <v>2323</v>
      </c>
      <c r="J176" s="63">
        <v>2021</v>
      </c>
      <c r="K176" s="59" t="s">
        <v>16</v>
      </c>
      <c r="L176" s="59" t="s">
        <v>2434</v>
      </c>
      <c r="M176" s="58" t="s">
        <v>234</v>
      </c>
      <c r="N176" s="58" t="s">
        <v>1734</v>
      </c>
      <c r="O176" s="58" t="s">
        <v>2325</v>
      </c>
      <c r="P176" s="58" t="s">
        <v>16</v>
      </c>
    </row>
    <row r="177" spans="1:16" ht="12.5" x14ac:dyDescent="0.25">
      <c r="A177" s="63" t="str">
        <f t="shared" si="1"/>
        <v>046/2021/065.575.004-57</v>
      </c>
      <c r="B177" s="63" t="s">
        <v>2435</v>
      </c>
      <c r="C177" s="65">
        <v>44656.262663275462</v>
      </c>
      <c r="D177" s="63" t="s">
        <v>2436</v>
      </c>
      <c r="E177" s="63"/>
      <c r="F177" s="63" t="s">
        <v>2437</v>
      </c>
      <c r="G177" s="63" t="s">
        <v>2435</v>
      </c>
      <c r="H177" s="63" t="s">
        <v>1747</v>
      </c>
      <c r="I177" s="63" t="s">
        <v>2017</v>
      </c>
      <c r="J177" s="63">
        <v>2021</v>
      </c>
      <c r="K177" s="59" t="s">
        <v>17</v>
      </c>
      <c r="L177" s="59" t="s">
        <v>2438</v>
      </c>
      <c r="M177" s="58" t="s">
        <v>234</v>
      </c>
      <c r="N177" s="58" t="s">
        <v>1734</v>
      </c>
      <c r="O177" s="58" t="s">
        <v>2145</v>
      </c>
      <c r="P177" s="58" t="s">
        <v>17</v>
      </c>
    </row>
    <row r="178" spans="1:16" ht="12.5" x14ac:dyDescent="0.25">
      <c r="A178" s="63" t="str">
        <f t="shared" si="1"/>
        <v>002/2022/059.005.164-40</v>
      </c>
      <c r="B178" s="63" t="s">
        <v>2417</v>
      </c>
      <c r="C178" s="65">
        <v>44656.590816296295</v>
      </c>
      <c r="D178" s="63" t="s">
        <v>2418</v>
      </c>
      <c r="E178" s="63"/>
      <c r="F178" s="63" t="s">
        <v>2419</v>
      </c>
      <c r="G178" s="63" t="s">
        <v>2417</v>
      </c>
      <c r="H178" s="63" t="s">
        <v>1747</v>
      </c>
      <c r="I178" s="63" t="s">
        <v>2420</v>
      </c>
      <c r="J178" s="63">
        <v>2022</v>
      </c>
      <c r="K178" s="59" t="s">
        <v>17</v>
      </c>
      <c r="L178" s="59" t="s">
        <v>2439</v>
      </c>
      <c r="M178" s="58" t="s">
        <v>234</v>
      </c>
      <c r="N178" s="58" t="s">
        <v>1734</v>
      </c>
      <c r="O178" s="58" t="s">
        <v>2422</v>
      </c>
      <c r="P178" s="58" t="s">
        <v>17</v>
      </c>
    </row>
    <row r="179" spans="1:16" ht="12.5" x14ac:dyDescent="0.25">
      <c r="A179" s="63" t="str">
        <f t="shared" si="1"/>
        <v>002/2022/057.271.024-05</v>
      </c>
      <c r="B179" s="63" t="s">
        <v>2440</v>
      </c>
      <c r="C179" s="65">
        <v>44657.307773553242</v>
      </c>
      <c r="D179" s="63" t="s">
        <v>2441</v>
      </c>
      <c r="E179" s="63"/>
      <c r="F179" s="63" t="s">
        <v>2442</v>
      </c>
      <c r="G179" s="63" t="s">
        <v>2440</v>
      </c>
      <c r="H179" s="63" t="s">
        <v>1747</v>
      </c>
      <c r="I179" s="63" t="s">
        <v>2420</v>
      </c>
      <c r="J179" s="63">
        <v>2022</v>
      </c>
      <c r="K179" s="59" t="s">
        <v>17</v>
      </c>
      <c r="L179" s="59" t="s">
        <v>2443</v>
      </c>
      <c r="M179" s="58" t="s">
        <v>234</v>
      </c>
      <c r="N179" s="58" t="s">
        <v>1734</v>
      </c>
      <c r="O179" s="58" t="s">
        <v>2422</v>
      </c>
      <c r="P179" s="58" t="s">
        <v>17</v>
      </c>
    </row>
    <row r="180" spans="1:16" ht="12.5" x14ac:dyDescent="0.25">
      <c r="A180" s="63" t="str">
        <f t="shared" si="1"/>
        <v>002/2022/062.585.754-20</v>
      </c>
      <c r="B180" s="63" t="s">
        <v>2444</v>
      </c>
      <c r="C180" s="65">
        <v>44658.421545046294</v>
      </c>
      <c r="D180" s="63" t="s">
        <v>2445</v>
      </c>
      <c r="E180" s="63"/>
      <c r="F180" s="63" t="s">
        <v>2446</v>
      </c>
      <c r="G180" s="63" t="s">
        <v>2444</v>
      </c>
      <c r="H180" s="63" t="s">
        <v>1747</v>
      </c>
      <c r="I180" s="63" t="s">
        <v>2420</v>
      </c>
      <c r="J180" s="63">
        <v>2022</v>
      </c>
      <c r="K180" s="59" t="s">
        <v>17</v>
      </c>
      <c r="L180" s="59" t="s">
        <v>2447</v>
      </c>
      <c r="M180" s="58" t="s">
        <v>234</v>
      </c>
      <c r="N180" s="58" t="s">
        <v>1734</v>
      </c>
      <c r="O180" s="58" t="s">
        <v>2422</v>
      </c>
      <c r="P180" s="58" t="s">
        <v>17</v>
      </c>
    </row>
    <row r="181" spans="1:16" ht="12.5" x14ac:dyDescent="0.25">
      <c r="A181" s="63" t="str">
        <f t="shared" si="1"/>
        <v>007/2022/012.970.464-47</v>
      </c>
      <c r="B181" s="63" t="s">
        <v>2448</v>
      </c>
      <c r="C181" s="65">
        <v>44658.739910520831</v>
      </c>
      <c r="D181" s="63" t="s">
        <v>2449</v>
      </c>
      <c r="E181" s="63"/>
      <c r="F181" s="63" t="s">
        <v>2450</v>
      </c>
      <c r="G181" s="63" t="s">
        <v>2448</v>
      </c>
      <c r="H181" s="63" t="s">
        <v>1747</v>
      </c>
      <c r="I181" s="63" t="s">
        <v>2451</v>
      </c>
      <c r="J181" s="63">
        <v>2022</v>
      </c>
      <c r="K181" s="59" t="s">
        <v>16</v>
      </c>
      <c r="L181" s="59" t="s">
        <v>2452</v>
      </c>
      <c r="M181" s="58" t="s">
        <v>234</v>
      </c>
      <c r="N181" s="58" t="s">
        <v>1734</v>
      </c>
      <c r="O181" s="58" t="s">
        <v>2453</v>
      </c>
      <c r="P181" s="58" t="s">
        <v>16</v>
      </c>
    </row>
    <row r="182" spans="1:16" ht="12.5" x14ac:dyDescent="0.25">
      <c r="A182" s="63" t="str">
        <f t="shared" si="1"/>
        <v>047/2021/043.614.884-60</v>
      </c>
      <c r="B182" s="63" t="s">
        <v>2454</v>
      </c>
      <c r="C182" s="65">
        <v>44658.888623090279</v>
      </c>
      <c r="D182" s="63" t="s">
        <v>2455</v>
      </c>
      <c r="E182" s="63"/>
      <c r="F182" s="63" t="s">
        <v>2456</v>
      </c>
      <c r="G182" s="63" t="s">
        <v>2454</v>
      </c>
      <c r="H182" s="63" t="s">
        <v>1747</v>
      </c>
      <c r="I182" s="63" t="s">
        <v>2188</v>
      </c>
      <c r="J182" s="63">
        <v>2021</v>
      </c>
      <c r="K182" s="59" t="s">
        <v>16</v>
      </c>
      <c r="L182" s="59" t="s">
        <v>2457</v>
      </c>
      <c r="M182" s="58" t="s">
        <v>234</v>
      </c>
      <c r="N182" s="58" t="s">
        <v>1734</v>
      </c>
      <c r="O182" s="58" t="s">
        <v>2190</v>
      </c>
      <c r="P182" s="58" t="s">
        <v>16</v>
      </c>
    </row>
    <row r="183" spans="1:16" ht="12.5" x14ac:dyDescent="0.25">
      <c r="A183" s="63" t="str">
        <f t="shared" si="1"/>
        <v>040/2019/080.957.164-13</v>
      </c>
      <c r="B183" s="63" t="s">
        <v>2458</v>
      </c>
      <c r="C183" s="65">
        <v>44659.759698136579</v>
      </c>
      <c r="D183" s="63" t="s">
        <v>2459</v>
      </c>
      <c r="E183" s="63"/>
      <c r="F183" s="63" t="s">
        <v>2460</v>
      </c>
      <c r="G183" s="63" t="s">
        <v>2458</v>
      </c>
      <c r="H183" s="63" t="s">
        <v>1747</v>
      </c>
      <c r="I183" s="63" t="s">
        <v>1758</v>
      </c>
      <c r="J183" s="63">
        <v>2019</v>
      </c>
      <c r="K183" s="59" t="s">
        <v>16</v>
      </c>
      <c r="L183" s="59" t="s">
        <v>2461</v>
      </c>
      <c r="M183" s="58" t="s">
        <v>234</v>
      </c>
      <c r="N183" s="58" t="s">
        <v>1734</v>
      </c>
      <c r="O183" s="58" t="s">
        <v>1760</v>
      </c>
      <c r="P183" s="58" t="s">
        <v>16</v>
      </c>
    </row>
    <row r="184" spans="1:16" ht="12.5" x14ac:dyDescent="0.25">
      <c r="A184" s="63" t="str">
        <f t="shared" si="1"/>
        <v>011/2021/094.611.364-55</v>
      </c>
      <c r="B184" s="63" t="s">
        <v>2462</v>
      </c>
      <c r="C184" s="65">
        <v>44659.783890324077</v>
      </c>
      <c r="D184" s="63" t="s">
        <v>2463</v>
      </c>
      <c r="E184" s="63"/>
      <c r="F184" s="63" t="s">
        <v>2464</v>
      </c>
      <c r="G184" s="63" t="s">
        <v>2462</v>
      </c>
      <c r="H184" s="63" t="s">
        <v>1747</v>
      </c>
      <c r="I184" s="63" t="s">
        <v>2046</v>
      </c>
      <c r="J184" s="63">
        <v>2021</v>
      </c>
      <c r="K184" s="59" t="s">
        <v>16</v>
      </c>
      <c r="L184" s="59" t="s">
        <v>2465</v>
      </c>
      <c r="M184" s="58" t="s">
        <v>234</v>
      </c>
      <c r="N184" s="58" t="s">
        <v>1734</v>
      </c>
      <c r="O184" s="58" t="s">
        <v>2048</v>
      </c>
      <c r="P184" s="58" t="s">
        <v>16</v>
      </c>
    </row>
    <row r="185" spans="1:16" ht="12.5" x14ac:dyDescent="0.25">
      <c r="A185" s="63" t="str">
        <f t="shared" si="1"/>
        <v>046/2021/105.566.654-06</v>
      </c>
      <c r="B185" s="63" t="s">
        <v>2466</v>
      </c>
      <c r="C185" s="65">
        <v>44663.629103252315</v>
      </c>
      <c r="D185" s="63" t="s">
        <v>2467</v>
      </c>
      <c r="E185" s="63"/>
      <c r="F185" s="63" t="s">
        <v>2468</v>
      </c>
      <c r="G185" s="63" t="s">
        <v>2466</v>
      </c>
      <c r="H185" s="63" t="s">
        <v>1747</v>
      </c>
      <c r="I185" s="63" t="s">
        <v>2017</v>
      </c>
      <c r="J185" s="63">
        <v>2021</v>
      </c>
      <c r="K185" s="59" t="s">
        <v>17</v>
      </c>
      <c r="L185" s="59" t="s">
        <v>2469</v>
      </c>
      <c r="M185" s="58" t="s">
        <v>234</v>
      </c>
      <c r="N185" s="58" t="s">
        <v>1734</v>
      </c>
      <c r="O185" s="58" t="s">
        <v>2145</v>
      </c>
      <c r="P185" s="58" t="s">
        <v>17</v>
      </c>
    </row>
    <row r="186" spans="1:16" ht="12.5" x14ac:dyDescent="0.25">
      <c r="A186" s="63" t="str">
        <f t="shared" si="1"/>
        <v>007/2022/080.658.254-51</v>
      </c>
      <c r="B186" s="63" t="s">
        <v>2470</v>
      </c>
      <c r="C186" s="65">
        <v>44670.68109672454</v>
      </c>
      <c r="D186" s="63" t="s">
        <v>2471</v>
      </c>
      <c r="E186" s="63"/>
      <c r="F186" s="63" t="s">
        <v>2472</v>
      </c>
      <c r="G186" s="63" t="s">
        <v>2470</v>
      </c>
      <c r="H186" s="63" t="s">
        <v>1747</v>
      </c>
      <c r="I186" s="63" t="s">
        <v>2451</v>
      </c>
      <c r="J186" s="63">
        <v>2022</v>
      </c>
      <c r="K186" s="59" t="s">
        <v>16</v>
      </c>
      <c r="L186" s="59" t="s">
        <v>2473</v>
      </c>
      <c r="M186" s="58" t="s">
        <v>234</v>
      </c>
      <c r="N186" s="58" t="s">
        <v>1734</v>
      </c>
      <c r="O186" s="58" t="s">
        <v>2453</v>
      </c>
      <c r="P186" s="58" t="s">
        <v>16</v>
      </c>
    </row>
    <row r="187" spans="1:16" ht="12.5" x14ac:dyDescent="0.25">
      <c r="A187" s="63" t="str">
        <f t="shared" si="1"/>
        <v>002/2022/072.476.044-09</v>
      </c>
      <c r="B187" s="63" t="s">
        <v>2474</v>
      </c>
      <c r="C187" s="65">
        <v>44676.725554062505</v>
      </c>
      <c r="D187" s="63" t="s">
        <v>2475</v>
      </c>
      <c r="E187" s="63"/>
      <c r="F187" s="63" t="s">
        <v>2476</v>
      </c>
      <c r="G187" s="63" t="s">
        <v>2474</v>
      </c>
      <c r="H187" s="63" t="s">
        <v>1747</v>
      </c>
      <c r="I187" s="63" t="s">
        <v>2420</v>
      </c>
      <c r="J187" s="63">
        <v>2022</v>
      </c>
      <c r="K187" s="59" t="s">
        <v>17</v>
      </c>
      <c r="L187" s="59" t="s">
        <v>2477</v>
      </c>
      <c r="M187" s="58" t="s">
        <v>234</v>
      </c>
      <c r="N187" s="58" t="s">
        <v>1734</v>
      </c>
      <c r="O187" s="58" t="s">
        <v>2422</v>
      </c>
      <c r="P187" s="58" t="s">
        <v>17</v>
      </c>
    </row>
    <row r="188" spans="1:16" ht="12.5" x14ac:dyDescent="0.25">
      <c r="A188" s="63" t="str">
        <f t="shared" si="1"/>
        <v>036/2019/071.057.634-00</v>
      </c>
      <c r="B188" s="63" t="s">
        <v>2478</v>
      </c>
      <c r="C188" s="65">
        <v>44677.344765798611</v>
      </c>
      <c r="D188" s="63" t="s">
        <v>2479</v>
      </c>
      <c r="E188" s="63"/>
      <c r="F188" s="63" t="s">
        <v>2480</v>
      </c>
      <c r="G188" s="63" t="s">
        <v>2478</v>
      </c>
      <c r="H188" s="63" t="s">
        <v>1747</v>
      </c>
      <c r="I188" s="63" t="s">
        <v>1748</v>
      </c>
      <c r="J188" s="63">
        <v>2019</v>
      </c>
      <c r="K188" s="59" t="s">
        <v>17</v>
      </c>
      <c r="L188" s="59" t="s">
        <v>2481</v>
      </c>
      <c r="M188" s="58" t="s">
        <v>234</v>
      </c>
      <c r="N188" s="58" t="s">
        <v>1734</v>
      </c>
      <c r="O188" s="58" t="s">
        <v>1750</v>
      </c>
      <c r="P188" s="58" t="s">
        <v>17</v>
      </c>
    </row>
    <row r="189" spans="1:16" ht="12.5" x14ac:dyDescent="0.25">
      <c r="A189" s="63" t="str">
        <f t="shared" si="1"/>
        <v>014/2022/084.917.494-54</v>
      </c>
      <c r="B189" s="63" t="s">
        <v>2482</v>
      </c>
      <c r="C189" s="65">
        <v>44677.630259976853</v>
      </c>
      <c r="D189" s="63" t="s">
        <v>2483</v>
      </c>
      <c r="E189" s="63"/>
      <c r="F189" s="63" t="s">
        <v>2484</v>
      </c>
      <c r="G189" s="63" t="s">
        <v>2482</v>
      </c>
      <c r="H189" s="63" t="s">
        <v>1747</v>
      </c>
      <c r="I189" s="63" t="s">
        <v>1902</v>
      </c>
      <c r="J189" s="63">
        <v>2022</v>
      </c>
      <c r="K189" s="59" t="s">
        <v>17</v>
      </c>
      <c r="L189" s="59" t="s">
        <v>2485</v>
      </c>
      <c r="M189" s="58" t="s">
        <v>234</v>
      </c>
      <c r="N189" s="58" t="s">
        <v>1734</v>
      </c>
      <c r="O189" s="58" t="s">
        <v>2486</v>
      </c>
      <c r="P189" s="58" t="s">
        <v>17</v>
      </c>
    </row>
    <row r="190" spans="1:16" ht="12.5" x14ac:dyDescent="0.25">
      <c r="A190" s="63" t="str">
        <f t="shared" si="1"/>
        <v>047/2021/099.934.334-38</v>
      </c>
      <c r="B190" s="63" t="s">
        <v>2487</v>
      </c>
      <c r="C190" s="65">
        <v>44678.508233900458</v>
      </c>
      <c r="D190" s="63" t="s">
        <v>2488</v>
      </c>
      <c r="E190" s="63"/>
      <c r="F190" s="63" t="s">
        <v>2489</v>
      </c>
      <c r="G190" s="63" t="s">
        <v>2487</v>
      </c>
      <c r="H190" s="63" t="s">
        <v>1747</v>
      </c>
      <c r="I190" s="63" t="s">
        <v>2188</v>
      </c>
      <c r="J190" s="63">
        <v>2021</v>
      </c>
      <c r="K190" s="59" t="s">
        <v>16</v>
      </c>
      <c r="L190" s="59" t="s">
        <v>2490</v>
      </c>
      <c r="M190" s="58" t="s">
        <v>234</v>
      </c>
      <c r="N190" s="58" t="s">
        <v>1734</v>
      </c>
      <c r="O190" s="58" t="s">
        <v>2190</v>
      </c>
      <c r="P190" s="58" t="s">
        <v>16</v>
      </c>
    </row>
    <row r="191" spans="1:16" ht="12.5" x14ac:dyDescent="0.25">
      <c r="A191" s="63" t="str">
        <f t="shared" si="1"/>
        <v>047/2021/099.934.334-38</v>
      </c>
      <c r="B191" s="63" t="s">
        <v>2487</v>
      </c>
      <c r="C191" s="65">
        <v>44678.517963715276</v>
      </c>
      <c r="D191" s="63" t="s">
        <v>2488</v>
      </c>
      <c r="E191" s="63"/>
      <c r="F191" s="63" t="s">
        <v>2489</v>
      </c>
      <c r="G191" s="63" t="s">
        <v>2487</v>
      </c>
      <c r="H191" s="63" t="s">
        <v>1747</v>
      </c>
      <c r="I191" s="63" t="s">
        <v>2188</v>
      </c>
      <c r="J191" s="63">
        <v>2021</v>
      </c>
      <c r="K191" s="59" t="s">
        <v>16</v>
      </c>
      <c r="L191" s="59" t="s">
        <v>2491</v>
      </c>
      <c r="M191" s="58" t="s">
        <v>234</v>
      </c>
      <c r="N191" s="58" t="s">
        <v>1734</v>
      </c>
      <c r="O191" s="58" t="s">
        <v>2190</v>
      </c>
      <c r="P191" s="58" t="s">
        <v>16</v>
      </c>
    </row>
    <row r="192" spans="1:16" ht="12.5" x14ac:dyDescent="0.25">
      <c r="A192" s="63" t="str">
        <f t="shared" si="1"/>
        <v>012/2022/069.432.574-04</v>
      </c>
      <c r="B192" s="63" t="s">
        <v>2492</v>
      </c>
      <c r="C192" s="65">
        <v>44686.773010474542</v>
      </c>
      <c r="D192" s="63" t="s">
        <v>2493</v>
      </c>
      <c r="E192" s="63"/>
      <c r="F192" s="63" t="s">
        <v>2494</v>
      </c>
      <c r="G192" s="63" t="s">
        <v>2492</v>
      </c>
      <c r="H192" s="63" t="s">
        <v>1747</v>
      </c>
      <c r="I192" s="63" t="s">
        <v>2495</v>
      </c>
      <c r="J192" s="63">
        <v>2022</v>
      </c>
      <c r="K192" s="59" t="s">
        <v>16</v>
      </c>
      <c r="L192" s="59" t="s">
        <v>2496</v>
      </c>
      <c r="M192" s="58" t="s">
        <v>234</v>
      </c>
      <c r="N192" s="58" t="s">
        <v>1734</v>
      </c>
      <c r="O192" s="58" t="s">
        <v>2497</v>
      </c>
      <c r="P192" s="58" t="s">
        <v>16</v>
      </c>
    </row>
    <row r="193" spans="1:16" ht="12.5" x14ac:dyDescent="0.25">
      <c r="A193" s="63" t="str">
        <f t="shared" si="1"/>
        <v>011/2021/065.585.514-97</v>
      </c>
      <c r="B193" s="63" t="s">
        <v>2498</v>
      </c>
      <c r="C193" s="65">
        <v>44690.512437129626</v>
      </c>
      <c r="D193" s="63" t="s">
        <v>2499</v>
      </c>
      <c r="E193" s="63"/>
      <c r="F193" s="63" t="s">
        <v>2500</v>
      </c>
      <c r="G193" s="63" t="s">
        <v>2498</v>
      </c>
      <c r="H193" s="63" t="s">
        <v>1747</v>
      </c>
      <c r="I193" s="63" t="s">
        <v>2046</v>
      </c>
      <c r="J193" s="63">
        <v>2021</v>
      </c>
      <c r="K193" s="59" t="s">
        <v>16</v>
      </c>
      <c r="L193" s="59" t="s">
        <v>2501</v>
      </c>
      <c r="M193" s="58" t="s">
        <v>234</v>
      </c>
      <c r="N193" s="58" t="s">
        <v>1734</v>
      </c>
      <c r="O193" s="58" t="s">
        <v>2048</v>
      </c>
      <c r="P193" s="58" t="s">
        <v>16</v>
      </c>
    </row>
    <row r="194" spans="1:16" ht="12.5" x14ac:dyDescent="0.25">
      <c r="A194" s="63" t="str">
        <f t="shared" si="1"/>
        <v>046/2021/040.583.491-82</v>
      </c>
      <c r="B194" s="63" t="s">
        <v>2502</v>
      </c>
      <c r="C194" s="65">
        <v>44692.451231701387</v>
      </c>
      <c r="D194" s="63" t="s">
        <v>2503</v>
      </c>
      <c r="E194" s="63"/>
      <c r="F194" s="63" t="s">
        <v>2504</v>
      </c>
      <c r="G194" s="63" t="s">
        <v>2502</v>
      </c>
      <c r="H194" s="63" t="s">
        <v>1747</v>
      </c>
      <c r="I194" s="63" t="s">
        <v>2017</v>
      </c>
      <c r="J194" s="63">
        <v>2021</v>
      </c>
      <c r="K194" s="59" t="s">
        <v>232</v>
      </c>
      <c r="L194" s="59" t="s">
        <v>2505</v>
      </c>
      <c r="M194" s="58" t="s">
        <v>234</v>
      </c>
      <c r="N194" s="58" t="s">
        <v>1734</v>
      </c>
      <c r="O194" s="58" t="s">
        <v>2145</v>
      </c>
      <c r="P194" s="58" t="s">
        <v>232</v>
      </c>
    </row>
    <row r="195" spans="1:16" ht="12.5" x14ac:dyDescent="0.25">
      <c r="A195" s="63" t="str">
        <f t="shared" si="1"/>
        <v>015/2022/057.938.514-02</v>
      </c>
      <c r="B195" s="63" t="s">
        <v>2506</v>
      </c>
      <c r="C195" s="65">
        <v>44702.628223414351</v>
      </c>
      <c r="D195" s="63" t="s">
        <v>2507</v>
      </c>
      <c r="E195" s="63"/>
      <c r="F195" s="63" t="s">
        <v>2508</v>
      </c>
      <c r="G195" s="63" t="s">
        <v>2506</v>
      </c>
      <c r="H195" s="63" t="s">
        <v>1747</v>
      </c>
      <c r="I195" s="63" t="s">
        <v>2509</v>
      </c>
      <c r="J195" s="63">
        <v>2022</v>
      </c>
      <c r="K195" s="59" t="s">
        <v>16</v>
      </c>
      <c r="L195" s="59" t="s">
        <v>2510</v>
      </c>
      <c r="M195" s="58" t="s">
        <v>234</v>
      </c>
      <c r="N195" s="58" t="s">
        <v>1734</v>
      </c>
      <c r="O195" s="58" t="s">
        <v>2511</v>
      </c>
      <c r="P195" s="58" t="s">
        <v>16</v>
      </c>
    </row>
    <row r="196" spans="1:16" ht="12.5" x14ac:dyDescent="0.25">
      <c r="A196" s="63" t="str">
        <f t="shared" si="1"/>
        <v>011/2022/760.161.884-68</v>
      </c>
      <c r="B196" s="63" t="s">
        <v>2512</v>
      </c>
      <c r="C196" s="65">
        <v>44703.391952708334</v>
      </c>
      <c r="D196" s="63" t="s">
        <v>2513</v>
      </c>
      <c r="E196" s="63"/>
      <c r="F196" s="63" t="s">
        <v>2514</v>
      </c>
      <c r="G196" s="63" t="s">
        <v>2512</v>
      </c>
      <c r="H196" s="63" t="s">
        <v>1747</v>
      </c>
      <c r="I196" s="63" t="s">
        <v>2046</v>
      </c>
      <c r="J196" s="63">
        <v>2022</v>
      </c>
      <c r="K196" s="59" t="s">
        <v>17</v>
      </c>
      <c r="L196" s="59" t="s">
        <v>2515</v>
      </c>
      <c r="M196" s="58" t="s">
        <v>234</v>
      </c>
      <c r="N196" s="58" t="s">
        <v>1734</v>
      </c>
      <c r="O196" s="58" t="s">
        <v>2516</v>
      </c>
      <c r="P196" s="58" t="s">
        <v>17</v>
      </c>
    </row>
    <row r="197" spans="1:16" ht="12.5" x14ac:dyDescent="0.25">
      <c r="A197" s="63" t="str">
        <f t="shared" si="1"/>
        <v>002/2022/050.965.714-16</v>
      </c>
      <c r="B197" s="63" t="s">
        <v>2517</v>
      </c>
      <c r="C197" s="65">
        <v>44708.333761087968</v>
      </c>
      <c r="D197" s="63" t="s">
        <v>2518</v>
      </c>
      <c r="E197" s="63"/>
      <c r="F197" s="63" t="s">
        <v>2519</v>
      </c>
      <c r="G197" s="63" t="s">
        <v>2517</v>
      </c>
      <c r="H197" s="63" t="s">
        <v>1747</v>
      </c>
      <c r="I197" s="63" t="s">
        <v>2420</v>
      </c>
      <c r="J197" s="63">
        <v>2022</v>
      </c>
      <c r="K197" s="59" t="s">
        <v>17</v>
      </c>
      <c r="L197" s="59" t="s">
        <v>2520</v>
      </c>
      <c r="M197" s="58" t="s">
        <v>234</v>
      </c>
      <c r="N197" s="58" t="s">
        <v>1734</v>
      </c>
      <c r="O197" s="58" t="s">
        <v>2422</v>
      </c>
      <c r="P197" s="58" t="s">
        <v>17</v>
      </c>
    </row>
    <row r="198" spans="1:16" ht="12.5" x14ac:dyDescent="0.25">
      <c r="A198" s="63" t="str">
        <f t="shared" si="1"/>
        <v>002/2022/727.349.494-15</v>
      </c>
      <c r="B198" s="63" t="s">
        <v>2521</v>
      </c>
      <c r="C198" s="65">
        <v>44712.449604733796</v>
      </c>
      <c r="D198" s="63" t="s">
        <v>2522</v>
      </c>
      <c r="E198" s="63"/>
      <c r="F198" s="63" t="s">
        <v>2523</v>
      </c>
      <c r="G198" s="63" t="s">
        <v>2521</v>
      </c>
      <c r="H198" s="63" t="s">
        <v>1747</v>
      </c>
      <c r="I198" s="63" t="s">
        <v>2420</v>
      </c>
      <c r="J198" s="63">
        <v>2022</v>
      </c>
      <c r="K198" s="59" t="s">
        <v>17</v>
      </c>
      <c r="L198" s="59" t="s">
        <v>2524</v>
      </c>
      <c r="M198" s="58" t="s">
        <v>234</v>
      </c>
      <c r="N198" s="58" t="s">
        <v>1734</v>
      </c>
      <c r="O198" s="58" t="s">
        <v>2422</v>
      </c>
      <c r="P198" s="58" t="s">
        <v>17</v>
      </c>
    </row>
    <row r="199" spans="1:16" ht="12.5" x14ac:dyDescent="0.25">
      <c r="A199" s="63" t="str">
        <f t="shared" si="1"/>
        <v>046/2021/058.883.914-09</v>
      </c>
      <c r="B199" s="63" t="s">
        <v>2525</v>
      </c>
      <c r="C199" s="65">
        <v>44720.360898043982</v>
      </c>
      <c r="D199" s="63" t="s">
        <v>2526</v>
      </c>
      <c r="E199" s="63" t="s">
        <v>2527</v>
      </c>
      <c r="F199" s="63" t="s">
        <v>2527</v>
      </c>
      <c r="G199" s="63" t="s">
        <v>2525</v>
      </c>
      <c r="H199" s="63" t="s">
        <v>1740</v>
      </c>
      <c r="I199" s="63" t="s">
        <v>2017</v>
      </c>
      <c r="J199" s="63">
        <v>2021</v>
      </c>
      <c r="K199" s="59" t="s">
        <v>17</v>
      </c>
      <c r="L199" s="59" t="s">
        <v>2528</v>
      </c>
      <c r="M199" s="58" t="s">
        <v>234</v>
      </c>
      <c r="N199" s="58" t="s">
        <v>1734</v>
      </c>
      <c r="O199" s="58" t="s">
        <v>2145</v>
      </c>
      <c r="P199" s="58" t="s">
        <v>17</v>
      </c>
    </row>
    <row r="200" spans="1:16" ht="12.5" x14ac:dyDescent="0.25">
      <c r="A200" s="63" t="str">
        <f t="shared" si="1"/>
        <v>014/2022/350.221.108-65</v>
      </c>
      <c r="B200" s="63" t="s">
        <v>2529</v>
      </c>
      <c r="C200" s="65">
        <v>44721.568507743053</v>
      </c>
      <c r="D200" s="63" t="s">
        <v>2530</v>
      </c>
      <c r="E200" s="63"/>
      <c r="F200" s="63" t="s">
        <v>2531</v>
      </c>
      <c r="G200" s="63" t="s">
        <v>2529</v>
      </c>
      <c r="H200" s="63" t="s">
        <v>1747</v>
      </c>
      <c r="I200" s="63" t="s">
        <v>1902</v>
      </c>
      <c r="J200" s="63">
        <v>2022</v>
      </c>
      <c r="K200" s="59" t="s">
        <v>17</v>
      </c>
      <c r="L200" s="59" t="s">
        <v>2532</v>
      </c>
      <c r="M200" s="58" t="s">
        <v>234</v>
      </c>
      <c r="N200" s="58" t="s">
        <v>1734</v>
      </c>
      <c r="O200" s="58" t="s">
        <v>2486</v>
      </c>
      <c r="P200" s="58" t="s">
        <v>17</v>
      </c>
    </row>
    <row r="201" spans="1:16" ht="12.5" x14ac:dyDescent="0.25">
      <c r="A201" s="63" t="str">
        <f t="shared" si="1"/>
        <v>046/2021/873.852.794-49</v>
      </c>
      <c r="B201" s="63" t="s">
        <v>2533</v>
      </c>
      <c r="C201" s="65">
        <v>44722.96160678241</v>
      </c>
      <c r="D201" s="63" t="s">
        <v>2534</v>
      </c>
      <c r="E201" s="63"/>
      <c r="F201" s="63" t="s">
        <v>2535</v>
      </c>
      <c r="G201" s="63" t="s">
        <v>2533</v>
      </c>
      <c r="H201" s="63" t="s">
        <v>1747</v>
      </c>
      <c r="I201" s="63" t="s">
        <v>2017</v>
      </c>
      <c r="J201" s="63">
        <v>2021</v>
      </c>
      <c r="K201" s="59" t="s">
        <v>17</v>
      </c>
      <c r="L201" s="59" t="s">
        <v>2536</v>
      </c>
      <c r="M201" s="58" t="s">
        <v>2537</v>
      </c>
      <c r="N201" s="58" t="s">
        <v>1734</v>
      </c>
      <c r="O201" s="58" t="s">
        <v>2145</v>
      </c>
      <c r="P201" s="58" t="s">
        <v>17</v>
      </c>
    </row>
    <row r="202" spans="1:16" ht="12.5" x14ac:dyDescent="0.25">
      <c r="A202" s="63" t="str">
        <f t="shared" si="1"/>
        <v>046/2021/873.852.794-49</v>
      </c>
      <c r="B202" s="63" t="s">
        <v>2533</v>
      </c>
      <c r="C202" s="65">
        <v>44725.574984027779</v>
      </c>
      <c r="D202" s="63" t="s">
        <v>2534</v>
      </c>
      <c r="E202" s="63"/>
      <c r="F202" s="63" t="s">
        <v>2535</v>
      </c>
      <c r="G202" s="63" t="s">
        <v>2533</v>
      </c>
      <c r="H202" s="63" t="s">
        <v>1747</v>
      </c>
      <c r="I202" s="63" t="s">
        <v>2017</v>
      </c>
      <c r="J202" s="63">
        <v>2021</v>
      </c>
      <c r="K202" s="59" t="s">
        <v>17</v>
      </c>
      <c r="L202" s="59" t="s">
        <v>2538</v>
      </c>
      <c r="M202" s="58" t="s">
        <v>234</v>
      </c>
      <c r="N202" s="58" t="s">
        <v>1734</v>
      </c>
      <c r="O202" s="58" t="s">
        <v>2145</v>
      </c>
      <c r="P202" s="58" t="s">
        <v>17</v>
      </c>
    </row>
    <row r="203" spans="1:16" ht="12.5" x14ac:dyDescent="0.25">
      <c r="A203" s="63" t="str">
        <f t="shared" si="1"/>
        <v>019/2022/008.949.844-54</v>
      </c>
      <c r="B203" s="63" t="s">
        <v>2539</v>
      </c>
      <c r="C203" s="65">
        <v>44726.859391597223</v>
      </c>
      <c r="D203" s="63" t="s">
        <v>2540</v>
      </c>
      <c r="E203" s="63"/>
      <c r="F203" s="63" t="s">
        <v>2541</v>
      </c>
      <c r="G203" s="63" t="s">
        <v>2539</v>
      </c>
      <c r="H203" s="63" t="s">
        <v>1747</v>
      </c>
      <c r="I203" s="63" t="s">
        <v>2256</v>
      </c>
      <c r="J203" s="63">
        <v>2022</v>
      </c>
      <c r="K203" s="59" t="s">
        <v>16</v>
      </c>
      <c r="L203" s="59" t="s">
        <v>2542</v>
      </c>
      <c r="M203" s="58" t="s">
        <v>2537</v>
      </c>
      <c r="P203" s="58" t="s">
        <v>16</v>
      </c>
    </row>
    <row r="204" spans="1:16" ht="12.5" x14ac:dyDescent="0.25">
      <c r="A204" s="63" t="str">
        <f t="shared" si="1"/>
        <v>019/2022/008.949.844-54</v>
      </c>
      <c r="B204" s="63" t="s">
        <v>2539</v>
      </c>
      <c r="C204" s="65">
        <v>44726.863769872682</v>
      </c>
      <c r="D204" s="63" t="s">
        <v>2540</v>
      </c>
      <c r="E204" s="63"/>
      <c r="F204" s="63" t="s">
        <v>2541</v>
      </c>
      <c r="G204" s="63" t="s">
        <v>2539</v>
      </c>
      <c r="H204" s="63" t="s">
        <v>1747</v>
      </c>
      <c r="I204" s="63" t="s">
        <v>2256</v>
      </c>
      <c r="J204" s="63">
        <v>2022</v>
      </c>
      <c r="K204" s="59" t="s">
        <v>16</v>
      </c>
      <c r="L204" s="59" t="s">
        <v>2543</v>
      </c>
      <c r="M204" s="58" t="s">
        <v>2537</v>
      </c>
      <c r="P204" s="58" t="s">
        <v>16</v>
      </c>
    </row>
    <row r="205" spans="1:16" ht="12.5" x14ac:dyDescent="0.25">
      <c r="A205" s="63" t="str">
        <f t="shared" si="1"/>
        <v>010/2022/061.163.273-03</v>
      </c>
      <c r="B205" s="63" t="s">
        <v>2544</v>
      </c>
      <c r="C205" s="65">
        <v>44729.675698854167</v>
      </c>
      <c r="D205" s="63" t="s">
        <v>2545</v>
      </c>
      <c r="E205" s="63"/>
      <c r="F205" s="63" t="s">
        <v>2546</v>
      </c>
      <c r="G205" s="63" t="s">
        <v>2544</v>
      </c>
      <c r="H205" s="63" t="s">
        <v>1747</v>
      </c>
      <c r="I205" s="63" t="s">
        <v>2547</v>
      </c>
      <c r="J205" s="63">
        <v>2022</v>
      </c>
      <c r="K205" s="59" t="s">
        <v>16</v>
      </c>
      <c r="L205" s="59" t="s">
        <v>2548</v>
      </c>
      <c r="M205" s="58" t="s">
        <v>234</v>
      </c>
      <c r="N205" s="58" t="s">
        <v>1734</v>
      </c>
      <c r="O205" s="58" t="s">
        <v>2549</v>
      </c>
      <c r="P205" s="58" t="s">
        <v>16</v>
      </c>
    </row>
    <row r="206" spans="1:16" ht="12.5" x14ac:dyDescent="0.25">
      <c r="A206" s="63" t="str">
        <f t="shared" si="1"/>
        <v>002/2022/080.611.294-85</v>
      </c>
      <c r="B206" s="63" t="s">
        <v>2301</v>
      </c>
      <c r="C206" s="65">
        <v>44741.717200312502</v>
      </c>
      <c r="D206" s="63" t="s">
        <v>2352</v>
      </c>
      <c r="E206" s="63"/>
      <c r="F206" s="63" t="s">
        <v>2304</v>
      </c>
      <c r="G206" s="63" t="s">
        <v>2301</v>
      </c>
      <c r="H206" s="63" t="s">
        <v>1747</v>
      </c>
      <c r="I206" s="63" t="s">
        <v>2420</v>
      </c>
      <c r="J206" s="63">
        <v>2022</v>
      </c>
      <c r="K206" s="59" t="s">
        <v>17</v>
      </c>
      <c r="L206" s="59" t="s">
        <v>2550</v>
      </c>
      <c r="M206" s="58" t="s">
        <v>234</v>
      </c>
      <c r="N206" s="58" t="s">
        <v>1734</v>
      </c>
      <c r="O206" s="58" t="s">
        <v>2422</v>
      </c>
      <c r="P206" s="58" t="s">
        <v>17</v>
      </c>
    </row>
    <row r="207" spans="1:16" ht="12.5" x14ac:dyDescent="0.25">
      <c r="A207" s="63" t="str">
        <f t="shared" si="1"/>
        <v>020/2022/016.713.464-75</v>
      </c>
      <c r="B207" s="63" t="s">
        <v>2026</v>
      </c>
      <c r="C207" s="65">
        <v>44743.437495706021</v>
      </c>
      <c r="D207" s="63" t="s">
        <v>2027</v>
      </c>
      <c r="E207" s="63"/>
      <c r="F207" s="63" t="s">
        <v>2028</v>
      </c>
      <c r="G207" s="63" t="s">
        <v>2026</v>
      </c>
      <c r="H207" s="63" t="s">
        <v>1747</v>
      </c>
      <c r="I207" s="63" t="s">
        <v>2551</v>
      </c>
      <c r="J207" s="63">
        <v>2022</v>
      </c>
      <c r="K207" s="59" t="s">
        <v>16</v>
      </c>
      <c r="L207" s="59" t="s">
        <v>2552</v>
      </c>
      <c r="M207" s="58" t="s">
        <v>234</v>
      </c>
      <c r="N207" s="58" t="s">
        <v>1734</v>
      </c>
      <c r="O207" s="58" t="s">
        <v>2553</v>
      </c>
      <c r="P207" s="58" t="s">
        <v>16</v>
      </c>
    </row>
    <row r="208" spans="1:16" ht="12.5" x14ac:dyDescent="0.25">
      <c r="A208" s="63" t="str">
        <f t="shared" si="1"/>
        <v>004/2022/082.807.394-59</v>
      </c>
      <c r="B208" s="63" t="s">
        <v>2427</v>
      </c>
      <c r="C208" s="65">
        <v>44745.456784108799</v>
      </c>
      <c r="D208" s="63" t="s">
        <v>2428</v>
      </c>
      <c r="E208" s="63"/>
      <c r="F208" s="63" t="s">
        <v>2429</v>
      </c>
      <c r="G208" s="63" t="s">
        <v>2427</v>
      </c>
      <c r="H208" s="63" t="s">
        <v>1747</v>
      </c>
      <c r="I208" s="63" t="s">
        <v>1776</v>
      </c>
      <c r="J208" s="63">
        <v>2022</v>
      </c>
      <c r="K208" s="59" t="s">
        <v>17</v>
      </c>
      <c r="L208" s="59" t="s">
        <v>2554</v>
      </c>
      <c r="M208" s="58" t="s">
        <v>234</v>
      </c>
      <c r="N208" s="58" t="s">
        <v>1734</v>
      </c>
      <c r="O208" s="58" t="s">
        <v>2555</v>
      </c>
      <c r="P208" s="58" t="s">
        <v>17</v>
      </c>
    </row>
    <row r="209" spans="1:16" ht="12.5" x14ac:dyDescent="0.25">
      <c r="A209" s="63" t="str">
        <f t="shared" si="1"/>
        <v>025/2022/873.852.794-49</v>
      </c>
      <c r="B209" s="63" t="s">
        <v>2533</v>
      </c>
      <c r="C209" s="65">
        <v>44745.674692986111</v>
      </c>
      <c r="D209" s="63" t="s">
        <v>2534</v>
      </c>
      <c r="E209" s="63"/>
      <c r="F209" s="63" t="s">
        <v>2535</v>
      </c>
      <c r="G209" s="63" t="s">
        <v>2533</v>
      </c>
      <c r="H209" s="63" t="s">
        <v>1747</v>
      </c>
      <c r="I209" s="63" t="s">
        <v>2556</v>
      </c>
      <c r="J209" s="63">
        <v>2022</v>
      </c>
      <c r="K209" s="59" t="s">
        <v>17</v>
      </c>
      <c r="L209" s="59" t="s">
        <v>2557</v>
      </c>
      <c r="M209" s="58" t="s">
        <v>234</v>
      </c>
      <c r="N209" s="58" t="s">
        <v>1734</v>
      </c>
      <c r="O209" s="58" t="s">
        <v>2558</v>
      </c>
      <c r="P209" s="58" t="s">
        <v>17</v>
      </c>
    </row>
    <row r="210" spans="1:16" ht="12.5" x14ac:dyDescent="0.25">
      <c r="A210" s="63" t="str">
        <f t="shared" si="1"/>
        <v>022/2022/107.614.694-51</v>
      </c>
      <c r="B210" s="63" t="s">
        <v>2559</v>
      </c>
      <c r="C210" s="65">
        <v>44746.551560578708</v>
      </c>
      <c r="D210" s="63" t="s">
        <v>2560</v>
      </c>
      <c r="E210" s="63"/>
      <c r="F210" s="63" t="s">
        <v>2561</v>
      </c>
      <c r="G210" s="63" t="s">
        <v>2559</v>
      </c>
      <c r="H210" s="63" t="s">
        <v>1747</v>
      </c>
      <c r="I210" s="63" t="s">
        <v>2562</v>
      </c>
      <c r="J210" s="63">
        <v>2022</v>
      </c>
      <c r="K210" s="59" t="s">
        <v>17</v>
      </c>
      <c r="L210" s="59" t="s">
        <v>2563</v>
      </c>
      <c r="M210" s="58" t="s">
        <v>234</v>
      </c>
      <c r="N210" s="58" t="s">
        <v>1734</v>
      </c>
      <c r="O210" s="58" t="s">
        <v>2564</v>
      </c>
      <c r="P210" s="58" t="s">
        <v>17</v>
      </c>
    </row>
    <row r="211" spans="1:16" ht="12.5" x14ac:dyDescent="0.25">
      <c r="A211" s="63" t="str">
        <f t="shared" si="1"/>
        <v>022/2022/034.007.064-18</v>
      </c>
      <c r="B211" s="63" t="s">
        <v>2565</v>
      </c>
      <c r="C211" s="65">
        <v>44748.418122083334</v>
      </c>
      <c r="D211" s="63" t="s">
        <v>2566</v>
      </c>
      <c r="E211" s="63"/>
      <c r="F211" s="63" t="s">
        <v>2567</v>
      </c>
      <c r="G211" s="63" t="s">
        <v>2565</v>
      </c>
      <c r="H211" s="63" t="s">
        <v>1747</v>
      </c>
      <c r="I211" s="63" t="s">
        <v>2562</v>
      </c>
      <c r="J211" s="63">
        <v>2022</v>
      </c>
      <c r="K211" s="59" t="s">
        <v>232</v>
      </c>
      <c r="L211" s="59" t="s">
        <v>2568</v>
      </c>
      <c r="M211" s="58" t="s">
        <v>234</v>
      </c>
      <c r="N211" s="58" t="s">
        <v>1734</v>
      </c>
      <c r="O211" s="58" t="s">
        <v>2564</v>
      </c>
      <c r="P211" s="58" t="s">
        <v>232</v>
      </c>
    </row>
    <row r="212" spans="1:16" ht="12.5" x14ac:dyDescent="0.25">
      <c r="A212" s="63" t="str">
        <f t="shared" si="1"/>
        <v>011/2022/102.374.944-00</v>
      </c>
      <c r="B212" s="63" t="s">
        <v>2569</v>
      </c>
      <c r="C212" s="65">
        <v>44747.771492083339</v>
      </c>
      <c r="D212" s="63" t="s">
        <v>2570</v>
      </c>
      <c r="E212" s="63"/>
      <c r="F212" s="63" t="s">
        <v>2571</v>
      </c>
      <c r="G212" s="63" t="s">
        <v>2569</v>
      </c>
      <c r="H212" s="63" t="s">
        <v>1747</v>
      </c>
      <c r="I212" s="63" t="s">
        <v>2046</v>
      </c>
      <c r="J212" s="63">
        <v>2022</v>
      </c>
      <c r="K212" s="59" t="s">
        <v>17</v>
      </c>
      <c r="L212" s="59" t="s">
        <v>2572</v>
      </c>
      <c r="M212" s="58" t="s">
        <v>234</v>
      </c>
      <c r="N212" s="58" t="s">
        <v>1734</v>
      </c>
      <c r="O212" s="58" t="s">
        <v>2516</v>
      </c>
      <c r="P212" s="58" t="s">
        <v>17</v>
      </c>
    </row>
    <row r="213" spans="1:16" ht="12.5" x14ac:dyDescent="0.25">
      <c r="A213" s="63" t="str">
        <f t="shared" si="1"/>
        <v>022/2022/104.382.414-60</v>
      </c>
      <c r="B213" s="63" t="s">
        <v>2573</v>
      </c>
      <c r="C213" s="65">
        <v>44748.951850034719</v>
      </c>
      <c r="D213" s="63" t="s">
        <v>2574</v>
      </c>
      <c r="E213" s="63"/>
      <c r="F213" s="63" t="s">
        <v>2575</v>
      </c>
      <c r="G213" s="63" t="s">
        <v>2573</v>
      </c>
      <c r="H213" s="63" t="s">
        <v>1747</v>
      </c>
      <c r="I213" s="63" t="s">
        <v>2562</v>
      </c>
      <c r="J213" s="63">
        <v>2022</v>
      </c>
      <c r="K213" s="59" t="s">
        <v>232</v>
      </c>
      <c r="L213" s="59" t="s">
        <v>2576</v>
      </c>
      <c r="M213" s="58" t="s">
        <v>234</v>
      </c>
      <c r="N213" s="58" t="s">
        <v>1734</v>
      </c>
      <c r="O213" s="58" t="s">
        <v>2564</v>
      </c>
      <c r="P213" s="58" t="s">
        <v>232</v>
      </c>
    </row>
    <row r="214" spans="1:16" ht="12.5" x14ac:dyDescent="0.25">
      <c r="A214" s="63" t="str">
        <f t="shared" si="1"/>
        <v>022/2022/108.853.774-00</v>
      </c>
      <c r="B214" s="63" t="s">
        <v>2577</v>
      </c>
      <c r="C214" s="65">
        <v>44753.344595740738</v>
      </c>
      <c r="D214" s="63" t="s">
        <v>2578</v>
      </c>
      <c r="E214" s="63"/>
      <c r="F214" s="63" t="s">
        <v>2579</v>
      </c>
      <c r="G214" s="63" t="s">
        <v>2577</v>
      </c>
      <c r="H214" s="63" t="s">
        <v>1747</v>
      </c>
      <c r="I214" s="63" t="s">
        <v>2562</v>
      </c>
      <c r="J214" s="63">
        <v>2022</v>
      </c>
      <c r="K214" s="59" t="s">
        <v>232</v>
      </c>
      <c r="L214" s="59" t="s">
        <v>2580</v>
      </c>
      <c r="M214" s="58" t="s">
        <v>234</v>
      </c>
      <c r="N214" s="58" t="s">
        <v>1734</v>
      </c>
      <c r="O214" s="58" t="s">
        <v>2564</v>
      </c>
      <c r="P214" s="58" t="s">
        <v>232</v>
      </c>
    </row>
    <row r="215" spans="1:16" ht="12.5" x14ac:dyDescent="0.25">
      <c r="A215" s="63" t="str">
        <f t="shared" si="1"/>
        <v>002/2022/048.045.731-00</v>
      </c>
      <c r="B215" s="63" t="s">
        <v>2581</v>
      </c>
      <c r="C215" s="65">
        <v>44749.914370162034</v>
      </c>
      <c r="D215" s="63" t="s">
        <v>2582</v>
      </c>
      <c r="E215" s="63"/>
      <c r="F215" s="63" t="s">
        <v>2583</v>
      </c>
      <c r="G215" s="63" t="s">
        <v>2581</v>
      </c>
      <c r="H215" s="63" t="s">
        <v>1747</v>
      </c>
      <c r="I215" s="63" t="s">
        <v>2420</v>
      </c>
      <c r="J215" s="63">
        <v>2022</v>
      </c>
      <c r="K215" s="59" t="s">
        <v>17</v>
      </c>
      <c r="L215" s="59" t="s">
        <v>2584</v>
      </c>
      <c r="M215" s="58" t="s">
        <v>234</v>
      </c>
      <c r="N215" s="58" t="s">
        <v>1734</v>
      </c>
      <c r="O215" s="58" t="s">
        <v>2422</v>
      </c>
      <c r="P215" s="58" t="s">
        <v>17</v>
      </c>
    </row>
    <row r="216" spans="1:16" ht="12.5" x14ac:dyDescent="0.25">
      <c r="A216" s="63" t="str">
        <f t="shared" si="1"/>
        <v>010/2022/090.489.944-62</v>
      </c>
      <c r="B216" s="63" t="s">
        <v>2585</v>
      </c>
      <c r="C216" s="65">
        <v>44750.388943437501</v>
      </c>
      <c r="D216" s="63" t="s">
        <v>2586</v>
      </c>
      <c r="E216" s="63"/>
      <c r="F216" s="63" t="s">
        <v>2587</v>
      </c>
      <c r="G216" s="63" t="s">
        <v>2585</v>
      </c>
      <c r="H216" s="63" t="s">
        <v>1747</v>
      </c>
      <c r="I216" s="63" t="s">
        <v>2547</v>
      </c>
      <c r="J216" s="63">
        <v>2022</v>
      </c>
      <c r="K216" s="59" t="s">
        <v>16</v>
      </c>
      <c r="L216" s="59" t="s">
        <v>2588</v>
      </c>
      <c r="M216" s="58" t="s">
        <v>234</v>
      </c>
      <c r="N216" s="58" t="s">
        <v>1734</v>
      </c>
      <c r="O216" s="58" t="s">
        <v>2549</v>
      </c>
      <c r="P216" s="58" t="s">
        <v>16</v>
      </c>
    </row>
    <row r="217" spans="1:16" ht="12.5" x14ac:dyDescent="0.25">
      <c r="A217" s="63" t="str">
        <f t="shared" si="1"/>
        <v>022/2022/089.937.794-73</v>
      </c>
      <c r="B217" s="63" t="s">
        <v>2589</v>
      </c>
      <c r="C217" s="65">
        <v>44753.381152199072</v>
      </c>
      <c r="D217" s="63" t="s">
        <v>2590</v>
      </c>
      <c r="E217" s="63" t="s">
        <v>2590</v>
      </c>
      <c r="F217" s="63" t="s">
        <v>2591</v>
      </c>
      <c r="G217" s="63" t="s">
        <v>2589</v>
      </c>
      <c r="H217" s="63" t="s">
        <v>1740</v>
      </c>
      <c r="I217" s="63" t="s">
        <v>2562</v>
      </c>
      <c r="J217" s="63">
        <v>2022</v>
      </c>
      <c r="K217" s="59" t="s">
        <v>17</v>
      </c>
      <c r="L217" s="59" t="s">
        <v>2592</v>
      </c>
      <c r="M217" s="58" t="s">
        <v>234</v>
      </c>
      <c r="N217" s="58" t="s">
        <v>1734</v>
      </c>
      <c r="O217" s="58" t="s">
        <v>2564</v>
      </c>
      <c r="P217" s="58" t="s">
        <v>17</v>
      </c>
    </row>
    <row r="218" spans="1:16" ht="12.5" x14ac:dyDescent="0.25">
      <c r="A218" s="63" t="str">
        <f t="shared" si="1"/>
        <v>023/2022/092.963.474-83</v>
      </c>
      <c r="B218" s="63" t="s">
        <v>2593</v>
      </c>
      <c r="C218" s="65">
        <v>44747.608840868052</v>
      </c>
      <c r="D218" s="63" t="s">
        <v>2594</v>
      </c>
      <c r="E218" s="63"/>
      <c r="F218" s="63" t="s">
        <v>2595</v>
      </c>
      <c r="G218" s="63" t="s">
        <v>2593</v>
      </c>
      <c r="H218" s="63" t="s">
        <v>1747</v>
      </c>
      <c r="I218" s="63" t="s">
        <v>2596</v>
      </c>
      <c r="J218" s="63">
        <v>2022</v>
      </c>
      <c r="K218" s="59" t="s">
        <v>16</v>
      </c>
      <c r="L218" s="59" t="s">
        <v>2597</v>
      </c>
      <c r="M218" s="58" t="s">
        <v>234</v>
      </c>
      <c r="N218" s="58" t="s">
        <v>1734</v>
      </c>
      <c r="O218" s="58" t="s">
        <v>2598</v>
      </c>
      <c r="P218" s="58" t="s">
        <v>16</v>
      </c>
    </row>
    <row r="219" spans="1:16" ht="12.5" x14ac:dyDescent="0.25">
      <c r="A219" s="63" t="str">
        <f t="shared" si="1"/>
        <v>046/2021/075.301.864-00</v>
      </c>
      <c r="B219" s="63" t="s">
        <v>2599</v>
      </c>
      <c r="C219" s="65">
        <v>44753.863562442129</v>
      </c>
      <c r="D219" s="63" t="s">
        <v>2600</v>
      </c>
      <c r="E219" s="63"/>
      <c r="F219" s="63" t="s">
        <v>2601</v>
      </c>
      <c r="G219" s="63" t="s">
        <v>2599</v>
      </c>
      <c r="H219" s="63" t="s">
        <v>1747</v>
      </c>
      <c r="I219" s="63" t="s">
        <v>2017</v>
      </c>
      <c r="J219" s="63">
        <v>2021</v>
      </c>
      <c r="K219" s="59" t="s">
        <v>17</v>
      </c>
      <c r="L219" s="59" t="s">
        <v>2602</v>
      </c>
      <c r="M219" s="58" t="s">
        <v>234</v>
      </c>
      <c r="N219" s="58" t="s">
        <v>1734</v>
      </c>
      <c r="O219" s="58" t="s">
        <v>2145</v>
      </c>
      <c r="P219" s="58" t="s">
        <v>17</v>
      </c>
    </row>
    <row r="220" spans="1:16" ht="12.5" x14ac:dyDescent="0.25">
      <c r="A220" s="63" t="str">
        <f t="shared" si="1"/>
        <v>020/2022/074.545.174-80</v>
      </c>
      <c r="B220" s="63" t="s">
        <v>2603</v>
      </c>
      <c r="C220" s="65">
        <v>44753.922275034725</v>
      </c>
      <c r="D220" s="63" t="s">
        <v>2604</v>
      </c>
      <c r="E220" s="63"/>
      <c r="F220" s="63" t="s">
        <v>2605</v>
      </c>
      <c r="G220" s="63" t="s">
        <v>2603</v>
      </c>
      <c r="H220" s="63" t="s">
        <v>1747</v>
      </c>
      <c r="I220" s="63" t="s">
        <v>2551</v>
      </c>
      <c r="J220" s="63">
        <v>2022</v>
      </c>
      <c r="K220" s="59" t="s">
        <v>16</v>
      </c>
      <c r="L220" s="59" t="s">
        <v>2606</v>
      </c>
      <c r="M220" s="58" t="s">
        <v>234</v>
      </c>
      <c r="N220" s="58" t="s">
        <v>1734</v>
      </c>
      <c r="O220" s="58" t="s">
        <v>2553</v>
      </c>
      <c r="P220" s="58" t="s">
        <v>16</v>
      </c>
    </row>
    <row r="221" spans="1:16" ht="12.5" x14ac:dyDescent="0.25">
      <c r="A221" s="63" t="str">
        <f t="shared" si="1"/>
        <v>046/2021/075.301.864-00</v>
      </c>
      <c r="B221" s="63" t="s">
        <v>2599</v>
      </c>
      <c r="C221" s="65">
        <v>44754.820414062502</v>
      </c>
      <c r="D221" s="63" t="s">
        <v>2607</v>
      </c>
      <c r="E221" s="63"/>
      <c r="F221" s="63" t="s">
        <v>2608</v>
      </c>
      <c r="G221" s="63" t="s">
        <v>2599</v>
      </c>
      <c r="H221" s="63" t="s">
        <v>1747</v>
      </c>
      <c r="I221" s="63" t="s">
        <v>2017</v>
      </c>
      <c r="J221" s="63">
        <v>2021</v>
      </c>
      <c r="K221" s="59" t="s">
        <v>17</v>
      </c>
      <c r="L221" s="59" t="s">
        <v>2609</v>
      </c>
      <c r="M221" s="58" t="s">
        <v>234</v>
      </c>
      <c r="N221" s="58" t="s">
        <v>1734</v>
      </c>
      <c r="O221" s="58" t="s">
        <v>2145</v>
      </c>
      <c r="P221" s="58" t="s">
        <v>17</v>
      </c>
    </row>
    <row r="222" spans="1:16" ht="12.5" x14ac:dyDescent="0.25">
      <c r="A222" s="63" t="str">
        <f t="shared" si="1"/>
        <v>032/2021/279.113.814-53</v>
      </c>
      <c r="B222" s="63" t="s">
        <v>2020</v>
      </c>
      <c r="C222" s="65">
        <v>44755.598469803241</v>
      </c>
      <c r="D222" s="63" t="s">
        <v>2610</v>
      </c>
      <c r="E222" s="63"/>
      <c r="F222" s="63" t="s">
        <v>2611</v>
      </c>
      <c r="G222" s="63" t="s">
        <v>2020</v>
      </c>
      <c r="H222" s="63" t="s">
        <v>1747</v>
      </c>
      <c r="I222" s="63" t="s">
        <v>1741</v>
      </c>
      <c r="J222" s="63">
        <v>2021</v>
      </c>
      <c r="K222" s="59" t="s">
        <v>17</v>
      </c>
      <c r="L222" s="59" t="s">
        <v>2612</v>
      </c>
      <c r="M222" s="58" t="s">
        <v>234</v>
      </c>
      <c r="N222" s="58" t="s">
        <v>1734</v>
      </c>
      <c r="O222" s="58" t="s">
        <v>1743</v>
      </c>
      <c r="P222" s="58" t="s">
        <v>17</v>
      </c>
    </row>
    <row r="223" spans="1:16" ht="12.5" x14ac:dyDescent="0.25">
      <c r="A223" s="63" t="str">
        <f t="shared" si="1"/>
        <v>046/2021/086.051.554-00</v>
      </c>
      <c r="B223" s="63" t="s">
        <v>2156</v>
      </c>
      <c r="C223" s="65">
        <v>44755.868097500002</v>
      </c>
      <c r="D223" s="63" t="s">
        <v>2613</v>
      </c>
      <c r="E223" s="63"/>
      <c r="F223" s="63" t="s">
        <v>2158</v>
      </c>
      <c r="G223" s="63" t="s">
        <v>2156</v>
      </c>
      <c r="H223" s="63" t="s">
        <v>1747</v>
      </c>
      <c r="I223" s="63" t="s">
        <v>2017</v>
      </c>
      <c r="J223" s="63">
        <v>2021</v>
      </c>
      <c r="K223" s="59" t="s">
        <v>18</v>
      </c>
      <c r="L223" s="59" t="s">
        <v>2614</v>
      </c>
      <c r="M223" s="58" t="s">
        <v>234</v>
      </c>
      <c r="N223" s="58" t="s">
        <v>1734</v>
      </c>
      <c r="O223" s="58" t="s">
        <v>2145</v>
      </c>
      <c r="P223" s="58" t="s">
        <v>18</v>
      </c>
    </row>
    <row r="224" spans="1:16" ht="12.5" x14ac:dyDescent="0.25">
      <c r="A224" s="63" t="str">
        <f t="shared" si="1"/>
        <v>002/2022/089.207.854-57</v>
      </c>
      <c r="B224" s="63" t="s">
        <v>2615</v>
      </c>
      <c r="C224" s="65">
        <v>44756.477965324069</v>
      </c>
      <c r="D224" s="63" t="s">
        <v>2616</v>
      </c>
      <c r="E224" s="63"/>
      <c r="F224" s="63" t="s">
        <v>2617</v>
      </c>
      <c r="G224" s="63" t="s">
        <v>2615</v>
      </c>
      <c r="H224" s="63" t="s">
        <v>1747</v>
      </c>
      <c r="I224" s="63" t="s">
        <v>2420</v>
      </c>
      <c r="J224" s="63">
        <v>2022</v>
      </c>
      <c r="K224" s="59" t="s">
        <v>17</v>
      </c>
      <c r="L224" s="59" t="s">
        <v>2618</v>
      </c>
      <c r="M224" s="58" t="s">
        <v>234</v>
      </c>
      <c r="N224" s="58" t="s">
        <v>1734</v>
      </c>
      <c r="O224" s="58" t="s">
        <v>2422</v>
      </c>
      <c r="P224" s="58" t="s">
        <v>17</v>
      </c>
    </row>
    <row r="225" spans="1:16" ht="12.5" x14ac:dyDescent="0.25">
      <c r="A225" s="63" t="str">
        <f t="shared" si="1"/>
        <v>020/2022/044.209.574-09</v>
      </c>
      <c r="B225" s="63" t="s">
        <v>2619</v>
      </c>
      <c r="C225" s="65">
        <v>44756.514222314814</v>
      </c>
      <c r="D225" s="63" t="s">
        <v>2620</v>
      </c>
      <c r="E225" s="63"/>
      <c r="F225" s="63" t="s">
        <v>2621</v>
      </c>
      <c r="G225" s="63" t="s">
        <v>2619</v>
      </c>
      <c r="H225" s="63" t="s">
        <v>1747</v>
      </c>
      <c r="I225" s="63" t="s">
        <v>2551</v>
      </c>
      <c r="J225" s="63">
        <v>2022</v>
      </c>
      <c r="K225" s="59" t="s">
        <v>16</v>
      </c>
      <c r="L225" s="59" t="s">
        <v>2622</v>
      </c>
      <c r="M225" s="58" t="s">
        <v>234</v>
      </c>
      <c r="N225" s="58" t="s">
        <v>1734</v>
      </c>
      <c r="O225" s="58" t="s">
        <v>2553</v>
      </c>
      <c r="P225" s="58" t="s">
        <v>16</v>
      </c>
    </row>
    <row r="226" spans="1:16" ht="12.5" x14ac:dyDescent="0.25">
      <c r="A226" s="63" t="str">
        <f t="shared" si="1"/>
        <v>032/2022/077.831.034-56</v>
      </c>
      <c r="B226" s="63" t="s">
        <v>2623</v>
      </c>
      <c r="C226" s="65">
        <v>44760.654746967593</v>
      </c>
      <c r="D226" s="63" t="s">
        <v>2624</v>
      </c>
      <c r="E226" s="63"/>
      <c r="F226" s="63" t="s">
        <v>2625</v>
      </c>
      <c r="G226" s="63" t="s">
        <v>2623</v>
      </c>
      <c r="H226" s="63" t="s">
        <v>1747</v>
      </c>
      <c r="I226" s="63" t="s">
        <v>1741</v>
      </c>
      <c r="J226" s="63">
        <v>2022</v>
      </c>
      <c r="K226" s="59" t="s">
        <v>232</v>
      </c>
      <c r="L226" s="59" t="s">
        <v>2626</v>
      </c>
      <c r="M226" s="58" t="s">
        <v>234</v>
      </c>
      <c r="N226" s="58" t="s">
        <v>1734</v>
      </c>
      <c r="O226" s="58" t="s">
        <v>2627</v>
      </c>
      <c r="P226" s="58" t="s">
        <v>232</v>
      </c>
    </row>
    <row r="227" spans="1:16" ht="12.5" x14ac:dyDescent="0.25">
      <c r="A227" s="63" t="str">
        <f t="shared" si="1"/>
        <v>007/2022/054.795.284-83</v>
      </c>
      <c r="B227" s="63" t="s">
        <v>2628</v>
      </c>
      <c r="C227" s="65">
        <v>44762.453580601854</v>
      </c>
      <c r="D227" s="63" t="s">
        <v>2629</v>
      </c>
      <c r="E227" s="63"/>
      <c r="F227" s="63" t="s">
        <v>2630</v>
      </c>
      <c r="G227" s="63" t="s">
        <v>2628</v>
      </c>
      <c r="H227" s="63" t="s">
        <v>1747</v>
      </c>
      <c r="I227" s="63" t="s">
        <v>2451</v>
      </c>
      <c r="J227" s="63">
        <v>2022</v>
      </c>
      <c r="K227" s="59" t="s">
        <v>16</v>
      </c>
      <c r="L227" s="59" t="s">
        <v>2631</v>
      </c>
      <c r="M227" s="58" t="s">
        <v>234</v>
      </c>
      <c r="N227" s="58" t="s">
        <v>1734</v>
      </c>
      <c r="O227" s="58" t="s">
        <v>2453</v>
      </c>
      <c r="P227" s="58" t="s">
        <v>16</v>
      </c>
    </row>
    <row r="228" spans="1:16" ht="12.5" x14ac:dyDescent="0.25">
      <c r="A228" s="63" t="str">
        <f t="shared" si="1"/>
        <v>046/2021/052.102.044-13</v>
      </c>
      <c r="B228" s="63" t="s">
        <v>2632</v>
      </c>
      <c r="C228" s="65">
        <v>44762.625112604168</v>
      </c>
      <c r="D228" s="63" t="s">
        <v>2633</v>
      </c>
      <c r="E228" s="63"/>
      <c r="F228" s="63" t="s">
        <v>2634</v>
      </c>
      <c r="G228" s="63" t="s">
        <v>2632</v>
      </c>
      <c r="H228" s="63" t="s">
        <v>1747</v>
      </c>
      <c r="I228" s="63" t="s">
        <v>2017</v>
      </c>
      <c r="J228" s="63">
        <v>2021</v>
      </c>
      <c r="K228" s="59" t="s">
        <v>18</v>
      </c>
      <c r="L228" s="59" t="s">
        <v>2635</v>
      </c>
      <c r="M228" s="58" t="s">
        <v>234</v>
      </c>
      <c r="N228" s="58" t="s">
        <v>1734</v>
      </c>
      <c r="O228" s="58" t="s">
        <v>2145</v>
      </c>
      <c r="P228" s="58" t="s">
        <v>18</v>
      </c>
    </row>
    <row r="229" spans="1:16" ht="12.5" x14ac:dyDescent="0.25">
      <c r="A229" s="63" t="str">
        <f t="shared" si="1"/>
        <v>023/2022/079.139.944-36</v>
      </c>
      <c r="B229" s="63" t="s">
        <v>2636</v>
      </c>
      <c r="C229" s="65">
        <v>44763.436304363422</v>
      </c>
      <c r="D229" s="63" t="s">
        <v>2637</v>
      </c>
      <c r="E229" s="63"/>
      <c r="F229" s="63" t="s">
        <v>2638</v>
      </c>
      <c r="G229" s="63" t="s">
        <v>2636</v>
      </c>
      <c r="H229" s="63" t="s">
        <v>1747</v>
      </c>
      <c r="I229" s="63" t="s">
        <v>2596</v>
      </c>
      <c r="J229" s="63">
        <v>2022</v>
      </c>
      <c r="K229" s="59" t="s">
        <v>16</v>
      </c>
      <c r="L229" s="59" t="s">
        <v>2639</v>
      </c>
      <c r="M229" s="58" t="s">
        <v>234</v>
      </c>
      <c r="N229" s="58" t="s">
        <v>1734</v>
      </c>
      <c r="O229" s="58" t="s">
        <v>2598</v>
      </c>
      <c r="P229" s="58" t="s">
        <v>16</v>
      </c>
    </row>
    <row r="230" spans="1:16" ht="12.5" x14ac:dyDescent="0.25">
      <c r="A230" s="63" t="str">
        <f t="shared" si="1"/>
        <v>023/2022/098.914.234-50</v>
      </c>
      <c r="B230" s="63" t="s">
        <v>2640</v>
      </c>
      <c r="C230" s="65">
        <v>44763.651855277778</v>
      </c>
      <c r="D230" s="63" t="s">
        <v>2641</v>
      </c>
      <c r="E230" s="63"/>
      <c r="F230" s="63" t="s">
        <v>2642</v>
      </c>
      <c r="G230" s="63" t="s">
        <v>2640</v>
      </c>
      <c r="H230" s="63" t="s">
        <v>1747</v>
      </c>
      <c r="I230" s="63" t="s">
        <v>2596</v>
      </c>
      <c r="J230" s="63">
        <v>2022</v>
      </c>
      <c r="K230" s="59" t="s">
        <v>16</v>
      </c>
      <c r="L230" s="59" t="s">
        <v>2643</v>
      </c>
      <c r="M230" s="58" t="s">
        <v>234</v>
      </c>
      <c r="N230" s="58" t="s">
        <v>1734</v>
      </c>
      <c r="O230" s="58" t="s">
        <v>2598</v>
      </c>
      <c r="P230" s="58" t="s">
        <v>16</v>
      </c>
    </row>
    <row r="231" spans="1:16" ht="12.5" x14ac:dyDescent="0.25">
      <c r="A231" s="63" t="str">
        <f t="shared" si="1"/>
        <v>010/2022/007.417.564-55</v>
      </c>
      <c r="B231" s="63" t="s">
        <v>2644</v>
      </c>
      <c r="C231" s="65">
        <v>44763.931086180557</v>
      </c>
      <c r="D231" s="63" t="s">
        <v>2645</v>
      </c>
      <c r="E231" s="63"/>
      <c r="F231" s="63" t="s">
        <v>2646</v>
      </c>
      <c r="G231" s="63" t="s">
        <v>2644</v>
      </c>
      <c r="H231" s="63" t="s">
        <v>1747</v>
      </c>
      <c r="I231" s="63" t="s">
        <v>2547</v>
      </c>
      <c r="J231" s="63">
        <v>2022</v>
      </c>
      <c r="K231" s="59" t="s">
        <v>16</v>
      </c>
      <c r="L231" s="59" t="s">
        <v>2647</v>
      </c>
      <c r="M231" s="58" t="s">
        <v>234</v>
      </c>
      <c r="N231" s="58" t="s">
        <v>1734</v>
      </c>
      <c r="O231" s="58" t="s">
        <v>2549</v>
      </c>
      <c r="P231" s="58" t="s">
        <v>16</v>
      </c>
    </row>
    <row r="232" spans="1:16" ht="12.5" x14ac:dyDescent="0.25">
      <c r="A232" s="63" t="str">
        <f t="shared" si="1"/>
        <v>032/2022/094.810.124-50</v>
      </c>
      <c r="B232" s="63" t="s">
        <v>2648</v>
      </c>
      <c r="C232" s="65">
        <v>44767.463390543984</v>
      </c>
      <c r="D232" s="63" t="s">
        <v>2649</v>
      </c>
      <c r="E232" s="63"/>
      <c r="F232" s="63" t="s">
        <v>2650</v>
      </c>
      <c r="G232" s="63" t="s">
        <v>2648</v>
      </c>
      <c r="H232" s="63" t="s">
        <v>1747</v>
      </c>
      <c r="I232" s="63" t="s">
        <v>1741</v>
      </c>
      <c r="J232" s="63">
        <v>2022</v>
      </c>
      <c r="K232" s="59" t="s">
        <v>232</v>
      </c>
      <c r="L232" s="59" t="s">
        <v>2651</v>
      </c>
      <c r="M232" s="58" t="s">
        <v>234</v>
      </c>
      <c r="N232" s="58" t="s">
        <v>1734</v>
      </c>
      <c r="O232" s="58" t="s">
        <v>2627</v>
      </c>
      <c r="P232" s="58" t="s">
        <v>232</v>
      </c>
    </row>
    <row r="233" spans="1:16" ht="12.5" x14ac:dyDescent="0.25">
      <c r="A233" s="63" t="str">
        <f t="shared" si="1"/>
        <v>019/2022/031.991.094-62</v>
      </c>
      <c r="B233" s="63" t="s">
        <v>2652</v>
      </c>
      <c r="C233" s="65">
        <v>44767.851143946755</v>
      </c>
      <c r="D233" s="63" t="s">
        <v>2653</v>
      </c>
      <c r="E233" s="63"/>
      <c r="F233" s="63" t="s">
        <v>2654</v>
      </c>
      <c r="G233" s="63" t="s">
        <v>2652</v>
      </c>
      <c r="H233" s="63" t="s">
        <v>1747</v>
      </c>
      <c r="I233" s="63" t="s">
        <v>2256</v>
      </c>
      <c r="J233" s="63">
        <v>2022</v>
      </c>
      <c r="K233" s="59" t="s">
        <v>16</v>
      </c>
      <c r="L233" s="59" t="s">
        <v>2655</v>
      </c>
      <c r="M233" s="58" t="s">
        <v>234</v>
      </c>
      <c r="N233" s="58" t="s">
        <v>1734</v>
      </c>
      <c r="O233" s="58" t="s">
        <v>2656</v>
      </c>
      <c r="P233" s="58" t="s">
        <v>16</v>
      </c>
    </row>
    <row r="234" spans="1:16" ht="12.5" x14ac:dyDescent="0.25">
      <c r="A234" s="63" t="str">
        <f t="shared" si="1"/>
        <v>023/2022/074.001.154-56</v>
      </c>
      <c r="B234" s="63" t="s">
        <v>2657</v>
      </c>
      <c r="C234" s="65">
        <v>44768.458391087959</v>
      </c>
      <c r="D234" s="63" t="s">
        <v>2658</v>
      </c>
      <c r="E234" s="63"/>
      <c r="F234" s="63" t="s">
        <v>2659</v>
      </c>
      <c r="G234" s="63" t="s">
        <v>2657</v>
      </c>
      <c r="H234" s="63" t="s">
        <v>1747</v>
      </c>
      <c r="I234" s="63" t="s">
        <v>2596</v>
      </c>
      <c r="J234" s="63">
        <v>2022</v>
      </c>
      <c r="K234" s="59" t="s">
        <v>16</v>
      </c>
      <c r="L234" s="59" t="s">
        <v>2660</v>
      </c>
      <c r="M234" s="58" t="s">
        <v>234</v>
      </c>
      <c r="N234" s="58" t="s">
        <v>1734</v>
      </c>
      <c r="O234" s="58" t="s">
        <v>2598</v>
      </c>
      <c r="P234" s="58" t="s">
        <v>16</v>
      </c>
    </row>
    <row r="235" spans="1:16" ht="12.5" x14ac:dyDescent="0.25">
      <c r="A235" s="63" t="str">
        <f t="shared" si="1"/>
        <v>021/2022/101.547.854-90</v>
      </c>
      <c r="B235" s="63" t="s">
        <v>1959</v>
      </c>
      <c r="C235" s="65">
        <v>44768.520536493059</v>
      </c>
      <c r="D235" s="63" t="s">
        <v>2661</v>
      </c>
      <c r="E235" s="63"/>
      <c r="F235" s="63" t="s">
        <v>2662</v>
      </c>
      <c r="G235" s="63" t="s">
        <v>1959</v>
      </c>
      <c r="H235" s="63" t="s">
        <v>1747</v>
      </c>
      <c r="I235" s="63" t="s">
        <v>2023</v>
      </c>
      <c r="J235" s="63">
        <v>2022</v>
      </c>
      <c r="K235" s="59" t="s">
        <v>16</v>
      </c>
      <c r="L235" s="59" t="s">
        <v>2663</v>
      </c>
      <c r="M235" s="58" t="s">
        <v>234</v>
      </c>
      <c r="N235" s="58" t="s">
        <v>1734</v>
      </c>
      <c r="O235" s="58" t="s">
        <v>2664</v>
      </c>
      <c r="P235" s="58" t="s">
        <v>16</v>
      </c>
    </row>
    <row r="236" spans="1:16" ht="12.5" x14ac:dyDescent="0.25">
      <c r="A236" s="63" t="str">
        <f t="shared" si="1"/>
        <v>022/2022/981.085.814-00</v>
      </c>
      <c r="B236" s="63" t="s">
        <v>2665</v>
      </c>
      <c r="C236" s="65">
        <v>44769.568182708332</v>
      </c>
      <c r="D236" s="63" t="s">
        <v>2666</v>
      </c>
      <c r="E236" s="63" t="s">
        <v>2667</v>
      </c>
      <c r="F236" s="63" t="s">
        <v>2668</v>
      </c>
      <c r="G236" s="63" t="s">
        <v>2665</v>
      </c>
      <c r="H236" s="63" t="s">
        <v>1740</v>
      </c>
      <c r="I236" s="63" t="s">
        <v>2562</v>
      </c>
      <c r="J236" s="63">
        <v>2022</v>
      </c>
      <c r="K236" s="59" t="s">
        <v>17</v>
      </c>
      <c r="L236" s="59" t="s">
        <v>2669</v>
      </c>
      <c r="M236" s="58" t="s">
        <v>234</v>
      </c>
      <c r="N236" s="58" t="s">
        <v>1734</v>
      </c>
      <c r="O236" s="58" t="s">
        <v>2564</v>
      </c>
      <c r="P236" s="58" t="s">
        <v>17</v>
      </c>
    </row>
    <row r="237" spans="1:16" ht="12.5" x14ac:dyDescent="0.25">
      <c r="A237" s="63" t="str">
        <f t="shared" si="1"/>
        <v>022/2022/033.254.134-72</v>
      </c>
      <c r="B237" s="63" t="s">
        <v>2670</v>
      </c>
      <c r="C237" s="65">
        <v>44770.411626516201</v>
      </c>
      <c r="D237" s="63" t="s">
        <v>2671</v>
      </c>
      <c r="E237" s="63"/>
      <c r="F237" s="63" t="s">
        <v>2672</v>
      </c>
      <c r="G237" s="63" t="s">
        <v>2670</v>
      </c>
      <c r="H237" s="63" t="s">
        <v>1747</v>
      </c>
      <c r="I237" s="63" t="s">
        <v>2562</v>
      </c>
      <c r="J237" s="63">
        <v>2022</v>
      </c>
      <c r="K237" s="59" t="s">
        <v>18</v>
      </c>
      <c r="L237" s="59" t="s">
        <v>2673</v>
      </c>
      <c r="M237" s="58" t="s">
        <v>234</v>
      </c>
      <c r="N237" s="58" t="s">
        <v>1734</v>
      </c>
      <c r="O237" s="58" t="s">
        <v>2564</v>
      </c>
      <c r="P237" s="58" t="s">
        <v>18</v>
      </c>
    </row>
    <row r="238" spans="1:16" ht="12.5" x14ac:dyDescent="0.25">
      <c r="A238" s="63" t="str">
        <f t="shared" si="1"/>
        <v>032/2022/076.906.484-10</v>
      </c>
      <c r="B238" s="63" t="s">
        <v>2674</v>
      </c>
      <c r="C238" s="65">
        <v>44770.497878634254</v>
      </c>
      <c r="D238" s="63" t="s">
        <v>2675</v>
      </c>
      <c r="E238" s="63"/>
      <c r="F238" s="63" t="s">
        <v>2676</v>
      </c>
      <c r="G238" s="63" t="s">
        <v>2674</v>
      </c>
      <c r="H238" s="63" t="s">
        <v>1747</v>
      </c>
      <c r="I238" s="63" t="s">
        <v>1741</v>
      </c>
      <c r="J238" s="63">
        <v>2022</v>
      </c>
      <c r="K238" s="59" t="s">
        <v>17</v>
      </c>
      <c r="L238" s="59" t="s">
        <v>2677</v>
      </c>
      <c r="M238" s="58" t="s">
        <v>234</v>
      </c>
      <c r="N238" s="58" t="s">
        <v>1734</v>
      </c>
      <c r="O238" s="58" t="s">
        <v>2627</v>
      </c>
      <c r="P238" s="58" t="s">
        <v>17</v>
      </c>
    </row>
    <row r="239" spans="1:16" ht="12.5" x14ac:dyDescent="0.25">
      <c r="A239" s="63" t="str">
        <f t="shared" si="1"/>
        <v>004/2022/103.309.054-90</v>
      </c>
      <c r="B239" s="63" t="s">
        <v>2678</v>
      </c>
      <c r="C239" s="65">
        <v>44770.510573252315</v>
      </c>
      <c r="D239" s="63" t="s">
        <v>2679</v>
      </c>
      <c r="E239" s="63"/>
      <c r="F239" s="63" t="s">
        <v>2680</v>
      </c>
      <c r="G239" s="63" t="s">
        <v>2678</v>
      </c>
      <c r="H239" s="63" t="s">
        <v>1747</v>
      </c>
      <c r="I239" s="63" t="s">
        <v>1776</v>
      </c>
      <c r="J239" s="63">
        <v>2022</v>
      </c>
      <c r="K239" s="59" t="s">
        <v>17</v>
      </c>
      <c r="L239" s="59" t="s">
        <v>2681</v>
      </c>
      <c r="M239" s="58" t="s">
        <v>234</v>
      </c>
      <c r="N239" s="58" t="s">
        <v>1734</v>
      </c>
      <c r="O239" s="58" t="s">
        <v>2555</v>
      </c>
      <c r="P239" s="58" t="s">
        <v>17</v>
      </c>
    </row>
    <row r="240" spans="1:16" ht="12.5" x14ac:dyDescent="0.25">
      <c r="A240" s="63" t="str">
        <f t="shared" si="1"/>
        <v>019/2022/067.288.414-31</v>
      </c>
      <c r="B240" s="63" t="s">
        <v>2682</v>
      </c>
      <c r="C240" s="65">
        <v>44771.075562384256</v>
      </c>
      <c r="D240" s="63" t="s">
        <v>2683</v>
      </c>
      <c r="E240" s="63"/>
      <c r="F240" s="63" t="s">
        <v>2684</v>
      </c>
      <c r="G240" s="63" t="s">
        <v>2682</v>
      </c>
      <c r="H240" s="63" t="s">
        <v>1747</v>
      </c>
      <c r="I240" s="63" t="s">
        <v>2256</v>
      </c>
      <c r="J240" s="63">
        <v>2022</v>
      </c>
      <c r="K240" s="59" t="s">
        <v>16</v>
      </c>
      <c r="L240" s="59" t="s">
        <v>2685</v>
      </c>
      <c r="M240" s="58" t="s">
        <v>234</v>
      </c>
      <c r="N240" s="58" t="s">
        <v>1734</v>
      </c>
      <c r="O240" s="58" t="s">
        <v>2656</v>
      </c>
      <c r="P240" s="58" t="s">
        <v>16</v>
      </c>
    </row>
    <row r="241" spans="1:16" ht="12.5" x14ac:dyDescent="0.25">
      <c r="A241" s="63" t="str">
        <f t="shared" si="1"/>
        <v>011/2022/806.565.104-63</v>
      </c>
      <c r="B241" s="63" t="s">
        <v>2686</v>
      </c>
      <c r="C241" s="65">
        <v>44771.370437106481</v>
      </c>
      <c r="D241" s="63" t="s">
        <v>2687</v>
      </c>
      <c r="E241" s="63"/>
      <c r="F241" s="63" t="s">
        <v>2688</v>
      </c>
      <c r="G241" s="63" t="s">
        <v>2686</v>
      </c>
      <c r="H241" s="63" t="s">
        <v>1747</v>
      </c>
      <c r="I241" s="63" t="s">
        <v>2046</v>
      </c>
      <c r="J241" s="63">
        <v>2022</v>
      </c>
      <c r="K241" s="59" t="s">
        <v>17</v>
      </c>
      <c r="L241" s="59" t="s">
        <v>2689</v>
      </c>
      <c r="M241" s="58" t="s">
        <v>234</v>
      </c>
      <c r="N241" s="58" t="s">
        <v>1734</v>
      </c>
      <c r="O241" s="58" t="s">
        <v>2516</v>
      </c>
      <c r="P241" s="58" t="s">
        <v>17</v>
      </c>
    </row>
    <row r="242" spans="1:16" ht="12.5" x14ac:dyDescent="0.25">
      <c r="A242" s="63" t="str">
        <f t="shared" si="1"/>
        <v>022/2022/701.256.564-08</v>
      </c>
      <c r="B242" s="63" t="s">
        <v>2690</v>
      </c>
      <c r="C242" s="65">
        <v>44771.506155763884</v>
      </c>
      <c r="D242" s="63" t="s">
        <v>2691</v>
      </c>
      <c r="E242" s="63"/>
      <c r="F242" s="63" t="s">
        <v>2692</v>
      </c>
      <c r="G242" s="63" t="s">
        <v>2690</v>
      </c>
      <c r="H242" s="63" t="s">
        <v>1747</v>
      </c>
      <c r="I242" s="63" t="s">
        <v>2562</v>
      </c>
      <c r="J242" s="63">
        <v>2022</v>
      </c>
      <c r="K242" s="59" t="s">
        <v>17</v>
      </c>
      <c r="L242" s="59" t="s">
        <v>2693</v>
      </c>
      <c r="M242" s="58" t="s">
        <v>234</v>
      </c>
      <c r="N242" s="58" t="s">
        <v>1734</v>
      </c>
      <c r="O242" s="58" t="s">
        <v>2564</v>
      </c>
      <c r="P242" s="58" t="s">
        <v>17</v>
      </c>
    </row>
    <row r="243" spans="1:16" ht="12.5" x14ac:dyDescent="0.25">
      <c r="A243" s="63" t="str">
        <f t="shared" si="1"/>
        <v>004/2022/657.008.722-34</v>
      </c>
      <c r="B243" s="63" t="s">
        <v>2310</v>
      </c>
      <c r="C243" s="65">
        <v>44771.811113715274</v>
      </c>
      <c r="D243" s="63" t="s">
        <v>2311</v>
      </c>
      <c r="E243" s="63"/>
      <c r="F243" s="63" t="s">
        <v>2694</v>
      </c>
      <c r="G243" s="63" t="s">
        <v>2310</v>
      </c>
      <c r="H243" s="63" t="s">
        <v>1747</v>
      </c>
      <c r="I243" s="63" t="s">
        <v>1776</v>
      </c>
      <c r="J243" s="63">
        <v>2022</v>
      </c>
      <c r="K243" s="59" t="s">
        <v>17</v>
      </c>
      <c r="L243" s="59" t="s">
        <v>2695</v>
      </c>
      <c r="M243" s="58" t="s">
        <v>234</v>
      </c>
      <c r="N243" s="58" t="s">
        <v>1734</v>
      </c>
      <c r="O243" s="58" t="s">
        <v>2555</v>
      </c>
      <c r="P243" s="58" t="s">
        <v>17</v>
      </c>
    </row>
    <row r="244" spans="1:16" ht="12.5" x14ac:dyDescent="0.25">
      <c r="A244" s="63" t="str">
        <f t="shared" si="1"/>
        <v>023/2022/047.545.533-90</v>
      </c>
      <c r="B244" s="63" t="s">
        <v>2696</v>
      </c>
      <c r="C244" s="65">
        <v>44773.681816273151</v>
      </c>
      <c r="D244" s="63" t="s">
        <v>2697</v>
      </c>
      <c r="E244" s="63"/>
      <c r="F244" s="63" t="s">
        <v>2698</v>
      </c>
      <c r="G244" s="63" t="s">
        <v>2696</v>
      </c>
      <c r="H244" s="63" t="s">
        <v>1747</v>
      </c>
      <c r="I244" s="63" t="s">
        <v>2596</v>
      </c>
      <c r="J244" s="63">
        <v>2022</v>
      </c>
      <c r="K244" s="59" t="s">
        <v>16</v>
      </c>
      <c r="L244" s="59" t="s">
        <v>2699</v>
      </c>
      <c r="M244" s="58" t="s">
        <v>234</v>
      </c>
      <c r="N244" s="58" t="s">
        <v>1734</v>
      </c>
      <c r="O244" s="58" t="s">
        <v>2598</v>
      </c>
      <c r="P244" s="58" t="s">
        <v>16</v>
      </c>
    </row>
    <row r="245" spans="1:16" ht="12.5" x14ac:dyDescent="0.25">
      <c r="A245" s="63" t="str">
        <f t="shared" si="1"/>
        <v>032/2022/074.642.944-40</v>
      </c>
      <c r="B245" s="63" t="s">
        <v>2700</v>
      </c>
      <c r="C245" s="65">
        <v>44774.573078125002</v>
      </c>
      <c r="D245" s="63" t="s">
        <v>2701</v>
      </c>
      <c r="E245" s="63" t="s">
        <v>2702</v>
      </c>
      <c r="F245" s="63" t="s">
        <v>2703</v>
      </c>
      <c r="G245" s="63" t="s">
        <v>2700</v>
      </c>
      <c r="H245" s="63" t="s">
        <v>1740</v>
      </c>
      <c r="I245" s="63" t="s">
        <v>1741</v>
      </c>
      <c r="J245" s="63">
        <v>2022</v>
      </c>
      <c r="K245" s="59" t="s">
        <v>18</v>
      </c>
      <c r="L245" s="59" t="s">
        <v>2704</v>
      </c>
      <c r="M245" s="58" t="s">
        <v>234</v>
      </c>
      <c r="N245" s="58" t="s">
        <v>1734</v>
      </c>
      <c r="O245" s="58" t="s">
        <v>2627</v>
      </c>
      <c r="P245" s="58" t="s">
        <v>18</v>
      </c>
    </row>
    <row r="246" spans="1:16" ht="12.5" x14ac:dyDescent="0.25">
      <c r="A246" s="63" t="str">
        <f t="shared" si="1"/>
        <v>002/2022/065.639.044-16</v>
      </c>
      <c r="B246" s="63" t="s">
        <v>2705</v>
      </c>
      <c r="C246" s="65">
        <v>44775.439267696755</v>
      </c>
      <c r="D246" s="63" t="s">
        <v>2706</v>
      </c>
      <c r="E246" s="63"/>
      <c r="F246" s="63" t="s">
        <v>2707</v>
      </c>
      <c r="G246" s="63" t="s">
        <v>2705</v>
      </c>
      <c r="H246" s="63" t="s">
        <v>1747</v>
      </c>
      <c r="I246" s="63" t="s">
        <v>2420</v>
      </c>
      <c r="J246" s="63">
        <v>2022</v>
      </c>
      <c r="K246" s="59" t="s">
        <v>17</v>
      </c>
      <c r="L246" s="59" t="s">
        <v>2708</v>
      </c>
      <c r="M246" s="58" t="s">
        <v>234</v>
      </c>
      <c r="N246" s="58" t="s">
        <v>1734</v>
      </c>
      <c r="O246" s="58" t="s">
        <v>2422</v>
      </c>
      <c r="P246" s="58" t="s">
        <v>17</v>
      </c>
    </row>
    <row r="247" spans="1:16" ht="12.5" x14ac:dyDescent="0.25">
      <c r="A247" s="63" t="str">
        <f t="shared" si="1"/>
        <v>032/2022/082.048.156-46</v>
      </c>
      <c r="B247" s="63" t="s">
        <v>2709</v>
      </c>
      <c r="C247" s="65">
        <v>44775.454898993055</v>
      </c>
      <c r="D247" s="63" t="s">
        <v>2710</v>
      </c>
      <c r="E247" s="63"/>
      <c r="F247" s="63" t="s">
        <v>2711</v>
      </c>
      <c r="G247" s="63" t="s">
        <v>2709</v>
      </c>
      <c r="H247" s="63" t="s">
        <v>1747</v>
      </c>
      <c r="I247" s="63" t="s">
        <v>1741</v>
      </c>
      <c r="J247" s="63">
        <v>2022</v>
      </c>
      <c r="K247" s="59" t="s">
        <v>17</v>
      </c>
      <c r="L247" s="59" t="s">
        <v>2712</v>
      </c>
      <c r="M247" s="58" t="s">
        <v>234</v>
      </c>
      <c r="N247" s="58" t="s">
        <v>1734</v>
      </c>
      <c r="O247" s="58" t="s">
        <v>2627</v>
      </c>
      <c r="P247" s="58" t="s">
        <v>17</v>
      </c>
    </row>
    <row r="248" spans="1:16" ht="12.5" x14ac:dyDescent="0.25">
      <c r="A248" s="63" t="str">
        <f t="shared" si="1"/>
        <v>015/2022/061.334.154-60</v>
      </c>
      <c r="B248" s="63" t="s">
        <v>2713</v>
      </c>
      <c r="C248" s="65">
        <v>44775.4711153588</v>
      </c>
      <c r="D248" s="63" t="s">
        <v>2714</v>
      </c>
      <c r="E248" s="63"/>
      <c r="F248" s="63" t="s">
        <v>2715</v>
      </c>
      <c r="G248" s="63" t="s">
        <v>2713</v>
      </c>
      <c r="H248" s="63" t="s">
        <v>1747</v>
      </c>
      <c r="I248" s="63" t="s">
        <v>2509</v>
      </c>
      <c r="J248" s="63">
        <v>2022</v>
      </c>
      <c r="K248" s="59" t="s">
        <v>16</v>
      </c>
      <c r="L248" s="59" t="s">
        <v>2716</v>
      </c>
      <c r="M248" s="58" t="s">
        <v>234</v>
      </c>
      <c r="N248" s="58" t="s">
        <v>1734</v>
      </c>
      <c r="O248" s="58" t="s">
        <v>2511</v>
      </c>
      <c r="P248" s="58" t="s">
        <v>16</v>
      </c>
    </row>
    <row r="249" spans="1:16" ht="12.5" x14ac:dyDescent="0.25">
      <c r="A249" s="63" t="str">
        <f t="shared" si="1"/>
        <v>035/2022/076.107.834-71</v>
      </c>
      <c r="B249" s="63" t="s">
        <v>2717</v>
      </c>
      <c r="C249" s="65">
        <v>44776.439027800923</v>
      </c>
      <c r="D249" s="63" t="s">
        <v>2718</v>
      </c>
      <c r="E249" s="63"/>
      <c r="F249" s="63" t="s">
        <v>2719</v>
      </c>
      <c r="G249" s="63" t="s">
        <v>2717</v>
      </c>
      <c r="H249" s="63" t="s">
        <v>1747</v>
      </c>
      <c r="I249" s="63" t="s">
        <v>2720</v>
      </c>
      <c r="J249" s="63">
        <v>2022</v>
      </c>
      <c r="K249" s="59" t="s">
        <v>16</v>
      </c>
      <c r="L249" s="59" t="s">
        <v>2721</v>
      </c>
      <c r="M249" s="58" t="s">
        <v>234</v>
      </c>
      <c r="N249" s="58" t="s">
        <v>1734</v>
      </c>
      <c r="O249" s="58" t="s">
        <v>2722</v>
      </c>
      <c r="P249" s="58" t="s">
        <v>16</v>
      </c>
    </row>
    <row r="250" spans="1:16" ht="12.5" x14ac:dyDescent="0.25">
      <c r="A250" s="63" t="str">
        <f t="shared" si="1"/>
        <v>023/2022/298.533.034-34</v>
      </c>
      <c r="B250" s="63" t="s">
        <v>2723</v>
      </c>
      <c r="C250" s="65">
        <v>44778.605983113426</v>
      </c>
      <c r="D250" s="63" t="s">
        <v>2724</v>
      </c>
      <c r="E250" s="63"/>
      <c r="F250" s="63" t="s">
        <v>2725</v>
      </c>
      <c r="G250" s="63" t="s">
        <v>2723</v>
      </c>
      <c r="H250" s="63" t="s">
        <v>1747</v>
      </c>
      <c r="I250" s="63" t="s">
        <v>2596</v>
      </c>
      <c r="J250" s="63">
        <v>2022</v>
      </c>
      <c r="K250" s="59" t="s">
        <v>16</v>
      </c>
      <c r="L250" s="59" t="s">
        <v>2726</v>
      </c>
      <c r="M250" s="58" t="s">
        <v>234</v>
      </c>
      <c r="N250" s="58" t="s">
        <v>1734</v>
      </c>
      <c r="O250" s="58" t="s">
        <v>2598</v>
      </c>
      <c r="P250" s="58" t="s">
        <v>16</v>
      </c>
    </row>
    <row r="251" spans="1:16" ht="12.5" x14ac:dyDescent="0.25">
      <c r="A251" s="63" t="str">
        <f t="shared" si="1"/>
        <v>035/2022/086.538.154-22</v>
      </c>
      <c r="B251" s="63" t="s">
        <v>2727</v>
      </c>
      <c r="C251" s="65">
        <v>44781.534939456018</v>
      </c>
      <c r="D251" s="63" t="s">
        <v>2728</v>
      </c>
      <c r="E251" s="63"/>
      <c r="F251" s="63" t="s">
        <v>2729</v>
      </c>
      <c r="G251" s="63" t="s">
        <v>2727</v>
      </c>
      <c r="H251" s="63" t="s">
        <v>1747</v>
      </c>
      <c r="I251" s="63" t="s">
        <v>2720</v>
      </c>
      <c r="J251" s="63">
        <v>2022</v>
      </c>
      <c r="K251" s="59" t="s">
        <v>16</v>
      </c>
      <c r="L251" s="59" t="s">
        <v>2730</v>
      </c>
      <c r="M251" s="58" t="s">
        <v>234</v>
      </c>
      <c r="N251" s="58" t="s">
        <v>1734</v>
      </c>
      <c r="O251" s="58" t="s">
        <v>2722</v>
      </c>
      <c r="P251" s="58" t="s">
        <v>16</v>
      </c>
    </row>
    <row r="252" spans="1:16" ht="12.5" x14ac:dyDescent="0.25">
      <c r="A252" s="63" t="str">
        <f t="shared" si="1"/>
        <v>023/2022/064.717.054-09</v>
      </c>
      <c r="B252" s="63" t="s">
        <v>2731</v>
      </c>
      <c r="C252" s="65">
        <v>44781.700114143518</v>
      </c>
      <c r="D252" s="63" t="s">
        <v>2732</v>
      </c>
      <c r="E252" s="63"/>
      <c r="F252" s="63" t="s">
        <v>2733</v>
      </c>
      <c r="G252" s="63" t="s">
        <v>2731</v>
      </c>
      <c r="H252" s="63" t="s">
        <v>1747</v>
      </c>
      <c r="I252" s="63" t="s">
        <v>2596</v>
      </c>
      <c r="J252" s="63">
        <v>2022</v>
      </c>
      <c r="K252" s="59" t="s">
        <v>16</v>
      </c>
      <c r="L252" s="59" t="s">
        <v>2734</v>
      </c>
      <c r="M252" s="58" t="s">
        <v>234</v>
      </c>
      <c r="N252" s="58" t="s">
        <v>1734</v>
      </c>
      <c r="O252" s="58" t="s">
        <v>2598</v>
      </c>
      <c r="P252" s="58" t="s">
        <v>16</v>
      </c>
    </row>
    <row r="253" spans="1:16" ht="12.5" x14ac:dyDescent="0.25">
      <c r="A253" s="63" t="str">
        <f t="shared" si="1"/>
        <v>035/2022/073.335.154-94</v>
      </c>
      <c r="B253" s="63" t="s">
        <v>2735</v>
      </c>
      <c r="C253" s="65">
        <v>44782.801834664351</v>
      </c>
      <c r="D253" s="63" t="s">
        <v>2736</v>
      </c>
      <c r="E253" s="63"/>
      <c r="F253" s="63" t="s">
        <v>2737</v>
      </c>
      <c r="G253" s="63" t="s">
        <v>2735</v>
      </c>
      <c r="H253" s="63" t="s">
        <v>1747</v>
      </c>
      <c r="I253" s="63" t="s">
        <v>2720</v>
      </c>
      <c r="J253" s="63">
        <v>2022</v>
      </c>
      <c r="K253" s="59" t="s">
        <v>16</v>
      </c>
      <c r="L253" s="59" t="s">
        <v>2738</v>
      </c>
      <c r="M253" s="58" t="s">
        <v>234</v>
      </c>
      <c r="N253" s="58" t="s">
        <v>1734</v>
      </c>
      <c r="O253" s="58" t="s">
        <v>2722</v>
      </c>
      <c r="P253" s="58" t="s">
        <v>16</v>
      </c>
    </row>
    <row r="254" spans="1:16" ht="12.5" x14ac:dyDescent="0.25">
      <c r="A254" s="63" t="str">
        <f t="shared" si="1"/>
        <v>004/2022/654.213.881-15</v>
      </c>
      <c r="B254" s="63" t="s">
        <v>2334</v>
      </c>
      <c r="C254" s="65">
        <v>44782.829738703702</v>
      </c>
      <c r="D254" s="63" t="s">
        <v>2739</v>
      </c>
      <c r="E254" s="63"/>
      <c r="F254" s="63" t="s">
        <v>2740</v>
      </c>
      <c r="G254" s="63" t="s">
        <v>2334</v>
      </c>
      <c r="H254" s="63" t="s">
        <v>1747</v>
      </c>
      <c r="I254" s="63" t="s">
        <v>1776</v>
      </c>
      <c r="J254" s="63">
        <v>2022</v>
      </c>
      <c r="K254" s="59" t="s">
        <v>17</v>
      </c>
      <c r="L254" s="59" t="s">
        <v>2741</v>
      </c>
      <c r="M254" s="58" t="s">
        <v>234</v>
      </c>
      <c r="N254" s="58" t="s">
        <v>1734</v>
      </c>
      <c r="O254" s="58" t="s">
        <v>2555</v>
      </c>
      <c r="P254" s="58" t="s">
        <v>17</v>
      </c>
    </row>
    <row r="255" spans="1:16" ht="12.5" x14ac:dyDescent="0.25">
      <c r="A255" s="63" t="str">
        <f t="shared" si="1"/>
        <v>022/2022/654.213.881-15</v>
      </c>
      <c r="B255" s="63" t="s">
        <v>2334</v>
      </c>
      <c r="C255" s="65">
        <v>44782.830633969905</v>
      </c>
      <c r="D255" s="63" t="s">
        <v>2739</v>
      </c>
      <c r="E255" s="63"/>
      <c r="F255" s="63" t="s">
        <v>2740</v>
      </c>
      <c r="G255" s="63" t="s">
        <v>2334</v>
      </c>
      <c r="H255" s="63" t="s">
        <v>1747</v>
      </c>
      <c r="I255" s="63" t="s">
        <v>2562</v>
      </c>
      <c r="J255" s="63">
        <v>2022</v>
      </c>
      <c r="K255" s="59" t="s">
        <v>17</v>
      </c>
      <c r="L255" s="59" t="s">
        <v>2742</v>
      </c>
      <c r="M255" s="58" t="s">
        <v>234</v>
      </c>
      <c r="N255" s="58" t="s">
        <v>1734</v>
      </c>
      <c r="O255" s="58" t="s">
        <v>2564</v>
      </c>
      <c r="P255" s="58" t="s">
        <v>17</v>
      </c>
    </row>
    <row r="256" spans="1:16" ht="12.5" x14ac:dyDescent="0.25">
      <c r="A256" s="63" t="str">
        <f t="shared" si="1"/>
        <v>032/2022/031.546.324-41</v>
      </c>
      <c r="B256" s="63" t="s">
        <v>2743</v>
      </c>
      <c r="C256" s="65">
        <v>44784.503657893518</v>
      </c>
      <c r="D256" s="63" t="s">
        <v>2744</v>
      </c>
      <c r="E256" s="63"/>
      <c r="F256" s="63" t="s">
        <v>2745</v>
      </c>
      <c r="G256" s="63" t="s">
        <v>2743</v>
      </c>
      <c r="H256" s="63" t="s">
        <v>1747</v>
      </c>
      <c r="I256" s="63" t="s">
        <v>1741</v>
      </c>
      <c r="J256" s="63">
        <v>2022</v>
      </c>
      <c r="K256" s="59" t="s">
        <v>17</v>
      </c>
      <c r="L256" s="59" t="s">
        <v>2746</v>
      </c>
      <c r="M256" s="58" t="s">
        <v>234</v>
      </c>
      <c r="N256" s="58" t="s">
        <v>1734</v>
      </c>
      <c r="O256" s="58" t="s">
        <v>2627</v>
      </c>
      <c r="P256" s="58" t="s">
        <v>17</v>
      </c>
    </row>
    <row r="257" spans="1:16" ht="12.5" x14ac:dyDescent="0.25">
      <c r="A257" s="63" t="str">
        <f t="shared" si="1"/>
        <v>011/2021/938.087.474-04</v>
      </c>
      <c r="B257" s="63" t="s">
        <v>2747</v>
      </c>
      <c r="C257" s="65">
        <v>44784.655036446755</v>
      </c>
      <c r="D257" s="63" t="s">
        <v>2748</v>
      </c>
      <c r="E257" s="63" t="s">
        <v>2749</v>
      </c>
      <c r="F257" s="63" t="s">
        <v>2750</v>
      </c>
      <c r="G257" s="63" t="s">
        <v>2747</v>
      </c>
      <c r="H257" s="63" t="s">
        <v>1740</v>
      </c>
      <c r="I257" s="63" t="s">
        <v>2046</v>
      </c>
      <c r="J257" s="63">
        <v>2021</v>
      </c>
      <c r="K257" s="59" t="s">
        <v>16</v>
      </c>
      <c r="L257" s="59" t="s">
        <v>2751</v>
      </c>
      <c r="M257" s="58" t="s">
        <v>234</v>
      </c>
      <c r="N257" s="58" t="s">
        <v>1734</v>
      </c>
      <c r="O257" s="58" t="s">
        <v>2048</v>
      </c>
      <c r="P257" s="58" t="s">
        <v>16</v>
      </c>
    </row>
    <row r="258" spans="1:16" ht="12.5" x14ac:dyDescent="0.25">
      <c r="A258" s="63" t="str">
        <f t="shared" si="1"/>
        <v>032/2022/009.145.354-20</v>
      </c>
      <c r="B258" s="63" t="s">
        <v>2752</v>
      </c>
      <c r="C258" s="65">
        <v>44784.932041365741</v>
      </c>
      <c r="D258" s="63" t="s">
        <v>2753</v>
      </c>
      <c r="E258" s="63" t="s">
        <v>2754</v>
      </c>
      <c r="F258" s="63" t="s">
        <v>2754</v>
      </c>
      <c r="G258" s="63" t="s">
        <v>2752</v>
      </c>
      <c r="H258" s="63" t="s">
        <v>1740</v>
      </c>
      <c r="I258" s="63" t="s">
        <v>1741</v>
      </c>
      <c r="J258" s="63">
        <v>2022</v>
      </c>
      <c r="K258" s="59" t="s">
        <v>232</v>
      </c>
      <c r="L258" s="59" t="s">
        <v>2755</v>
      </c>
      <c r="M258" s="58" t="s">
        <v>234</v>
      </c>
      <c r="N258" s="58" t="s">
        <v>1734</v>
      </c>
      <c r="O258" s="58" t="s">
        <v>2627</v>
      </c>
      <c r="P258" s="58" t="s">
        <v>232</v>
      </c>
    </row>
    <row r="259" spans="1:16" ht="12.5" x14ac:dyDescent="0.25">
      <c r="A259" s="63" t="str">
        <f t="shared" si="1"/>
        <v>035/2022/061.885.684-63</v>
      </c>
      <c r="B259" s="63" t="s">
        <v>2756</v>
      </c>
      <c r="C259" s="65">
        <v>44787.427159629631</v>
      </c>
      <c r="D259" s="63" t="s">
        <v>2757</v>
      </c>
      <c r="E259" s="63"/>
      <c r="F259" s="63" t="s">
        <v>2758</v>
      </c>
      <c r="G259" s="63" t="s">
        <v>2756</v>
      </c>
      <c r="H259" s="63" t="s">
        <v>1747</v>
      </c>
      <c r="I259" s="63" t="s">
        <v>2720</v>
      </c>
      <c r="J259" s="63">
        <v>2022</v>
      </c>
      <c r="K259" s="59" t="s">
        <v>16</v>
      </c>
      <c r="L259" s="59" t="s">
        <v>2759</v>
      </c>
      <c r="M259" s="58" t="s">
        <v>234</v>
      </c>
      <c r="N259" s="58" t="s">
        <v>1734</v>
      </c>
      <c r="O259" s="58" t="s">
        <v>2722</v>
      </c>
      <c r="P259" s="58" t="s">
        <v>16</v>
      </c>
    </row>
    <row r="260" spans="1:16" ht="12.5" x14ac:dyDescent="0.25">
      <c r="A260" s="63" t="str">
        <f t="shared" si="1"/>
        <v>035/2022/057.109.464-35</v>
      </c>
      <c r="B260" s="63" t="s">
        <v>2760</v>
      </c>
      <c r="C260" s="65">
        <v>44788.558772824079</v>
      </c>
      <c r="D260" s="63" t="s">
        <v>2761</v>
      </c>
      <c r="E260" s="63"/>
      <c r="F260" s="63" t="s">
        <v>2762</v>
      </c>
      <c r="G260" s="63" t="s">
        <v>2760</v>
      </c>
      <c r="H260" s="63" t="s">
        <v>1747</v>
      </c>
      <c r="I260" s="63" t="s">
        <v>2720</v>
      </c>
      <c r="J260" s="63">
        <v>2022</v>
      </c>
      <c r="K260" s="59" t="s">
        <v>16</v>
      </c>
      <c r="L260" s="59" t="s">
        <v>2763</v>
      </c>
      <c r="M260" s="58" t="s">
        <v>234</v>
      </c>
      <c r="N260" s="58" t="s">
        <v>1734</v>
      </c>
      <c r="O260" s="58" t="s">
        <v>2722</v>
      </c>
      <c r="P260" s="58" t="s">
        <v>16</v>
      </c>
    </row>
    <row r="261" spans="1:16" ht="12.5" x14ac:dyDescent="0.25">
      <c r="A261" s="63" t="str">
        <f t="shared" si="1"/>
        <v>032/2022/119.477.784-80</v>
      </c>
      <c r="B261" s="63" t="s">
        <v>2764</v>
      </c>
      <c r="C261" s="65">
        <v>44789.806392175931</v>
      </c>
      <c r="D261" s="63" t="s">
        <v>2765</v>
      </c>
      <c r="E261" s="63"/>
      <c r="F261" s="63" t="s">
        <v>2766</v>
      </c>
      <c r="G261" s="63" t="s">
        <v>2764</v>
      </c>
      <c r="H261" s="63" t="s">
        <v>1747</v>
      </c>
      <c r="I261" s="63" t="s">
        <v>1741</v>
      </c>
      <c r="J261" s="63">
        <v>2022</v>
      </c>
      <c r="K261" s="59" t="s">
        <v>18</v>
      </c>
      <c r="L261" s="59" t="s">
        <v>2767</v>
      </c>
      <c r="M261" s="58" t="s">
        <v>234</v>
      </c>
      <c r="N261" s="58" t="s">
        <v>1734</v>
      </c>
      <c r="O261" s="58" t="s">
        <v>2627</v>
      </c>
      <c r="P261" s="58" t="s">
        <v>18</v>
      </c>
    </row>
    <row r="262" spans="1:16" ht="12.5" x14ac:dyDescent="0.25">
      <c r="A262" s="63" t="str">
        <f t="shared" si="1"/>
        <v>004/2022/126.718.044-74</v>
      </c>
      <c r="B262" s="63" t="s">
        <v>2768</v>
      </c>
      <c r="C262" s="65">
        <v>44790.372877118054</v>
      </c>
      <c r="D262" s="63" t="s">
        <v>2769</v>
      </c>
      <c r="E262" s="63"/>
      <c r="F262" s="63" t="s">
        <v>2770</v>
      </c>
      <c r="G262" s="63" t="s">
        <v>2768</v>
      </c>
      <c r="H262" s="63" t="s">
        <v>1747</v>
      </c>
      <c r="I262" s="63" t="s">
        <v>1776</v>
      </c>
      <c r="J262" s="63">
        <v>2022</v>
      </c>
      <c r="K262" s="59" t="s">
        <v>17</v>
      </c>
      <c r="L262" s="59" t="s">
        <v>2771</v>
      </c>
      <c r="M262" s="58" t="s">
        <v>234</v>
      </c>
      <c r="N262" s="58" t="s">
        <v>1734</v>
      </c>
      <c r="O262" s="58" t="s">
        <v>2555</v>
      </c>
      <c r="P262" s="58" t="s">
        <v>17</v>
      </c>
    </row>
    <row r="263" spans="1:16" ht="12.5" x14ac:dyDescent="0.25">
      <c r="A263" s="63" t="str">
        <f t="shared" si="1"/>
        <v>023/2022/032.266.024-62</v>
      </c>
      <c r="B263" s="63" t="s">
        <v>2772</v>
      </c>
      <c r="C263" s="65">
        <v>44790.528039594908</v>
      </c>
      <c r="D263" s="63" t="s">
        <v>2773</v>
      </c>
      <c r="E263" s="63"/>
      <c r="F263" s="63" t="s">
        <v>2774</v>
      </c>
      <c r="G263" s="63" t="s">
        <v>2772</v>
      </c>
      <c r="H263" s="63" t="s">
        <v>1747</v>
      </c>
      <c r="I263" s="63" t="s">
        <v>2596</v>
      </c>
      <c r="J263" s="63">
        <v>2022</v>
      </c>
      <c r="K263" s="59" t="s">
        <v>16</v>
      </c>
      <c r="L263" s="59" t="s">
        <v>2775</v>
      </c>
      <c r="M263" s="58" t="s">
        <v>2776</v>
      </c>
      <c r="O263" s="58" t="s">
        <v>2598</v>
      </c>
      <c r="P263" s="58" t="s">
        <v>16</v>
      </c>
    </row>
    <row r="264" spans="1:16" ht="12.5" x14ac:dyDescent="0.25">
      <c r="A264" s="63" t="str">
        <f t="shared" si="1"/>
        <v>023/2022/032.266.024-62</v>
      </c>
      <c r="B264" s="63" t="s">
        <v>2772</v>
      </c>
      <c r="C264" s="65">
        <v>44790.694388738426</v>
      </c>
      <c r="D264" s="63" t="s">
        <v>2773</v>
      </c>
      <c r="E264" s="63"/>
      <c r="F264" s="63" t="s">
        <v>2774</v>
      </c>
      <c r="G264" s="63" t="s">
        <v>2772</v>
      </c>
      <c r="H264" s="63" t="s">
        <v>1747</v>
      </c>
      <c r="I264" s="63" t="s">
        <v>2596</v>
      </c>
      <c r="J264" s="63">
        <v>2022</v>
      </c>
      <c r="K264" s="59" t="s">
        <v>16</v>
      </c>
      <c r="L264" s="59" t="s">
        <v>2777</v>
      </c>
      <c r="M264" s="58" t="s">
        <v>234</v>
      </c>
      <c r="N264" s="58" t="s">
        <v>1734</v>
      </c>
      <c r="O264" s="58" t="s">
        <v>2598</v>
      </c>
      <c r="P264" s="58" t="s">
        <v>16</v>
      </c>
    </row>
    <row r="265" spans="1:16" ht="12.5" x14ac:dyDescent="0.25">
      <c r="A265" s="63" t="str">
        <f t="shared" si="1"/>
        <v>035/2022/893.666.464-68</v>
      </c>
      <c r="B265" s="63" t="s">
        <v>2778</v>
      </c>
      <c r="C265" s="65">
        <v>44790.775246516205</v>
      </c>
      <c r="D265" s="63" t="s">
        <v>2779</v>
      </c>
      <c r="E265" s="63"/>
      <c r="F265" s="63" t="s">
        <v>2780</v>
      </c>
      <c r="G265" s="63" t="s">
        <v>2778</v>
      </c>
      <c r="H265" s="63" t="s">
        <v>1747</v>
      </c>
      <c r="I265" s="63" t="s">
        <v>2720</v>
      </c>
      <c r="J265" s="63">
        <v>2022</v>
      </c>
      <c r="K265" s="59" t="s">
        <v>16</v>
      </c>
      <c r="L265" s="59" t="s">
        <v>2781</v>
      </c>
      <c r="M265" s="58" t="s">
        <v>234</v>
      </c>
      <c r="N265" s="58" t="s">
        <v>1734</v>
      </c>
      <c r="O265" s="58" t="s">
        <v>2722</v>
      </c>
      <c r="P265" s="58" t="s">
        <v>16</v>
      </c>
    </row>
    <row r="266" spans="1:16" ht="12.5" x14ac:dyDescent="0.25">
      <c r="A266" s="63" t="str">
        <f t="shared" si="1"/>
        <v>004/2022/917.923.124-15</v>
      </c>
      <c r="B266" s="63" t="s">
        <v>2782</v>
      </c>
      <c r="C266" s="65">
        <v>44791.330916296298</v>
      </c>
      <c r="D266" s="63" t="s">
        <v>2783</v>
      </c>
      <c r="E266" s="63" t="s">
        <v>2784</v>
      </c>
      <c r="F266" s="63" t="s">
        <v>2784</v>
      </c>
      <c r="G266" s="63" t="s">
        <v>2782</v>
      </c>
      <c r="H266" s="63" t="s">
        <v>1740</v>
      </c>
      <c r="I266" s="63" t="s">
        <v>1776</v>
      </c>
      <c r="J266" s="63">
        <v>2022</v>
      </c>
      <c r="K266" s="59" t="s">
        <v>17</v>
      </c>
      <c r="L266" s="59" t="s">
        <v>2785</v>
      </c>
      <c r="M266" s="58" t="s">
        <v>234</v>
      </c>
      <c r="N266" s="58" t="s">
        <v>1734</v>
      </c>
      <c r="O266" s="58" t="s">
        <v>2555</v>
      </c>
      <c r="P266" s="58" t="s">
        <v>17</v>
      </c>
    </row>
    <row r="267" spans="1:16" ht="12.5" x14ac:dyDescent="0.25">
      <c r="A267" s="63" t="str">
        <f t="shared" si="1"/>
        <v>032/2022/097.188.254-10</v>
      </c>
      <c r="B267" s="63" t="s">
        <v>2786</v>
      </c>
      <c r="C267" s="65">
        <v>44791.484201423613</v>
      </c>
      <c r="D267" s="63" t="s">
        <v>2787</v>
      </c>
      <c r="E267" s="63"/>
      <c r="F267" s="63" t="s">
        <v>2788</v>
      </c>
      <c r="G267" s="63" t="s">
        <v>2786</v>
      </c>
      <c r="H267" s="63" t="s">
        <v>1747</v>
      </c>
      <c r="I267" s="63" t="s">
        <v>1741</v>
      </c>
      <c r="J267" s="63">
        <v>2022</v>
      </c>
      <c r="K267" s="59" t="s">
        <v>17</v>
      </c>
      <c r="L267" s="59" t="s">
        <v>2789</v>
      </c>
      <c r="M267" s="58" t="s">
        <v>234</v>
      </c>
      <c r="N267" s="58" t="s">
        <v>1734</v>
      </c>
      <c r="O267" s="58" t="s">
        <v>2627</v>
      </c>
      <c r="P267" s="58" t="s">
        <v>17</v>
      </c>
    </row>
    <row r="268" spans="1:16" ht="12.5" x14ac:dyDescent="0.25">
      <c r="A268" s="63" t="str">
        <f t="shared" si="1"/>
        <v>023/2022/114.917.464-16</v>
      </c>
      <c r="B268" s="63" t="s">
        <v>2790</v>
      </c>
      <c r="C268" s="65">
        <v>44792.812377870374</v>
      </c>
      <c r="D268" s="63" t="s">
        <v>2791</v>
      </c>
      <c r="E268" s="63"/>
      <c r="F268" s="63" t="s">
        <v>2792</v>
      </c>
      <c r="G268" s="63" t="s">
        <v>2790</v>
      </c>
      <c r="H268" s="63" t="s">
        <v>1747</v>
      </c>
      <c r="I268" s="63" t="s">
        <v>2596</v>
      </c>
      <c r="J268" s="63">
        <v>2022</v>
      </c>
      <c r="K268" s="59" t="s">
        <v>16</v>
      </c>
      <c r="L268" s="59" t="s">
        <v>2793</v>
      </c>
      <c r="M268" s="58" t="s">
        <v>234</v>
      </c>
      <c r="N268" s="58" t="s">
        <v>1734</v>
      </c>
      <c r="O268" s="58" t="s">
        <v>2598</v>
      </c>
      <c r="P268" s="58" t="s">
        <v>16</v>
      </c>
    </row>
    <row r="269" spans="1:16" ht="12.5" x14ac:dyDescent="0.25">
      <c r="A269" s="63" t="str">
        <f t="shared" si="1"/>
        <v>032/2022/702.695.774-08</v>
      </c>
      <c r="B269" s="63" t="s">
        <v>2794</v>
      </c>
      <c r="C269" s="65">
        <v>44795.464379224533</v>
      </c>
      <c r="D269" s="63" t="s">
        <v>2795</v>
      </c>
      <c r="E269" s="63" t="s">
        <v>2796</v>
      </c>
      <c r="F269" s="63" t="s">
        <v>2796</v>
      </c>
      <c r="G269" s="63" t="s">
        <v>2794</v>
      </c>
      <c r="H269" s="63" t="s">
        <v>1740</v>
      </c>
      <c r="I269" s="63" t="s">
        <v>1741</v>
      </c>
      <c r="J269" s="63">
        <v>2022</v>
      </c>
      <c r="K269" s="59" t="s">
        <v>17</v>
      </c>
      <c r="L269" s="59" t="s">
        <v>2797</v>
      </c>
      <c r="M269" s="58" t="s">
        <v>234</v>
      </c>
      <c r="N269" s="58" t="s">
        <v>1734</v>
      </c>
      <c r="O269" s="58" t="s">
        <v>2627</v>
      </c>
      <c r="P269" s="58" t="s">
        <v>17</v>
      </c>
    </row>
    <row r="270" spans="1:16" ht="12.5" x14ac:dyDescent="0.25">
      <c r="A270" s="63" t="str">
        <f t="shared" si="1"/>
        <v>035/2022/008.497.294-75</v>
      </c>
      <c r="B270" s="63" t="s">
        <v>2798</v>
      </c>
      <c r="C270" s="65">
        <v>44795.639611006947</v>
      </c>
      <c r="D270" s="63" t="s">
        <v>2799</v>
      </c>
      <c r="E270" s="63"/>
      <c r="F270" s="63" t="s">
        <v>2800</v>
      </c>
      <c r="G270" s="63" t="s">
        <v>2798</v>
      </c>
      <c r="H270" s="63" t="s">
        <v>1747</v>
      </c>
      <c r="I270" s="63" t="s">
        <v>2720</v>
      </c>
      <c r="J270" s="63">
        <v>2022</v>
      </c>
      <c r="K270" s="59" t="s">
        <v>16</v>
      </c>
      <c r="L270" s="59" t="s">
        <v>2801</v>
      </c>
      <c r="M270" s="58" t="s">
        <v>234</v>
      </c>
      <c r="N270" s="58" t="s">
        <v>1734</v>
      </c>
      <c r="O270" s="58" t="s">
        <v>2722</v>
      </c>
      <c r="P270" s="58" t="s">
        <v>16</v>
      </c>
    </row>
    <row r="271" spans="1:16" ht="12.5" x14ac:dyDescent="0.25">
      <c r="A271" s="63" t="str">
        <f t="shared" si="1"/>
        <v>032/2022/065.252.144-40</v>
      </c>
      <c r="B271" s="63" t="s">
        <v>2802</v>
      </c>
      <c r="C271" s="65">
        <v>44796.512410416668</v>
      </c>
      <c r="D271" s="63" t="s">
        <v>2803</v>
      </c>
      <c r="E271" s="63"/>
      <c r="F271" s="63" t="s">
        <v>2804</v>
      </c>
      <c r="G271" s="63" t="s">
        <v>2802</v>
      </c>
      <c r="H271" s="63" t="s">
        <v>1747</v>
      </c>
      <c r="I271" s="63" t="s">
        <v>1741</v>
      </c>
      <c r="J271" s="63">
        <v>2022</v>
      </c>
      <c r="K271" s="59" t="s">
        <v>17</v>
      </c>
      <c r="L271" s="59" t="s">
        <v>2805</v>
      </c>
      <c r="M271" s="58" t="s">
        <v>234</v>
      </c>
      <c r="N271" s="58" t="s">
        <v>1734</v>
      </c>
      <c r="O271" s="58" t="s">
        <v>2627</v>
      </c>
      <c r="P271" s="58" t="s">
        <v>17</v>
      </c>
    </row>
    <row r="272" spans="1:16" ht="12.5" x14ac:dyDescent="0.25">
      <c r="A272" s="63" t="str">
        <f t="shared" si="1"/>
        <v>035/2022/048.935.424-60</v>
      </c>
      <c r="B272" s="63" t="s">
        <v>2806</v>
      </c>
      <c r="C272" s="65">
        <v>44797.518190405091</v>
      </c>
      <c r="D272" s="63" t="s">
        <v>2807</v>
      </c>
      <c r="E272" s="63"/>
      <c r="F272" s="63" t="s">
        <v>2808</v>
      </c>
      <c r="G272" s="63" t="s">
        <v>2806</v>
      </c>
      <c r="H272" s="63" t="s">
        <v>1747</v>
      </c>
      <c r="I272" s="63" t="s">
        <v>2720</v>
      </c>
      <c r="J272" s="63">
        <v>2022</v>
      </c>
      <c r="K272" s="59" t="s">
        <v>16</v>
      </c>
      <c r="L272" s="59" t="s">
        <v>2809</v>
      </c>
      <c r="M272" s="58" t="s">
        <v>234</v>
      </c>
      <c r="N272" s="58" t="s">
        <v>1734</v>
      </c>
      <c r="O272" s="58" t="s">
        <v>2722</v>
      </c>
      <c r="P272" s="58" t="s">
        <v>16</v>
      </c>
    </row>
    <row r="273" spans="1:16" ht="12.5" x14ac:dyDescent="0.25">
      <c r="A273" s="63" t="str">
        <f t="shared" si="1"/>
        <v>032/2022/708.211.464-83</v>
      </c>
      <c r="B273" s="63" t="s">
        <v>2810</v>
      </c>
      <c r="C273" s="65">
        <v>44797.739571469909</v>
      </c>
      <c r="D273" s="63" t="s">
        <v>2811</v>
      </c>
      <c r="E273" s="63"/>
      <c r="F273" s="63" t="s">
        <v>2812</v>
      </c>
      <c r="G273" s="63" t="s">
        <v>2810</v>
      </c>
      <c r="H273" s="63" t="s">
        <v>1747</v>
      </c>
      <c r="I273" s="63" t="s">
        <v>1741</v>
      </c>
      <c r="J273" s="63">
        <v>2022</v>
      </c>
      <c r="K273" s="59" t="s">
        <v>18</v>
      </c>
      <c r="L273" s="59" t="s">
        <v>2813</v>
      </c>
      <c r="M273" s="58" t="s">
        <v>234</v>
      </c>
      <c r="N273" s="58" t="s">
        <v>1734</v>
      </c>
      <c r="O273" s="58" t="s">
        <v>2627</v>
      </c>
      <c r="P273" s="58" t="s">
        <v>18</v>
      </c>
    </row>
    <row r="274" spans="1:16" ht="12.5" x14ac:dyDescent="0.25">
      <c r="A274" s="63" t="str">
        <f t="shared" si="1"/>
        <v>035/2022/559.441.674-91</v>
      </c>
      <c r="B274" s="63" t="s">
        <v>2814</v>
      </c>
      <c r="C274" s="65">
        <v>44798.492527685186</v>
      </c>
      <c r="D274" s="63" t="s">
        <v>2815</v>
      </c>
      <c r="E274" s="63"/>
      <c r="F274" s="63" t="s">
        <v>2816</v>
      </c>
      <c r="G274" s="63" t="s">
        <v>2814</v>
      </c>
      <c r="H274" s="63" t="s">
        <v>1747</v>
      </c>
      <c r="I274" s="63" t="s">
        <v>2720</v>
      </c>
      <c r="J274" s="63">
        <v>2022</v>
      </c>
      <c r="K274" s="59" t="s">
        <v>16</v>
      </c>
      <c r="L274" s="59" t="s">
        <v>2817</v>
      </c>
      <c r="M274" s="58" t="s">
        <v>234</v>
      </c>
      <c r="N274" s="58" t="s">
        <v>1734</v>
      </c>
      <c r="O274" s="58" t="s">
        <v>2722</v>
      </c>
      <c r="P274" s="58" t="s">
        <v>16</v>
      </c>
    </row>
    <row r="275" spans="1:16" ht="12.5" x14ac:dyDescent="0.25">
      <c r="A275" s="63" t="str">
        <f t="shared" si="1"/>
        <v>001/2022/025.071.864-29</v>
      </c>
      <c r="B275" s="63" t="s">
        <v>2818</v>
      </c>
      <c r="C275" s="65">
        <v>44802.304965590272</v>
      </c>
      <c r="D275" s="63" t="s">
        <v>2819</v>
      </c>
      <c r="E275" s="63" t="s">
        <v>2820</v>
      </c>
      <c r="F275" s="63" t="s">
        <v>2821</v>
      </c>
      <c r="G275" s="63" t="s">
        <v>2818</v>
      </c>
      <c r="H275" s="63" t="s">
        <v>1740</v>
      </c>
      <c r="I275" s="63" t="s">
        <v>2279</v>
      </c>
      <c r="J275" s="63">
        <v>2022</v>
      </c>
      <c r="K275" s="59" t="s">
        <v>2822</v>
      </c>
      <c r="L275" s="59" t="s">
        <v>2823</v>
      </c>
      <c r="M275" s="58" t="s">
        <v>234</v>
      </c>
      <c r="N275" s="58" t="s">
        <v>1734</v>
      </c>
      <c r="O275" s="58" t="s">
        <v>2282</v>
      </c>
      <c r="P275" s="58" t="s">
        <v>2822</v>
      </c>
    </row>
    <row r="276" spans="1:16" ht="12.5" x14ac:dyDescent="0.25">
      <c r="A276" s="63" t="str">
        <f t="shared" si="1"/>
        <v>032/2022/055.212.824-40</v>
      </c>
      <c r="B276" s="63" t="s">
        <v>2824</v>
      </c>
      <c r="C276" s="65">
        <v>44803.493327442135</v>
      </c>
      <c r="D276" s="63" t="s">
        <v>2825</v>
      </c>
      <c r="E276" s="63"/>
      <c r="F276" s="63" t="s">
        <v>2826</v>
      </c>
      <c r="G276" s="63" t="s">
        <v>2824</v>
      </c>
      <c r="H276" s="63" t="s">
        <v>1747</v>
      </c>
      <c r="I276" s="63" t="s">
        <v>1741</v>
      </c>
      <c r="J276" s="63">
        <v>2022</v>
      </c>
      <c r="K276" s="59" t="s">
        <v>17</v>
      </c>
      <c r="L276" s="59" t="s">
        <v>2827</v>
      </c>
      <c r="M276" s="58" t="s">
        <v>234</v>
      </c>
      <c r="N276" s="58" t="s">
        <v>1734</v>
      </c>
      <c r="O276" s="58" t="s">
        <v>2627</v>
      </c>
      <c r="P276" s="58" t="s">
        <v>17</v>
      </c>
    </row>
    <row r="277" spans="1:16" ht="12.5" x14ac:dyDescent="0.25">
      <c r="A277" s="63" t="str">
        <f t="shared" si="1"/>
        <v>035/2022/666.954.223-20</v>
      </c>
      <c r="B277" s="63" t="s">
        <v>2828</v>
      </c>
      <c r="C277" s="65">
        <v>44804.574802916672</v>
      </c>
      <c r="D277" s="63" t="s">
        <v>2829</v>
      </c>
      <c r="E277" s="63"/>
      <c r="F277" s="63" t="s">
        <v>2830</v>
      </c>
      <c r="G277" s="63" t="s">
        <v>2828</v>
      </c>
      <c r="H277" s="63" t="s">
        <v>1747</v>
      </c>
      <c r="I277" s="63" t="s">
        <v>2720</v>
      </c>
      <c r="J277" s="63">
        <v>2022</v>
      </c>
      <c r="K277" s="59" t="s">
        <v>16</v>
      </c>
      <c r="L277" s="59" t="s">
        <v>2831</v>
      </c>
      <c r="M277" s="58" t="s">
        <v>234</v>
      </c>
      <c r="N277" s="58" t="s">
        <v>1734</v>
      </c>
      <c r="O277" s="58" t="s">
        <v>2722</v>
      </c>
      <c r="P277" s="58" t="s">
        <v>16</v>
      </c>
    </row>
    <row r="278" spans="1:16" ht="12.5" x14ac:dyDescent="0.25">
      <c r="A278" s="63" t="str">
        <f t="shared" si="1"/>
        <v>046/2021/027.798.834-99</v>
      </c>
      <c r="B278" s="63" t="s">
        <v>2832</v>
      </c>
      <c r="C278" s="65">
        <v>44806.780572650459</v>
      </c>
      <c r="D278" s="63" t="s">
        <v>2833</v>
      </c>
      <c r="E278" s="63"/>
      <c r="F278" s="63" t="s">
        <v>2834</v>
      </c>
      <c r="G278" s="63" t="s">
        <v>2832</v>
      </c>
      <c r="H278" s="63" t="s">
        <v>1747</v>
      </c>
      <c r="I278" s="63" t="s">
        <v>2017</v>
      </c>
      <c r="J278" s="63">
        <v>2021</v>
      </c>
      <c r="K278" s="59" t="s">
        <v>17</v>
      </c>
      <c r="L278" s="59" t="s">
        <v>2835</v>
      </c>
      <c r="M278" s="58" t="s">
        <v>234</v>
      </c>
      <c r="N278" s="58" t="s">
        <v>1734</v>
      </c>
      <c r="O278" s="58" t="s">
        <v>2145</v>
      </c>
      <c r="P278" s="58" t="s">
        <v>17</v>
      </c>
    </row>
    <row r="279" spans="1:16" ht="12.5" x14ac:dyDescent="0.25">
      <c r="A279" s="63" t="str">
        <f t="shared" si="1"/>
        <v>023/2022/075.625.584-85</v>
      </c>
      <c r="B279" s="63" t="s">
        <v>2836</v>
      </c>
      <c r="C279" s="65">
        <v>44808.872601076393</v>
      </c>
      <c r="D279" s="63" t="s">
        <v>2837</v>
      </c>
      <c r="E279" s="63"/>
      <c r="F279" s="63" t="s">
        <v>2838</v>
      </c>
      <c r="G279" s="63" t="s">
        <v>2836</v>
      </c>
      <c r="H279" s="63" t="s">
        <v>1747</v>
      </c>
      <c r="I279" s="63" t="s">
        <v>2596</v>
      </c>
      <c r="J279" s="63">
        <v>2022</v>
      </c>
      <c r="K279" s="59" t="s">
        <v>16</v>
      </c>
      <c r="L279" s="59" t="s">
        <v>2839</v>
      </c>
      <c r="M279" s="58" t="s">
        <v>234</v>
      </c>
      <c r="N279" s="58" t="s">
        <v>1734</v>
      </c>
      <c r="O279" s="58" t="s">
        <v>2598</v>
      </c>
      <c r="P279" s="58" t="s">
        <v>16</v>
      </c>
    </row>
    <row r="280" spans="1:16" ht="12.5" x14ac:dyDescent="0.25">
      <c r="A280" s="63" t="str">
        <f t="shared" si="1"/>
        <v>032/2022/119.546.994-25</v>
      </c>
      <c r="B280" s="63" t="s">
        <v>2840</v>
      </c>
      <c r="C280" s="65">
        <v>44812.763576516205</v>
      </c>
      <c r="D280" s="63" t="s">
        <v>2841</v>
      </c>
      <c r="E280" s="63"/>
      <c r="F280" s="63" t="s">
        <v>2842</v>
      </c>
      <c r="G280" s="63" t="s">
        <v>2840</v>
      </c>
      <c r="H280" s="63" t="s">
        <v>1747</v>
      </c>
      <c r="I280" s="63" t="s">
        <v>1741</v>
      </c>
      <c r="J280" s="63">
        <v>2022</v>
      </c>
      <c r="K280" s="59" t="s">
        <v>17</v>
      </c>
      <c r="L280" s="59" t="s">
        <v>2843</v>
      </c>
      <c r="M280" s="58" t="s">
        <v>234</v>
      </c>
      <c r="N280" s="58" t="s">
        <v>1734</v>
      </c>
      <c r="O280" s="58" t="s">
        <v>2627</v>
      </c>
      <c r="P280" s="58" t="s">
        <v>17</v>
      </c>
    </row>
    <row r="281" spans="1:16" ht="12.5" x14ac:dyDescent="0.25">
      <c r="A281" s="63" t="str">
        <f t="shared" si="1"/>
        <v>035/2022/075.301.864-00</v>
      </c>
      <c r="B281" s="63" t="s">
        <v>2599</v>
      </c>
      <c r="C281" s="65">
        <v>44814.544963749999</v>
      </c>
      <c r="D281" s="63" t="s">
        <v>2607</v>
      </c>
      <c r="E281" s="63"/>
      <c r="F281" s="63" t="s">
        <v>2844</v>
      </c>
      <c r="G281" s="63" t="s">
        <v>2599</v>
      </c>
      <c r="H281" s="63" t="s">
        <v>1747</v>
      </c>
      <c r="I281" s="63" t="s">
        <v>2720</v>
      </c>
      <c r="J281" s="63">
        <v>2022</v>
      </c>
      <c r="K281" s="59" t="s">
        <v>16</v>
      </c>
      <c r="L281" s="59" t="s">
        <v>2845</v>
      </c>
      <c r="M281" s="58" t="s">
        <v>2776</v>
      </c>
      <c r="N281" s="58" t="s">
        <v>1734</v>
      </c>
      <c r="O281" s="58" t="s">
        <v>2722</v>
      </c>
      <c r="P281" s="58" t="s">
        <v>16</v>
      </c>
    </row>
    <row r="282" spans="1:16" ht="12.5" x14ac:dyDescent="0.25">
      <c r="A282" s="63" t="str">
        <f t="shared" si="1"/>
        <v>032/2022/213.123.848-75</v>
      </c>
      <c r="B282" s="63" t="s">
        <v>2846</v>
      </c>
      <c r="C282" s="65">
        <v>44815.682532418985</v>
      </c>
      <c r="D282" s="63" t="s">
        <v>2847</v>
      </c>
      <c r="E282" s="63"/>
      <c r="F282" s="63" t="s">
        <v>2848</v>
      </c>
      <c r="G282" s="63" t="s">
        <v>2846</v>
      </c>
      <c r="H282" s="63" t="s">
        <v>1747</v>
      </c>
      <c r="I282" s="63" t="s">
        <v>1741</v>
      </c>
      <c r="J282" s="63">
        <v>2022</v>
      </c>
      <c r="K282" s="59" t="s">
        <v>18</v>
      </c>
      <c r="L282" s="59" t="s">
        <v>2849</v>
      </c>
      <c r="M282" s="58" t="s">
        <v>234</v>
      </c>
      <c r="N282" s="58" t="s">
        <v>1734</v>
      </c>
      <c r="O282" s="58" t="s">
        <v>2627</v>
      </c>
      <c r="P282" s="58" t="s">
        <v>18</v>
      </c>
    </row>
    <row r="283" spans="1:16" ht="12.5" x14ac:dyDescent="0.25">
      <c r="A283" s="63" t="str">
        <f t="shared" si="1"/>
        <v>023/2022/096.392.494-08</v>
      </c>
      <c r="B283" s="63" t="s">
        <v>2850</v>
      </c>
      <c r="C283" s="65">
        <v>44816.704768831019</v>
      </c>
      <c r="D283" s="63" t="s">
        <v>2851</v>
      </c>
      <c r="E283" s="63"/>
      <c r="F283" s="63" t="s">
        <v>2852</v>
      </c>
      <c r="G283" s="63" t="s">
        <v>2850</v>
      </c>
      <c r="H283" s="63" t="s">
        <v>1747</v>
      </c>
      <c r="I283" s="63" t="s">
        <v>2596</v>
      </c>
      <c r="J283" s="63">
        <v>2022</v>
      </c>
      <c r="K283" s="59" t="s">
        <v>16</v>
      </c>
      <c r="L283" s="59" t="s">
        <v>2853</v>
      </c>
      <c r="M283" s="58" t="s">
        <v>234</v>
      </c>
      <c r="N283" s="58" t="s">
        <v>1734</v>
      </c>
      <c r="O283" s="58" t="s">
        <v>2598</v>
      </c>
      <c r="P283" s="58" t="s">
        <v>16</v>
      </c>
    </row>
    <row r="284" spans="1:16" ht="12.5" x14ac:dyDescent="0.25">
      <c r="A284" s="63" t="str">
        <f t="shared" si="1"/>
        <v>035/2022/043.668.944-83</v>
      </c>
      <c r="B284" s="63" t="s">
        <v>2854</v>
      </c>
      <c r="C284" s="65">
        <v>44817.626574421301</v>
      </c>
      <c r="D284" s="63" t="s">
        <v>2855</v>
      </c>
      <c r="E284" s="63"/>
      <c r="F284" s="63" t="s">
        <v>2856</v>
      </c>
      <c r="G284" s="63" t="s">
        <v>2854</v>
      </c>
      <c r="H284" s="63" t="s">
        <v>1747</v>
      </c>
      <c r="I284" s="63" t="s">
        <v>2720</v>
      </c>
      <c r="J284" s="63">
        <v>2022</v>
      </c>
      <c r="K284" s="59" t="s">
        <v>16</v>
      </c>
      <c r="L284" s="59" t="s">
        <v>2857</v>
      </c>
      <c r="M284" s="58" t="s">
        <v>234</v>
      </c>
      <c r="N284" s="58" t="s">
        <v>1734</v>
      </c>
      <c r="O284" s="58" t="s">
        <v>2722</v>
      </c>
      <c r="P284" s="58" t="s">
        <v>16</v>
      </c>
    </row>
    <row r="285" spans="1:16" ht="12.5" x14ac:dyDescent="0.25">
      <c r="A285" s="63" t="str">
        <f t="shared" si="1"/>
        <v>035/2022/059.294.894-32</v>
      </c>
      <c r="B285" s="63" t="s">
        <v>2858</v>
      </c>
      <c r="C285" s="65">
        <v>44817.645876180555</v>
      </c>
      <c r="D285" s="63" t="s">
        <v>2859</v>
      </c>
      <c r="E285" s="63"/>
      <c r="F285" s="63" t="s">
        <v>2860</v>
      </c>
      <c r="G285" s="63" t="s">
        <v>2858</v>
      </c>
      <c r="H285" s="63" t="s">
        <v>1747</v>
      </c>
      <c r="I285" s="63" t="s">
        <v>2720</v>
      </c>
      <c r="J285" s="63">
        <v>2022</v>
      </c>
      <c r="K285" s="59" t="s">
        <v>16</v>
      </c>
      <c r="L285" s="59" t="s">
        <v>2861</v>
      </c>
      <c r="M285" s="58" t="s">
        <v>234</v>
      </c>
      <c r="N285" s="58" t="s">
        <v>1734</v>
      </c>
      <c r="O285" s="58" t="s">
        <v>2722</v>
      </c>
      <c r="P285" s="58" t="s">
        <v>16</v>
      </c>
    </row>
    <row r="286" spans="1:16" ht="12.5" x14ac:dyDescent="0.25">
      <c r="A286" s="63" t="str">
        <f t="shared" si="1"/>
        <v>035/2022/075.301.864-00</v>
      </c>
      <c r="B286" s="63" t="s">
        <v>2599</v>
      </c>
      <c r="C286" s="65">
        <v>44825.766209756941</v>
      </c>
      <c r="D286" s="63" t="s">
        <v>2607</v>
      </c>
      <c r="E286" s="63"/>
      <c r="F286" s="63" t="s">
        <v>2608</v>
      </c>
      <c r="G286" s="63" t="s">
        <v>2599</v>
      </c>
      <c r="H286" s="63" t="s">
        <v>1747</v>
      </c>
      <c r="I286" s="63" t="s">
        <v>2720</v>
      </c>
      <c r="J286" s="63">
        <v>2022</v>
      </c>
      <c r="K286" s="59" t="s">
        <v>16</v>
      </c>
      <c r="L286" s="59" t="s">
        <v>2862</v>
      </c>
      <c r="M286" s="58" t="s">
        <v>234</v>
      </c>
      <c r="N286" s="58" t="s">
        <v>1734</v>
      </c>
      <c r="O286" s="58" t="s">
        <v>2722</v>
      </c>
      <c r="P286" s="58" t="s">
        <v>16</v>
      </c>
    </row>
    <row r="287" spans="1:16" ht="12.5" x14ac:dyDescent="0.25">
      <c r="A287" s="63" t="str">
        <f t="shared" si="1"/>
        <v>035/2022/104.600.234-11</v>
      </c>
      <c r="B287" s="63" t="s">
        <v>2863</v>
      </c>
      <c r="C287" s="65">
        <v>44826.682756284717</v>
      </c>
      <c r="D287" s="63" t="s">
        <v>2864</v>
      </c>
      <c r="E287" s="63"/>
      <c r="F287" s="63" t="s">
        <v>2865</v>
      </c>
      <c r="G287" s="63" t="s">
        <v>2863</v>
      </c>
      <c r="H287" s="63" t="s">
        <v>1747</v>
      </c>
      <c r="I287" s="63" t="s">
        <v>2720</v>
      </c>
      <c r="J287" s="63">
        <v>2022</v>
      </c>
      <c r="K287" s="59" t="s">
        <v>16</v>
      </c>
      <c r="L287" s="59" t="s">
        <v>2866</v>
      </c>
      <c r="M287" s="58" t="s">
        <v>234</v>
      </c>
      <c r="N287" s="58" t="s">
        <v>1734</v>
      </c>
      <c r="O287" s="58" t="s">
        <v>2722</v>
      </c>
      <c r="P287" s="58" t="s">
        <v>16</v>
      </c>
    </row>
    <row r="288" spans="1:16" ht="12.5" x14ac:dyDescent="0.25">
      <c r="A288" s="63" t="str">
        <f t="shared" si="1"/>
        <v>009/2022/110.951.854-46</v>
      </c>
      <c r="B288" s="63" t="s">
        <v>2867</v>
      </c>
      <c r="C288" s="65">
        <v>44830.30163008102</v>
      </c>
      <c r="D288" s="63" t="s">
        <v>2868</v>
      </c>
      <c r="E288" s="63" t="s">
        <v>2869</v>
      </c>
      <c r="F288" s="63" t="s">
        <v>2869</v>
      </c>
      <c r="G288" s="63" t="s">
        <v>2867</v>
      </c>
      <c r="H288" s="63" t="s">
        <v>1740</v>
      </c>
      <c r="I288" s="63" t="s">
        <v>2870</v>
      </c>
      <c r="J288" s="63">
        <v>2022</v>
      </c>
      <c r="K288" s="59" t="s">
        <v>232</v>
      </c>
      <c r="L288" s="59" t="s">
        <v>2871</v>
      </c>
      <c r="M288" s="58" t="s">
        <v>234</v>
      </c>
      <c r="N288" s="58" t="s">
        <v>1734</v>
      </c>
      <c r="O288" s="58" t="s">
        <v>2872</v>
      </c>
      <c r="P288" s="58" t="s">
        <v>232</v>
      </c>
    </row>
    <row r="289" spans="1:16" ht="12.5" x14ac:dyDescent="0.25">
      <c r="A289" s="63" t="str">
        <f t="shared" si="1"/>
        <v>022/2022/106.977.464-29</v>
      </c>
      <c r="B289" s="63" t="s">
        <v>2873</v>
      </c>
      <c r="C289" s="65">
        <v>44830.489989756941</v>
      </c>
      <c r="D289" s="63" t="s">
        <v>2874</v>
      </c>
      <c r="E289" s="63"/>
      <c r="F289" s="63" t="s">
        <v>2875</v>
      </c>
      <c r="G289" s="63" t="s">
        <v>2873</v>
      </c>
      <c r="H289" s="63" t="s">
        <v>1747</v>
      </c>
      <c r="I289" s="63" t="s">
        <v>2562</v>
      </c>
      <c r="J289" s="63">
        <v>2022</v>
      </c>
      <c r="K289" s="59" t="s">
        <v>17</v>
      </c>
      <c r="L289" s="59" t="s">
        <v>2876</v>
      </c>
      <c r="M289" s="58" t="s">
        <v>234</v>
      </c>
      <c r="N289" s="58" t="s">
        <v>1734</v>
      </c>
      <c r="O289" s="58" t="s">
        <v>2564</v>
      </c>
      <c r="P289" s="58" t="s">
        <v>17</v>
      </c>
    </row>
    <row r="290" spans="1:16" ht="12.5" x14ac:dyDescent="0.25">
      <c r="A290" s="63" t="str">
        <f t="shared" si="1"/>
        <v>032/2022/054.740.304-60</v>
      </c>
      <c r="B290" s="63" t="s">
        <v>2877</v>
      </c>
      <c r="C290" s="65">
        <v>44838.658039016205</v>
      </c>
      <c r="D290" s="63" t="s">
        <v>2878</v>
      </c>
      <c r="E290" s="63" t="s">
        <v>2879</v>
      </c>
      <c r="F290" s="63" t="s">
        <v>2879</v>
      </c>
      <c r="G290" s="63" t="s">
        <v>2877</v>
      </c>
      <c r="H290" s="63" t="s">
        <v>1740</v>
      </c>
      <c r="I290" s="63" t="s">
        <v>1741</v>
      </c>
      <c r="J290" s="63">
        <v>2022</v>
      </c>
      <c r="K290" s="59" t="s">
        <v>17</v>
      </c>
      <c r="L290" s="59" t="s">
        <v>2880</v>
      </c>
      <c r="M290" s="58" t="s">
        <v>2537</v>
      </c>
      <c r="P290" s="58" t="s">
        <v>17</v>
      </c>
    </row>
    <row r="291" spans="1:16" ht="12.5" x14ac:dyDescent="0.25">
      <c r="A291" s="63" t="str">
        <f t="shared" si="1"/>
        <v>035/2022/033.403.295-40</v>
      </c>
      <c r="B291" s="63" t="s">
        <v>2881</v>
      </c>
      <c r="C291" s="65">
        <v>44839.608737210649</v>
      </c>
      <c r="D291" s="63" t="s">
        <v>2882</v>
      </c>
      <c r="E291" s="63"/>
      <c r="F291" s="63" t="s">
        <v>2883</v>
      </c>
      <c r="G291" s="63" t="s">
        <v>2881</v>
      </c>
      <c r="H291" s="63" t="s">
        <v>1747</v>
      </c>
      <c r="I291" s="63" t="s">
        <v>2720</v>
      </c>
      <c r="J291" s="63">
        <v>2022</v>
      </c>
      <c r="K291" s="59" t="s">
        <v>16</v>
      </c>
      <c r="L291" s="59" t="s">
        <v>2884</v>
      </c>
      <c r="M291" s="58" t="s">
        <v>234</v>
      </c>
      <c r="N291" s="58" t="s">
        <v>1734</v>
      </c>
      <c r="O291" s="58" t="s">
        <v>2722</v>
      </c>
      <c r="P291" s="58" t="s">
        <v>16</v>
      </c>
    </row>
    <row r="292" spans="1:16" ht="12.5" x14ac:dyDescent="0.25">
      <c r="A292" s="63" t="str">
        <f t="shared" si="1"/>
        <v>032/2022/054.740.304-60</v>
      </c>
      <c r="B292" s="63" t="s">
        <v>2877</v>
      </c>
      <c r="C292" s="65">
        <v>44839.653963749995</v>
      </c>
      <c r="D292" s="63" t="s">
        <v>2878</v>
      </c>
      <c r="E292" s="63"/>
      <c r="F292" s="63" t="s">
        <v>2885</v>
      </c>
      <c r="G292" s="63" t="s">
        <v>2877</v>
      </c>
      <c r="H292" s="63" t="s">
        <v>1747</v>
      </c>
      <c r="I292" s="63" t="s">
        <v>1741</v>
      </c>
      <c r="J292" s="63">
        <v>2022</v>
      </c>
      <c r="K292" s="59" t="s">
        <v>17</v>
      </c>
      <c r="L292" s="59" t="s">
        <v>2886</v>
      </c>
      <c r="M292" s="58" t="s">
        <v>234</v>
      </c>
      <c r="N292" s="58" t="s">
        <v>1734</v>
      </c>
      <c r="O292" s="58" t="s">
        <v>2627</v>
      </c>
      <c r="P292" s="58" t="s">
        <v>17</v>
      </c>
    </row>
    <row r="293" spans="1:16" ht="12.5" x14ac:dyDescent="0.25">
      <c r="A293" s="63" t="str">
        <f t="shared" si="1"/>
        <v>010/2022/111.655.204-35</v>
      </c>
      <c r="B293" s="63" t="s">
        <v>2887</v>
      </c>
      <c r="C293" s="65">
        <v>44849.422903738421</v>
      </c>
      <c r="D293" s="63" t="s">
        <v>2888</v>
      </c>
      <c r="E293" s="63"/>
      <c r="F293" s="63" t="s">
        <v>2889</v>
      </c>
      <c r="G293" s="63" t="s">
        <v>2887</v>
      </c>
      <c r="H293" s="63" t="s">
        <v>1747</v>
      </c>
      <c r="I293" s="63" t="s">
        <v>2547</v>
      </c>
      <c r="J293" s="63">
        <v>2022</v>
      </c>
      <c r="K293" s="59" t="s">
        <v>16</v>
      </c>
      <c r="L293" s="59" t="s">
        <v>2890</v>
      </c>
      <c r="M293" s="58" t="s">
        <v>234</v>
      </c>
      <c r="N293" s="58" t="s">
        <v>1734</v>
      </c>
      <c r="O293" s="58" t="s">
        <v>2549</v>
      </c>
      <c r="P293" s="58" t="s">
        <v>16</v>
      </c>
    </row>
    <row r="294" spans="1:16" ht="12.5" x14ac:dyDescent="0.25">
      <c r="A294" s="63" t="str">
        <f t="shared" si="1"/>
        <v>023/2022/029.101.054-74</v>
      </c>
      <c r="B294" s="63" t="s">
        <v>2891</v>
      </c>
      <c r="C294" s="65">
        <v>44852.71173978009</v>
      </c>
      <c r="D294" s="63" t="s">
        <v>2892</v>
      </c>
      <c r="E294" s="63"/>
      <c r="F294" s="63" t="s">
        <v>2893</v>
      </c>
      <c r="G294" s="63" t="s">
        <v>2891</v>
      </c>
      <c r="H294" s="63" t="s">
        <v>1747</v>
      </c>
      <c r="I294" s="63" t="s">
        <v>2596</v>
      </c>
      <c r="J294" s="63">
        <v>2022</v>
      </c>
      <c r="K294" s="59" t="s">
        <v>16</v>
      </c>
      <c r="L294" s="59" t="s">
        <v>2894</v>
      </c>
      <c r="M294" s="58" t="s">
        <v>234</v>
      </c>
      <c r="N294" s="58" t="s">
        <v>1734</v>
      </c>
      <c r="O294" s="58" t="s">
        <v>2598</v>
      </c>
      <c r="P294" s="58" t="s">
        <v>16</v>
      </c>
    </row>
    <row r="295" spans="1:16" ht="12.5" x14ac:dyDescent="0.25">
      <c r="A295" s="63" t="str">
        <f t="shared" si="1"/>
        <v>022/2022/010.402.294-92</v>
      </c>
      <c r="B295" s="63" t="s">
        <v>2895</v>
      </c>
      <c r="C295" s="65">
        <v>44854.975895729163</v>
      </c>
      <c r="D295" s="63" t="s">
        <v>2896</v>
      </c>
      <c r="E295" s="63"/>
      <c r="F295" s="63" t="s">
        <v>2897</v>
      </c>
      <c r="G295" s="63" t="s">
        <v>2895</v>
      </c>
      <c r="H295" s="63" t="s">
        <v>1747</v>
      </c>
      <c r="I295" s="63" t="s">
        <v>2562</v>
      </c>
      <c r="J295" s="63">
        <v>2022</v>
      </c>
      <c r="K295" s="59" t="s">
        <v>17</v>
      </c>
      <c r="L295" s="59" t="s">
        <v>2898</v>
      </c>
      <c r="M295" s="58" t="s">
        <v>234</v>
      </c>
      <c r="N295" s="58" t="s">
        <v>1734</v>
      </c>
      <c r="O295" s="58" t="s">
        <v>2564</v>
      </c>
      <c r="P295" s="58" t="s">
        <v>17</v>
      </c>
    </row>
    <row r="296" spans="1:16" ht="12.5" x14ac:dyDescent="0.25">
      <c r="A296" s="63" t="str">
        <f t="shared" si="1"/>
        <v>032/2021/261.777.734-00</v>
      </c>
      <c r="B296" s="63" t="s">
        <v>2899</v>
      </c>
      <c r="C296" s="65">
        <v>44858.446424699076</v>
      </c>
      <c r="D296" s="63" t="s">
        <v>2701</v>
      </c>
      <c r="E296" s="63" t="s">
        <v>2667</v>
      </c>
      <c r="F296" s="63" t="s">
        <v>2900</v>
      </c>
      <c r="G296" s="63" t="s">
        <v>2899</v>
      </c>
      <c r="H296" s="63" t="s">
        <v>1740</v>
      </c>
      <c r="I296" s="63" t="s">
        <v>1741</v>
      </c>
      <c r="J296" s="63">
        <v>2021</v>
      </c>
      <c r="K296" s="59" t="s">
        <v>17</v>
      </c>
      <c r="L296" s="59" t="s">
        <v>2901</v>
      </c>
      <c r="M296" s="58" t="s">
        <v>234</v>
      </c>
      <c r="N296" s="58" t="s">
        <v>1734</v>
      </c>
      <c r="O296" s="58" t="s">
        <v>1743</v>
      </c>
      <c r="P296" s="58" t="s">
        <v>17</v>
      </c>
    </row>
    <row r="297" spans="1:16" ht="12.5" x14ac:dyDescent="0.25">
      <c r="A297" s="63" t="str">
        <f t="shared" si="1"/>
        <v>032/2022/104.600.234-11</v>
      </c>
      <c r="B297" s="63" t="s">
        <v>2863</v>
      </c>
      <c r="C297" s="65">
        <v>44861.44694292824</v>
      </c>
      <c r="D297" s="63" t="s">
        <v>2864</v>
      </c>
      <c r="E297" s="63"/>
      <c r="F297" s="63" t="s">
        <v>2865</v>
      </c>
      <c r="G297" s="63" t="s">
        <v>2863</v>
      </c>
      <c r="H297" s="63" t="s">
        <v>1747</v>
      </c>
      <c r="I297" s="63" t="s">
        <v>1741</v>
      </c>
      <c r="J297" s="63">
        <v>2022</v>
      </c>
      <c r="K297" s="59" t="s">
        <v>18</v>
      </c>
      <c r="L297" s="59" t="s">
        <v>2902</v>
      </c>
      <c r="M297" s="58" t="s">
        <v>234</v>
      </c>
      <c r="N297" s="58" t="s">
        <v>1734</v>
      </c>
      <c r="O297" s="58" t="s">
        <v>2627</v>
      </c>
      <c r="P297" s="58" t="s">
        <v>18</v>
      </c>
    </row>
    <row r="298" spans="1:16" ht="12.5" x14ac:dyDescent="0.25">
      <c r="A298" s="63" t="str">
        <f t="shared" si="1"/>
        <v>034/2022/051.976.684-90</v>
      </c>
      <c r="B298" s="63" t="s">
        <v>2903</v>
      </c>
      <c r="C298" s="65">
        <v>44861.914052280088</v>
      </c>
      <c r="D298" s="63" t="s">
        <v>2904</v>
      </c>
      <c r="E298" s="63"/>
      <c r="F298" s="63" t="s">
        <v>2905</v>
      </c>
      <c r="G298" s="63" t="s">
        <v>2903</v>
      </c>
      <c r="H298" s="63" t="s">
        <v>1747</v>
      </c>
      <c r="I298" s="63" t="s">
        <v>2906</v>
      </c>
      <c r="J298" s="63">
        <v>2022</v>
      </c>
      <c r="K298" s="59" t="s">
        <v>16</v>
      </c>
      <c r="L298" s="59" t="s">
        <v>2907</v>
      </c>
      <c r="M298" s="58" t="s">
        <v>234</v>
      </c>
      <c r="N298" s="58" t="s">
        <v>1734</v>
      </c>
      <c r="O298" s="58" t="s">
        <v>2908</v>
      </c>
      <c r="P298" s="58" t="s">
        <v>16</v>
      </c>
    </row>
    <row r="299" spans="1:16" ht="12.5" x14ac:dyDescent="0.25">
      <c r="A299" s="63" t="str">
        <f t="shared" si="1"/>
        <v>022/2022/097.390.974-99</v>
      </c>
      <c r="B299" s="63" t="s">
        <v>2413</v>
      </c>
      <c r="C299" s="65">
        <v>44862.427171817129</v>
      </c>
      <c r="D299" s="63" t="s">
        <v>2909</v>
      </c>
      <c r="E299" s="63"/>
      <c r="F299" s="63" t="s">
        <v>2910</v>
      </c>
      <c r="G299" s="63" t="s">
        <v>2413</v>
      </c>
      <c r="H299" s="63" t="s">
        <v>1747</v>
      </c>
      <c r="I299" s="63" t="s">
        <v>2562</v>
      </c>
      <c r="J299" s="63">
        <v>2022</v>
      </c>
      <c r="K299" s="59" t="s">
        <v>17</v>
      </c>
      <c r="L299" s="59" t="s">
        <v>2911</v>
      </c>
      <c r="M299" s="58" t="s">
        <v>234</v>
      </c>
      <c r="N299" s="58" t="s">
        <v>1734</v>
      </c>
      <c r="O299" s="58" t="s">
        <v>2564</v>
      </c>
      <c r="P299" s="58" t="s">
        <v>17</v>
      </c>
    </row>
    <row r="300" spans="1:16" ht="12.5" x14ac:dyDescent="0.25">
      <c r="A300" s="63" t="str">
        <f t="shared" si="1"/>
        <v>005/2022/038.779.463-80</v>
      </c>
      <c r="B300" s="63" t="s">
        <v>2912</v>
      </c>
      <c r="C300" s="65">
        <v>44862.479023877313</v>
      </c>
      <c r="D300" s="63" t="s">
        <v>2913</v>
      </c>
      <c r="E300" s="63"/>
      <c r="F300" s="63" t="s">
        <v>2914</v>
      </c>
      <c r="G300" s="63" t="s">
        <v>2912</v>
      </c>
      <c r="H300" s="63" t="s">
        <v>1747</v>
      </c>
      <c r="I300" s="63" t="s">
        <v>2388</v>
      </c>
      <c r="J300" s="63">
        <v>2022</v>
      </c>
      <c r="K300" s="59" t="s">
        <v>18</v>
      </c>
      <c r="L300" s="59" t="s">
        <v>2915</v>
      </c>
      <c r="M300" s="58" t="s">
        <v>234</v>
      </c>
      <c r="N300" s="58" t="s">
        <v>1734</v>
      </c>
      <c r="O300" s="58" t="s">
        <v>2390</v>
      </c>
      <c r="P300" s="58" t="s">
        <v>18</v>
      </c>
    </row>
    <row r="301" spans="1:16" ht="12.5" x14ac:dyDescent="0.25">
      <c r="A301" s="63" t="str">
        <f t="shared" si="1"/>
        <v>004/2022/090.385.124-57</v>
      </c>
      <c r="B301" s="63" t="s">
        <v>2916</v>
      </c>
      <c r="C301" s="65">
        <v>44865.563147129629</v>
      </c>
      <c r="D301" s="63" t="s">
        <v>2917</v>
      </c>
      <c r="E301" s="63"/>
      <c r="F301" s="63" t="s">
        <v>2918</v>
      </c>
      <c r="G301" s="63" t="s">
        <v>2916</v>
      </c>
      <c r="H301" s="63" t="s">
        <v>1747</v>
      </c>
      <c r="I301" s="63" t="s">
        <v>1776</v>
      </c>
      <c r="J301" s="63">
        <v>2022</v>
      </c>
      <c r="K301" s="59" t="s">
        <v>17</v>
      </c>
      <c r="L301" s="59" t="s">
        <v>2919</v>
      </c>
      <c r="M301" s="58" t="s">
        <v>234</v>
      </c>
      <c r="N301" s="58" t="s">
        <v>1734</v>
      </c>
      <c r="O301" s="58" t="s">
        <v>2555</v>
      </c>
      <c r="P301" s="58" t="s">
        <v>17</v>
      </c>
    </row>
    <row r="302" spans="1:16" ht="12.5" x14ac:dyDescent="0.25">
      <c r="A302" s="63" t="str">
        <f t="shared" si="1"/>
        <v>035/2022/117.408.594-05</v>
      </c>
      <c r="B302" s="63" t="s">
        <v>2920</v>
      </c>
      <c r="C302" s="65">
        <v>44872.473090150466</v>
      </c>
      <c r="D302" s="63" t="s">
        <v>2921</v>
      </c>
      <c r="E302" s="63"/>
      <c r="F302" s="63" t="s">
        <v>2922</v>
      </c>
      <c r="G302" s="63" t="s">
        <v>2920</v>
      </c>
      <c r="H302" s="63" t="s">
        <v>1747</v>
      </c>
      <c r="I302" s="63" t="s">
        <v>2720</v>
      </c>
      <c r="J302" s="63">
        <v>2022</v>
      </c>
      <c r="K302" s="59" t="s">
        <v>16</v>
      </c>
      <c r="L302" s="59" t="s">
        <v>2923</v>
      </c>
      <c r="M302" s="58" t="s">
        <v>234</v>
      </c>
      <c r="N302" s="58" t="s">
        <v>1734</v>
      </c>
      <c r="O302" s="58" t="s">
        <v>2722</v>
      </c>
      <c r="P302" s="58" t="s">
        <v>16</v>
      </c>
    </row>
    <row r="303" spans="1:16" ht="12.5" x14ac:dyDescent="0.25">
      <c r="A303" s="63" t="str">
        <f t="shared" si="1"/>
        <v>023/2022/052.447.744-25</v>
      </c>
      <c r="B303" s="63" t="s">
        <v>2924</v>
      </c>
      <c r="C303" s="65">
        <v>44873.541061122683</v>
      </c>
      <c r="D303" s="63" t="s">
        <v>2925</v>
      </c>
      <c r="E303" s="63"/>
      <c r="F303" s="63" t="s">
        <v>2926</v>
      </c>
      <c r="G303" s="63" t="s">
        <v>2924</v>
      </c>
      <c r="H303" s="63" t="s">
        <v>1747</v>
      </c>
      <c r="I303" s="63" t="s">
        <v>2596</v>
      </c>
      <c r="J303" s="63">
        <v>2022</v>
      </c>
      <c r="K303" s="59" t="s">
        <v>16</v>
      </c>
      <c r="L303" s="59" t="s">
        <v>2927</v>
      </c>
      <c r="M303" s="58" t="s">
        <v>2776</v>
      </c>
    </row>
    <row r="304" spans="1:16" ht="12.5" x14ac:dyDescent="0.25">
      <c r="A304" s="63" t="str">
        <f t="shared" si="1"/>
        <v>022/2022/064.109.324-13</v>
      </c>
      <c r="B304" s="63" t="s">
        <v>2928</v>
      </c>
      <c r="C304" s="65">
        <v>44886.519794618056</v>
      </c>
      <c r="D304" s="63" t="s">
        <v>2929</v>
      </c>
      <c r="E304" s="63"/>
      <c r="F304" s="63" t="s">
        <v>2930</v>
      </c>
      <c r="G304" s="63" t="s">
        <v>2928</v>
      </c>
      <c r="H304" s="63" t="s">
        <v>1747</v>
      </c>
      <c r="I304" s="63" t="s">
        <v>2562</v>
      </c>
      <c r="J304" s="63">
        <v>2022</v>
      </c>
      <c r="K304" s="59" t="s">
        <v>18</v>
      </c>
      <c r="L304" s="59" t="s">
        <v>2931</v>
      </c>
      <c r="M304" s="58" t="s">
        <v>234</v>
      </c>
      <c r="N304" s="58" t="s">
        <v>1734</v>
      </c>
      <c r="O304" s="58" t="s">
        <v>2564</v>
      </c>
      <c r="P304" s="58" t="s">
        <v>18</v>
      </c>
    </row>
    <row r="305" spans="1:17" ht="12.5" x14ac:dyDescent="0.25">
      <c r="A305" s="63" t="str">
        <f t="shared" si="1"/>
        <v>006/2022/099.359.584-77</v>
      </c>
      <c r="B305" s="63" t="s">
        <v>2932</v>
      </c>
      <c r="C305" s="65">
        <v>44907.615665659723</v>
      </c>
      <c r="D305" s="63" t="s">
        <v>2933</v>
      </c>
      <c r="E305" s="63"/>
      <c r="F305" s="63" t="s">
        <v>2934</v>
      </c>
      <c r="G305" s="63" t="s">
        <v>2932</v>
      </c>
      <c r="H305" s="63" t="s">
        <v>1747</v>
      </c>
      <c r="I305" s="63" t="s">
        <v>2935</v>
      </c>
      <c r="J305" s="63">
        <v>2022</v>
      </c>
      <c r="K305" s="59" t="s">
        <v>232</v>
      </c>
      <c r="L305" s="59" t="s">
        <v>2936</v>
      </c>
      <c r="M305" s="58" t="s">
        <v>2776</v>
      </c>
    </row>
    <row r="306" spans="1:17" ht="12.5" x14ac:dyDescent="0.25">
      <c r="A306" s="63" t="str">
        <f t="shared" si="1"/>
        <v>032/2022/018.355.404-30</v>
      </c>
      <c r="B306" s="63" t="s">
        <v>2937</v>
      </c>
      <c r="C306" s="65">
        <v>44924.992281689818</v>
      </c>
      <c r="D306" s="63" t="s">
        <v>2938</v>
      </c>
      <c r="E306" s="63"/>
      <c r="F306" s="63" t="s">
        <v>2939</v>
      </c>
      <c r="G306" s="63" t="s">
        <v>2937</v>
      </c>
      <c r="H306" s="63" t="s">
        <v>1747</v>
      </c>
      <c r="I306" s="63" t="s">
        <v>1741</v>
      </c>
      <c r="J306" s="63">
        <v>2022</v>
      </c>
      <c r="K306" s="59" t="s">
        <v>18</v>
      </c>
      <c r="L306" s="59" t="s">
        <v>2940</v>
      </c>
      <c r="M306" s="58" t="s">
        <v>234</v>
      </c>
      <c r="N306" s="58" t="s">
        <v>1734</v>
      </c>
      <c r="O306" s="58" t="s">
        <v>2627</v>
      </c>
      <c r="P306" s="58" t="s">
        <v>18</v>
      </c>
    </row>
    <row r="307" spans="1:17" ht="12.5" x14ac:dyDescent="0.25">
      <c r="A307" s="63" t="str">
        <f t="shared" si="1"/>
        <v>002/2022/096.846.764-41</v>
      </c>
      <c r="B307" s="63" t="s">
        <v>2941</v>
      </c>
      <c r="C307" s="65">
        <v>44944.693140509262</v>
      </c>
      <c r="D307" s="63" t="s">
        <v>2942</v>
      </c>
      <c r="E307" s="63"/>
      <c r="F307" s="63" t="s">
        <v>2943</v>
      </c>
      <c r="G307" s="63" t="s">
        <v>2941</v>
      </c>
      <c r="H307" s="63" t="s">
        <v>1747</v>
      </c>
      <c r="I307" s="63" t="s">
        <v>2420</v>
      </c>
      <c r="J307" s="63">
        <v>2022</v>
      </c>
      <c r="K307" s="59" t="s">
        <v>2944</v>
      </c>
      <c r="L307" s="59" t="s">
        <v>2945</v>
      </c>
      <c r="M307" s="58" t="s">
        <v>234</v>
      </c>
      <c r="N307" s="58" t="s">
        <v>1734</v>
      </c>
      <c r="O307" s="58" t="s">
        <v>2422</v>
      </c>
      <c r="P307" s="58" t="s">
        <v>2944</v>
      </c>
    </row>
    <row r="308" spans="1:17" ht="12.5" x14ac:dyDescent="0.25">
      <c r="A308" s="63" t="str">
        <f t="shared" si="1"/>
        <v>014/2022/111.615.264-98</v>
      </c>
      <c r="B308" s="63" t="s">
        <v>2946</v>
      </c>
      <c r="C308" s="65">
        <v>44944.732591851847</v>
      </c>
      <c r="D308" s="63" t="s">
        <v>2947</v>
      </c>
      <c r="E308" s="63"/>
      <c r="F308" s="63" t="s">
        <v>2948</v>
      </c>
      <c r="G308" s="63" t="s">
        <v>2946</v>
      </c>
      <c r="H308" s="63" t="s">
        <v>1747</v>
      </c>
      <c r="I308" s="63" t="s">
        <v>1902</v>
      </c>
      <c r="J308" s="63">
        <v>2022</v>
      </c>
      <c r="K308" s="59" t="s">
        <v>2949</v>
      </c>
      <c r="L308" s="59" t="s">
        <v>2950</v>
      </c>
      <c r="M308" s="58" t="s">
        <v>234</v>
      </c>
      <c r="N308" s="58" t="s">
        <v>1734</v>
      </c>
      <c r="O308" s="58" t="s">
        <v>2486</v>
      </c>
      <c r="P308" s="58" t="s">
        <v>2949</v>
      </c>
    </row>
    <row r="309" spans="1:17" ht="12.5" x14ac:dyDescent="0.25">
      <c r="A309" s="63" t="str">
        <f t="shared" si="1"/>
        <v>014/2022/094.900.857-58</v>
      </c>
      <c r="B309" s="63" t="s">
        <v>2951</v>
      </c>
      <c r="C309" s="65">
        <v>44944.75848704861</v>
      </c>
      <c r="D309" s="63" t="s">
        <v>2952</v>
      </c>
      <c r="E309" s="63"/>
      <c r="F309" s="63" t="s">
        <v>2953</v>
      </c>
      <c r="G309" s="63" t="s">
        <v>2951</v>
      </c>
      <c r="H309" s="63" t="s">
        <v>1747</v>
      </c>
      <c r="I309" s="63" t="s">
        <v>1902</v>
      </c>
      <c r="J309" s="63">
        <v>2022</v>
      </c>
      <c r="K309" s="59" t="s">
        <v>2949</v>
      </c>
      <c r="L309" s="59" t="s">
        <v>2954</v>
      </c>
      <c r="M309" s="58" t="s">
        <v>234</v>
      </c>
      <c r="N309" s="58" t="s">
        <v>1734</v>
      </c>
      <c r="O309" s="58" t="s">
        <v>2486</v>
      </c>
      <c r="P309" s="58" t="s">
        <v>2949</v>
      </c>
    </row>
    <row r="310" spans="1:17" ht="12.5" x14ac:dyDescent="0.25">
      <c r="A310" s="63" t="str">
        <f t="shared" si="1"/>
        <v>002/2022/068.759.244-55</v>
      </c>
      <c r="B310" s="63" t="s">
        <v>2955</v>
      </c>
      <c r="C310" s="65">
        <v>44944.78321775463</v>
      </c>
      <c r="D310" s="63" t="s">
        <v>2956</v>
      </c>
      <c r="E310" s="63"/>
      <c r="F310" s="63" t="s">
        <v>2957</v>
      </c>
      <c r="G310" s="63" t="s">
        <v>2955</v>
      </c>
      <c r="H310" s="63" t="s">
        <v>1747</v>
      </c>
      <c r="I310" s="63" t="s">
        <v>2420</v>
      </c>
      <c r="J310" s="63">
        <v>2022</v>
      </c>
      <c r="K310" s="59" t="s">
        <v>2944</v>
      </c>
      <c r="L310" s="59" t="s">
        <v>2958</v>
      </c>
      <c r="M310" s="58" t="s">
        <v>234</v>
      </c>
      <c r="N310" s="58" t="s">
        <v>1734</v>
      </c>
      <c r="O310" s="58" t="s">
        <v>2422</v>
      </c>
      <c r="P310" s="58" t="s">
        <v>2944</v>
      </c>
    </row>
    <row r="311" spans="1:17" ht="12.5" x14ac:dyDescent="0.25">
      <c r="A311" s="63" t="str">
        <f t="shared" si="1"/>
        <v>014/2022/056.756.094-58</v>
      </c>
      <c r="B311" s="63" t="s">
        <v>2959</v>
      </c>
      <c r="C311" s="65">
        <v>44944.828777129631</v>
      </c>
      <c r="D311" s="63" t="s">
        <v>2960</v>
      </c>
      <c r="E311" s="63"/>
      <c r="F311" s="63" t="s">
        <v>2961</v>
      </c>
      <c r="G311" s="63" t="s">
        <v>2959</v>
      </c>
      <c r="H311" s="63" t="s">
        <v>1747</v>
      </c>
      <c r="I311" s="63" t="s">
        <v>1902</v>
      </c>
      <c r="J311" s="63">
        <v>2022</v>
      </c>
      <c r="K311" s="59" t="s">
        <v>2949</v>
      </c>
      <c r="L311" s="59" t="s">
        <v>2962</v>
      </c>
      <c r="M311" s="58" t="s">
        <v>234</v>
      </c>
      <c r="N311" s="58" t="s">
        <v>1734</v>
      </c>
      <c r="O311" s="58" t="s">
        <v>2486</v>
      </c>
      <c r="P311" s="58" t="s">
        <v>2949</v>
      </c>
    </row>
    <row r="312" spans="1:17" ht="12.5" x14ac:dyDescent="0.25">
      <c r="A312" s="63" t="str">
        <f t="shared" si="1"/>
        <v>014/2022/101.599.774-01</v>
      </c>
      <c r="B312" s="63" t="s">
        <v>2963</v>
      </c>
      <c r="C312" s="65">
        <v>44945.400203263889</v>
      </c>
      <c r="D312" s="63" t="s">
        <v>2964</v>
      </c>
      <c r="E312" s="63"/>
      <c r="F312" s="63" t="s">
        <v>2965</v>
      </c>
      <c r="G312" s="63" t="s">
        <v>2963</v>
      </c>
      <c r="H312" s="63" t="s">
        <v>1747</v>
      </c>
      <c r="I312" s="63" t="s">
        <v>1902</v>
      </c>
      <c r="J312" s="63">
        <v>2022</v>
      </c>
      <c r="K312" s="59" t="s">
        <v>2949</v>
      </c>
      <c r="L312" s="59" t="s">
        <v>2966</v>
      </c>
      <c r="M312" s="58" t="s">
        <v>234</v>
      </c>
      <c r="N312" s="58" t="s">
        <v>1734</v>
      </c>
      <c r="O312" s="58" t="s">
        <v>2486</v>
      </c>
      <c r="P312" s="58" t="s">
        <v>2949</v>
      </c>
    </row>
    <row r="313" spans="1:17" ht="12.5" x14ac:dyDescent="0.25">
      <c r="A313" s="63" t="str">
        <f t="shared" si="1"/>
        <v>014/2022/062.360.464-76</v>
      </c>
      <c r="B313" s="63" t="s">
        <v>2967</v>
      </c>
      <c r="C313" s="65">
        <v>44945.402219942131</v>
      </c>
      <c r="D313" s="63" t="s">
        <v>2968</v>
      </c>
      <c r="E313" s="63"/>
      <c r="F313" s="63" t="s">
        <v>2969</v>
      </c>
      <c r="G313" s="63" t="s">
        <v>2967</v>
      </c>
      <c r="H313" s="63" t="s">
        <v>1747</v>
      </c>
      <c r="I313" s="63" t="s">
        <v>1902</v>
      </c>
      <c r="J313" s="63">
        <v>2022</v>
      </c>
      <c r="K313" s="59" t="s">
        <v>2949</v>
      </c>
      <c r="L313" s="59" t="s">
        <v>2970</v>
      </c>
      <c r="M313" s="58" t="s">
        <v>234</v>
      </c>
      <c r="N313" s="58" t="s">
        <v>1734</v>
      </c>
      <c r="O313" s="58" t="s">
        <v>2486</v>
      </c>
      <c r="P313" s="58" t="s">
        <v>2949</v>
      </c>
    </row>
    <row r="314" spans="1:17" ht="12.5" x14ac:dyDescent="0.25">
      <c r="A314" s="63" t="str">
        <f t="shared" si="1"/>
        <v>002/2022/046.802.764-52</v>
      </c>
      <c r="B314" s="63" t="s">
        <v>2971</v>
      </c>
      <c r="C314" s="65">
        <v>44945.406265868056</v>
      </c>
      <c r="D314" s="63" t="s">
        <v>2972</v>
      </c>
      <c r="E314" s="63"/>
      <c r="F314" s="63" t="s">
        <v>2973</v>
      </c>
      <c r="G314" s="63" t="s">
        <v>2971</v>
      </c>
      <c r="H314" s="63" t="s">
        <v>1747</v>
      </c>
      <c r="I314" s="63" t="s">
        <v>2420</v>
      </c>
      <c r="J314" s="63">
        <v>2022</v>
      </c>
      <c r="K314" s="59" t="s">
        <v>2944</v>
      </c>
      <c r="L314" s="59" t="s">
        <v>2974</v>
      </c>
      <c r="M314" s="58" t="s">
        <v>234</v>
      </c>
      <c r="N314" s="58" t="s">
        <v>1734</v>
      </c>
      <c r="O314" s="58" t="s">
        <v>2422</v>
      </c>
      <c r="P314" s="58" t="s">
        <v>2944</v>
      </c>
    </row>
    <row r="315" spans="1:17" ht="12.5" x14ac:dyDescent="0.25">
      <c r="A315" s="63" t="str">
        <f t="shared" si="1"/>
        <v>014/2021/079.194.884-60</v>
      </c>
      <c r="B315" s="63" t="s">
        <v>2975</v>
      </c>
      <c r="C315" s="65">
        <v>44945.644682881946</v>
      </c>
      <c r="D315" s="63" t="s">
        <v>2976</v>
      </c>
      <c r="E315" s="63"/>
      <c r="F315" s="63" t="s">
        <v>2977</v>
      </c>
      <c r="G315" s="63" t="s">
        <v>2975</v>
      </c>
      <c r="H315" s="63" t="s">
        <v>1747</v>
      </c>
      <c r="I315" s="63" t="s">
        <v>1902</v>
      </c>
      <c r="J315" s="63">
        <v>2021</v>
      </c>
      <c r="K315" s="59" t="s">
        <v>18</v>
      </c>
      <c r="L315" s="59" t="s">
        <v>2978</v>
      </c>
      <c r="M315" s="58" t="s">
        <v>234</v>
      </c>
      <c r="N315" s="58" t="s">
        <v>1734</v>
      </c>
      <c r="O315" s="58" t="s">
        <v>1904</v>
      </c>
      <c r="P315" s="58" t="s">
        <v>18</v>
      </c>
    </row>
    <row r="316" spans="1:17" ht="12.5" x14ac:dyDescent="0.25">
      <c r="A316" s="63" t="str">
        <f t="shared" si="1"/>
        <v>014/2021/079.194.884-60</v>
      </c>
      <c r="B316" s="63" t="s">
        <v>2975</v>
      </c>
      <c r="C316" s="65">
        <v>44945.648527951387</v>
      </c>
      <c r="D316" s="63" t="s">
        <v>2976</v>
      </c>
      <c r="E316" s="63"/>
      <c r="F316" s="63" t="s">
        <v>2979</v>
      </c>
      <c r="G316" s="63" t="s">
        <v>2975</v>
      </c>
      <c r="H316" s="63" t="s">
        <v>1747</v>
      </c>
      <c r="I316" s="63" t="s">
        <v>1902</v>
      </c>
      <c r="J316" s="63">
        <v>2021</v>
      </c>
      <c r="K316" s="59" t="s">
        <v>18</v>
      </c>
      <c r="L316" s="59" t="s">
        <v>2980</v>
      </c>
      <c r="Q316" s="58" t="s">
        <v>2981</v>
      </c>
    </row>
    <row r="317" spans="1:17" ht="12.5" x14ac:dyDescent="0.25">
      <c r="A317" s="63" t="str">
        <f t="shared" si="1"/>
        <v>038/2022/092.975.604-58</v>
      </c>
      <c r="B317" s="63" t="s">
        <v>2982</v>
      </c>
      <c r="C317" s="65">
        <v>44945.738067569444</v>
      </c>
      <c r="D317" s="63" t="s">
        <v>2983</v>
      </c>
      <c r="E317" s="63"/>
      <c r="F317" s="63" t="s">
        <v>2984</v>
      </c>
      <c r="G317" s="63" t="s">
        <v>2982</v>
      </c>
      <c r="H317" s="63" t="s">
        <v>1747</v>
      </c>
      <c r="I317" s="63" t="s">
        <v>1867</v>
      </c>
      <c r="J317" s="63">
        <v>2022</v>
      </c>
      <c r="K317" s="59" t="s">
        <v>17</v>
      </c>
      <c r="L317" s="59" t="s">
        <v>2985</v>
      </c>
      <c r="M317" s="58" t="s">
        <v>234</v>
      </c>
      <c r="N317" s="58" t="s">
        <v>1734</v>
      </c>
      <c r="O317" s="58" t="s">
        <v>2986</v>
      </c>
      <c r="P317" s="58" t="s">
        <v>17</v>
      </c>
    </row>
    <row r="318" spans="1:17" ht="12.5" x14ac:dyDescent="0.25">
      <c r="A318" s="63" t="str">
        <f t="shared" si="1"/>
        <v>014/2021/009.386.554-69</v>
      </c>
      <c r="B318" s="63" t="s">
        <v>2987</v>
      </c>
      <c r="C318" s="65">
        <v>44945.907833020829</v>
      </c>
      <c r="D318" s="63" t="s">
        <v>2819</v>
      </c>
      <c r="E318" s="63"/>
      <c r="F318" s="63" t="s">
        <v>2820</v>
      </c>
      <c r="G318" s="63" t="s">
        <v>2987</v>
      </c>
      <c r="H318" s="63" t="s">
        <v>1747</v>
      </c>
      <c r="I318" s="63" t="s">
        <v>1902</v>
      </c>
      <c r="J318" s="63">
        <v>2021</v>
      </c>
      <c r="K318" s="59" t="s">
        <v>17</v>
      </c>
      <c r="L318" s="59" t="s">
        <v>2988</v>
      </c>
      <c r="M318" s="58" t="s">
        <v>234</v>
      </c>
      <c r="N318" s="58" t="s">
        <v>1734</v>
      </c>
      <c r="O318" s="58" t="s">
        <v>1904</v>
      </c>
      <c r="P318" s="58" t="s">
        <v>17</v>
      </c>
    </row>
    <row r="319" spans="1:17" ht="12.5" x14ac:dyDescent="0.25">
      <c r="A319" s="63" t="str">
        <f t="shared" si="1"/>
        <v>014/2021/036.677.104-37</v>
      </c>
      <c r="B319" s="63" t="s">
        <v>2989</v>
      </c>
      <c r="C319" s="65">
        <v>44958.367022858802</v>
      </c>
      <c r="D319" s="63" t="s">
        <v>2990</v>
      </c>
      <c r="E319" s="63"/>
      <c r="F319" s="63" t="s">
        <v>2991</v>
      </c>
      <c r="G319" s="63" t="s">
        <v>2989</v>
      </c>
      <c r="H319" s="63" t="s">
        <v>1747</v>
      </c>
      <c r="I319" s="63" t="s">
        <v>1902</v>
      </c>
      <c r="J319" s="63">
        <v>2021</v>
      </c>
      <c r="K319" s="59" t="s">
        <v>232</v>
      </c>
      <c r="L319" s="59" t="s">
        <v>2992</v>
      </c>
      <c r="M319" s="58" t="s">
        <v>234</v>
      </c>
      <c r="N319" s="58" t="s">
        <v>1734</v>
      </c>
      <c r="O319" s="58" t="s">
        <v>1904</v>
      </c>
      <c r="P319" s="58" t="s">
        <v>232</v>
      </c>
    </row>
    <row r="320" spans="1:17" ht="12.5" x14ac:dyDescent="0.25">
      <c r="A320" s="63" t="str">
        <f t="shared" si="1"/>
        <v>002/2022/518.688.814-15</v>
      </c>
      <c r="B320" s="63" t="s">
        <v>2993</v>
      </c>
      <c r="C320" s="65">
        <v>44960.528495092592</v>
      </c>
      <c r="D320" s="63" t="s">
        <v>2994</v>
      </c>
      <c r="E320" s="63"/>
      <c r="F320" s="63" t="s">
        <v>2995</v>
      </c>
      <c r="G320" s="63" t="s">
        <v>2993</v>
      </c>
      <c r="H320" s="63" t="s">
        <v>1747</v>
      </c>
      <c r="I320" s="63" t="s">
        <v>2420</v>
      </c>
      <c r="J320" s="63">
        <v>2022</v>
      </c>
      <c r="K320" s="59" t="s">
        <v>17</v>
      </c>
      <c r="L320" s="59" t="s">
        <v>2996</v>
      </c>
      <c r="M320" s="58" t="s">
        <v>234</v>
      </c>
      <c r="N320" s="58" t="s">
        <v>1734</v>
      </c>
      <c r="O320" s="58" t="s">
        <v>1904</v>
      </c>
      <c r="P320" s="58" t="s">
        <v>17</v>
      </c>
    </row>
    <row r="321" spans="1:16" ht="12.5" x14ac:dyDescent="0.25">
      <c r="A321" s="63" t="str">
        <f t="shared" si="1"/>
        <v>011/2022/068.682.644-29</v>
      </c>
      <c r="B321" s="63" t="s">
        <v>2997</v>
      </c>
      <c r="C321" s="65">
        <v>44964.307202094904</v>
      </c>
      <c r="D321" s="63" t="s">
        <v>2998</v>
      </c>
      <c r="E321" s="63"/>
      <c r="F321" s="63" t="s">
        <v>2999</v>
      </c>
      <c r="G321" s="63" t="s">
        <v>2997</v>
      </c>
      <c r="H321" s="63" t="s">
        <v>1747</v>
      </c>
      <c r="I321" s="63" t="s">
        <v>2046</v>
      </c>
      <c r="J321" s="63">
        <v>2022</v>
      </c>
      <c r="K321" s="59" t="s">
        <v>17</v>
      </c>
      <c r="L321" s="59" t="s">
        <v>3000</v>
      </c>
      <c r="M321" s="58" t="s">
        <v>234</v>
      </c>
      <c r="N321" s="58" t="s">
        <v>1734</v>
      </c>
      <c r="O321" s="58" t="s">
        <v>2516</v>
      </c>
      <c r="P321" s="58" t="s">
        <v>17</v>
      </c>
    </row>
    <row r="322" spans="1:16" ht="12.5" x14ac:dyDescent="0.25">
      <c r="A322" s="63" t="str">
        <f t="shared" si="1"/>
        <v>004/2022/046.097.684-29</v>
      </c>
      <c r="B322" s="63" t="s">
        <v>3001</v>
      </c>
      <c r="C322" s="65">
        <v>44959.436921296299</v>
      </c>
      <c r="D322" s="63" t="s">
        <v>3002</v>
      </c>
      <c r="E322" s="63"/>
      <c r="F322" s="63" t="s">
        <v>3003</v>
      </c>
      <c r="G322" s="63" t="s">
        <v>3001</v>
      </c>
      <c r="H322" s="63" t="s">
        <v>1747</v>
      </c>
      <c r="I322" s="63" t="s">
        <v>1776</v>
      </c>
      <c r="J322" s="63">
        <v>2022</v>
      </c>
      <c r="K322" s="59" t="s">
        <v>2949</v>
      </c>
      <c r="L322" s="59" t="s">
        <v>3004</v>
      </c>
      <c r="M322" s="58" t="s">
        <v>234</v>
      </c>
      <c r="N322" s="58" t="s">
        <v>1734</v>
      </c>
      <c r="O322" s="58" t="s">
        <v>2555</v>
      </c>
      <c r="P322" s="58" t="s">
        <v>17</v>
      </c>
    </row>
    <row r="323" spans="1:16" ht="12.5" x14ac:dyDescent="0.25">
      <c r="A323" s="63" t="str">
        <f t="shared" si="1"/>
        <v>004/2022/076.482.134-27</v>
      </c>
      <c r="B323" s="63" t="s">
        <v>3005</v>
      </c>
      <c r="C323" s="65">
        <v>44965.673635289349</v>
      </c>
      <c r="D323" s="63" t="s">
        <v>2701</v>
      </c>
      <c r="E323" s="63" t="s">
        <v>2667</v>
      </c>
      <c r="F323" s="63" t="s">
        <v>2667</v>
      </c>
      <c r="G323" s="63" t="s">
        <v>3005</v>
      </c>
      <c r="H323" s="63" t="s">
        <v>1740</v>
      </c>
      <c r="I323" s="63" t="s">
        <v>1776</v>
      </c>
      <c r="J323" s="63">
        <v>2022</v>
      </c>
      <c r="K323" s="59" t="s">
        <v>17</v>
      </c>
      <c r="L323" s="59" t="s">
        <v>3006</v>
      </c>
      <c r="M323" s="58" t="s">
        <v>234</v>
      </c>
      <c r="N323" s="58" t="s">
        <v>1734</v>
      </c>
      <c r="O323" s="58" t="s">
        <v>2555</v>
      </c>
      <c r="P323" s="58" t="s">
        <v>17</v>
      </c>
    </row>
    <row r="324" spans="1:16" ht="12.5" x14ac:dyDescent="0.25">
      <c r="A324" s="63" t="str">
        <f t="shared" si="1"/>
        <v>022/2022/080.611.294-85</v>
      </c>
      <c r="B324" s="63" t="s">
        <v>2301</v>
      </c>
      <c r="C324" s="65">
        <v>44965.922622650462</v>
      </c>
      <c r="D324" s="63" t="s">
        <v>2352</v>
      </c>
      <c r="E324" s="63"/>
      <c r="F324" s="63" t="s">
        <v>2304</v>
      </c>
      <c r="G324" s="63" t="s">
        <v>2301</v>
      </c>
      <c r="H324" s="63" t="s">
        <v>1747</v>
      </c>
      <c r="I324" s="63" t="s">
        <v>2562</v>
      </c>
      <c r="J324" s="63">
        <v>2022</v>
      </c>
      <c r="K324" s="59" t="s">
        <v>18</v>
      </c>
      <c r="L324" s="59" t="s">
        <v>3007</v>
      </c>
      <c r="M324" s="58" t="s">
        <v>234</v>
      </c>
      <c r="N324" s="58" t="s">
        <v>1734</v>
      </c>
      <c r="O324" s="58" t="s">
        <v>2564</v>
      </c>
      <c r="P324" s="58" t="s">
        <v>17</v>
      </c>
    </row>
    <row r="325" spans="1:16" ht="12.5" x14ac:dyDescent="0.25">
      <c r="A325" s="63" t="str">
        <f t="shared" si="1"/>
        <v>055/2022/082.254.334-67</v>
      </c>
      <c r="B325" s="63" t="s">
        <v>3008</v>
      </c>
      <c r="C325" s="65">
        <v>44966.369968032406</v>
      </c>
      <c r="D325" s="63" t="s">
        <v>3009</v>
      </c>
      <c r="E325" s="63"/>
      <c r="F325" s="63" t="s">
        <v>3010</v>
      </c>
      <c r="G325" s="63" t="s">
        <v>3008</v>
      </c>
      <c r="H325" s="63" t="s">
        <v>1747</v>
      </c>
      <c r="I325" s="63" t="s">
        <v>3011</v>
      </c>
      <c r="J325" s="63">
        <v>2022</v>
      </c>
      <c r="K325" s="59" t="s">
        <v>17</v>
      </c>
      <c r="L325" s="59" t="s">
        <v>3012</v>
      </c>
      <c r="M325" s="58" t="s">
        <v>234</v>
      </c>
      <c r="N325" s="58" t="s">
        <v>1734</v>
      </c>
      <c r="O325" s="58" t="s">
        <v>3013</v>
      </c>
      <c r="P325" s="58" t="s">
        <v>17</v>
      </c>
    </row>
    <row r="326" spans="1:16" ht="12.5" x14ac:dyDescent="0.25">
      <c r="A326" s="63" t="str">
        <f t="shared" si="1"/>
        <v>012/2022/108.181.824-74</v>
      </c>
      <c r="B326" s="63" t="s">
        <v>3014</v>
      </c>
      <c r="C326" s="65">
        <v>44970.607381249996</v>
      </c>
      <c r="D326" s="63" t="s">
        <v>3015</v>
      </c>
      <c r="E326" s="63"/>
      <c r="F326" s="63" t="s">
        <v>3016</v>
      </c>
      <c r="G326" s="63" t="s">
        <v>3014</v>
      </c>
      <c r="H326" s="63" t="s">
        <v>1747</v>
      </c>
      <c r="I326" s="63" t="s">
        <v>2495</v>
      </c>
      <c r="J326" s="63">
        <v>2022</v>
      </c>
      <c r="K326" s="59" t="s">
        <v>16</v>
      </c>
      <c r="L326" s="59" t="s">
        <v>3017</v>
      </c>
      <c r="M326" s="58" t="s">
        <v>234</v>
      </c>
      <c r="N326" s="58" t="s">
        <v>1734</v>
      </c>
      <c r="O326" s="58" t="s">
        <v>2497</v>
      </c>
      <c r="P326" s="58" t="s">
        <v>17</v>
      </c>
    </row>
    <row r="327" spans="1:16" ht="12.5" x14ac:dyDescent="0.25">
      <c r="A327" s="63" t="str">
        <f t="shared" si="1"/>
        <v>025/2022/076.906.484-10</v>
      </c>
      <c r="B327" s="63" t="s">
        <v>2674</v>
      </c>
      <c r="C327" s="65">
        <v>44973.385764768522</v>
      </c>
      <c r="D327" s="63" t="s">
        <v>2675</v>
      </c>
      <c r="E327" s="63"/>
      <c r="F327" s="63" t="s">
        <v>3018</v>
      </c>
      <c r="G327" s="63" t="s">
        <v>2674</v>
      </c>
      <c r="H327" s="63" t="s">
        <v>1747</v>
      </c>
      <c r="I327" s="63" t="s">
        <v>2556</v>
      </c>
      <c r="J327" s="63">
        <v>2022</v>
      </c>
      <c r="K327" s="59" t="s">
        <v>17</v>
      </c>
      <c r="L327" s="59" t="s">
        <v>3019</v>
      </c>
      <c r="M327" s="58" t="s">
        <v>234</v>
      </c>
      <c r="N327" s="58" t="s">
        <v>1734</v>
      </c>
      <c r="O327" s="58" t="s">
        <v>2558</v>
      </c>
      <c r="P327" s="58" t="s">
        <v>17</v>
      </c>
    </row>
    <row r="328" spans="1:16" ht="12.5" x14ac:dyDescent="0.25">
      <c r="A328" s="63" t="str">
        <f t="shared" si="1"/>
        <v>054/2022/025.805.474-36</v>
      </c>
      <c r="B328" s="63" t="s">
        <v>3020</v>
      </c>
      <c r="C328" s="65">
        <v>44973.517210787038</v>
      </c>
      <c r="D328" s="63" t="s">
        <v>3021</v>
      </c>
      <c r="E328" s="63"/>
      <c r="F328" s="63" t="s">
        <v>3022</v>
      </c>
      <c r="G328" s="63" t="s">
        <v>3020</v>
      </c>
      <c r="H328" s="63" t="s">
        <v>1747</v>
      </c>
      <c r="I328" s="63" t="s">
        <v>3023</v>
      </c>
      <c r="J328" s="63">
        <v>2022</v>
      </c>
      <c r="K328" s="59" t="s">
        <v>16</v>
      </c>
      <c r="L328" s="59" t="s">
        <v>3024</v>
      </c>
      <c r="M328" s="58" t="s">
        <v>234</v>
      </c>
      <c r="N328" s="58" t="s">
        <v>1734</v>
      </c>
      <c r="O328" s="58" t="s">
        <v>3025</v>
      </c>
      <c r="P328" s="58" t="s">
        <v>16</v>
      </c>
    </row>
    <row r="329" spans="1:16" ht="12.5" x14ac:dyDescent="0.25">
      <c r="A329" s="63" t="str">
        <f t="shared" si="1"/>
        <v>054/2022/789.022.154-15</v>
      </c>
      <c r="B329" s="63" t="s">
        <v>3026</v>
      </c>
      <c r="C329" s="65">
        <v>44974.915451099536</v>
      </c>
      <c r="D329" s="63" t="s">
        <v>3027</v>
      </c>
      <c r="E329" s="63"/>
      <c r="F329" s="63" t="s">
        <v>3028</v>
      </c>
      <c r="G329" s="63" t="s">
        <v>3026</v>
      </c>
      <c r="H329" s="63" t="s">
        <v>1747</v>
      </c>
      <c r="I329" s="63" t="s">
        <v>3023</v>
      </c>
      <c r="J329" s="63">
        <v>2022</v>
      </c>
      <c r="K329" s="59" t="s">
        <v>16</v>
      </c>
      <c r="L329" s="59" t="s">
        <v>3029</v>
      </c>
      <c r="M329" s="58" t="s">
        <v>234</v>
      </c>
      <c r="N329" s="58" t="s">
        <v>1734</v>
      </c>
      <c r="O329" s="58" t="s">
        <v>3025</v>
      </c>
      <c r="P329" s="58" t="s">
        <v>16</v>
      </c>
    </row>
    <row r="330" spans="1:16" ht="12.5" x14ac:dyDescent="0.25">
      <c r="A330" s="63" t="str">
        <f t="shared" si="1"/>
        <v>054/2022/029.101.054-74</v>
      </c>
      <c r="B330" s="63" t="s">
        <v>2891</v>
      </c>
      <c r="C330" s="65">
        <v>44979.422988692131</v>
      </c>
      <c r="D330" s="63" t="s">
        <v>3030</v>
      </c>
      <c r="E330" s="63"/>
      <c r="F330" s="63" t="s">
        <v>2893</v>
      </c>
      <c r="G330" s="63" t="s">
        <v>2891</v>
      </c>
      <c r="H330" s="63" t="s">
        <v>1747</v>
      </c>
      <c r="I330" s="63" t="s">
        <v>3023</v>
      </c>
      <c r="J330" s="63">
        <v>2022</v>
      </c>
      <c r="K330" s="59" t="s">
        <v>16</v>
      </c>
      <c r="L330" s="59" t="s">
        <v>3031</v>
      </c>
      <c r="M330" s="58" t="s">
        <v>234</v>
      </c>
      <c r="N330" s="58" t="s">
        <v>1734</v>
      </c>
      <c r="O330" s="58" t="s">
        <v>3025</v>
      </c>
      <c r="P330" s="58" t="s">
        <v>16</v>
      </c>
    </row>
    <row r="331" spans="1:16" ht="12.5" x14ac:dyDescent="0.25">
      <c r="A331" s="63" t="str">
        <f t="shared" si="1"/>
        <v>055/2022/337.140.418-85</v>
      </c>
      <c r="B331" s="63" t="s">
        <v>3032</v>
      </c>
      <c r="C331" s="65">
        <v>44980.37157422454</v>
      </c>
      <c r="D331" s="63" t="s">
        <v>3033</v>
      </c>
      <c r="E331" s="63"/>
      <c r="F331" s="63" t="s">
        <v>3034</v>
      </c>
      <c r="G331" s="63" t="s">
        <v>3032</v>
      </c>
      <c r="H331" s="63" t="s">
        <v>1747</v>
      </c>
      <c r="I331" s="63" t="s">
        <v>3011</v>
      </c>
      <c r="J331" s="63">
        <v>2022</v>
      </c>
      <c r="K331" s="59" t="s">
        <v>17</v>
      </c>
      <c r="L331" s="59" t="s">
        <v>3035</v>
      </c>
      <c r="M331" s="58" t="s">
        <v>234</v>
      </c>
      <c r="N331" s="58" t="s">
        <v>1734</v>
      </c>
      <c r="O331" s="58" t="s">
        <v>3013</v>
      </c>
      <c r="P331" s="58" t="s">
        <v>16</v>
      </c>
    </row>
    <row r="332" spans="1:16" ht="12.5" x14ac:dyDescent="0.25">
      <c r="A332" s="63" t="str">
        <f t="shared" si="1"/>
        <v>054/2022/085.826.324-60</v>
      </c>
      <c r="B332" s="63" t="s">
        <v>3036</v>
      </c>
      <c r="C332" s="65">
        <v>44980.505601817131</v>
      </c>
      <c r="D332" s="63" t="s">
        <v>3037</v>
      </c>
      <c r="E332" s="63"/>
      <c r="F332" s="63" t="s">
        <v>3038</v>
      </c>
      <c r="G332" s="63" t="s">
        <v>3036</v>
      </c>
      <c r="H332" s="63" t="s">
        <v>1747</v>
      </c>
      <c r="I332" s="63" t="s">
        <v>3023</v>
      </c>
      <c r="J332" s="63">
        <v>2022</v>
      </c>
      <c r="K332" s="59" t="s">
        <v>16</v>
      </c>
      <c r="L332" s="59" t="s">
        <v>3039</v>
      </c>
      <c r="M332" s="58" t="s">
        <v>234</v>
      </c>
      <c r="N332" s="58" t="s">
        <v>1734</v>
      </c>
      <c r="O332" s="58" t="s">
        <v>3025</v>
      </c>
      <c r="P332" s="58" t="s">
        <v>16</v>
      </c>
    </row>
    <row r="333" spans="1:16" ht="12.5" x14ac:dyDescent="0.25">
      <c r="A333" s="63" t="str">
        <f t="shared" si="1"/>
        <v>054/2022/100.004.464-59</v>
      </c>
      <c r="B333" s="63" t="s">
        <v>3040</v>
      </c>
      <c r="C333" s="65">
        <v>44980.53083491898</v>
      </c>
      <c r="D333" s="63" t="s">
        <v>3041</v>
      </c>
      <c r="E333" s="63"/>
      <c r="F333" s="63" t="s">
        <v>3042</v>
      </c>
      <c r="G333" s="63" t="s">
        <v>3040</v>
      </c>
      <c r="H333" s="63" t="s">
        <v>1747</v>
      </c>
      <c r="I333" s="63" t="s">
        <v>3023</v>
      </c>
      <c r="J333" s="63">
        <v>2022</v>
      </c>
      <c r="K333" s="59" t="s">
        <v>16</v>
      </c>
      <c r="L333" s="59" t="s">
        <v>3043</v>
      </c>
      <c r="M333" s="58" t="s">
        <v>234</v>
      </c>
      <c r="N333" s="58" t="s">
        <v>1734</v>
      </c>
      <c r="O333" s="58" t="s">
        <v>3025</v>
      </c>
      <c r="P333" s="58" t="s">
        <v>16</v>
      </c>
    </row>
    <row r="334" spans="1:16" ht="12.5" x14ac:dyDescent="0.25">
      <c r="A334" s="63" t="str">
        <f t="shared" si="1"/>
        <v>054/2022/050.667.454-16</v>
      </c>
      <c r="B334" s="63" t="s">
        <v>3044</v>
      </c>
      <c r="C334" s="65">
        <v>44980.626209120368</v>
      </c>
      <c r="D334" s="63" t="s">
        <v>3045</v>
      </c>
      <c r="E334" s="63"/>
      <c r="F334" s="63" t="s">
        <v>3046</v>
      </c>
      <c r="G334" s="63" t="s">
        <v>3044</v>
      </c>
      <c r="H334" s="63" t="s">
        <v>1747</v>
      </c>
      <c r="I334" s="63" t="s">
        <v>3023</v>
      </c>
      <c r="J334" s="63">
        <v>2022</v>
      </c>
      <c r="K334" s="59" t="s">
        <v>16</v>
      </c>
      <c r="L334" s="59" t="s">
        <v>3047</v>
      </c>
      <c r="M334" s="58" t="s">
        <v>234</v>
      </c>
      <c r="N334" s="58" t="s">
        <v>1734</v>
      </c>
      <c r="O334" s="58" t="s">
        <v>3025</v>
      </c>
      <c r="P334" s="58" t="s">
        <v>16</v>
      </c>
    </row>
    <row r="335" spans="1:16" ht="12.5" x14ac:dyDescent="0.25">
      <c r="A335" s="63" t="str">
        <f t="shared" si="1"/>
        <v>054/2022/063.866.484-55</v>
      </c>
      <c r="B335" s="63" t="s">
        <v>3048</v>
      </c>
      <c r="C335" s="65">
        <v>44980.702989826386</v>
      </c>
      <c r="D335" s="63" t="s">
        <v>3049</v>
      </c>
      <c r="E335" s="63"/>
      <c r="F335" s="63" t="s">
        <v>3050</v>
      </c>
      <c r="G335" s="63" t="s">
        <v>3048</v>
      </c>
      <c r="H335" s="63" t="s">
        <v>1747</v>
      </c>
      <c r="I335" s="63" t="s">
        <v>3023</v>
      </c>
      <c r="J335" s="63">
        <v>2022</v>
      </c>
      <c r="K335" s="59" t="s">
        <v>16</v>
      </c>
      <c r="L335" s="59" t="s">
        <v>3051</v>
      </c>
      <c r="M335" s="58" t="s">
        <v>234</v>
      </c>
      <c r="N335" s="58" t="s">
        <v>1734</v>
      </c>
      <c r="O335" s="58" t="s">
        <v>3025</v>
      </c>
      <c r="P335" s="58" t="s">
        <v>16</v>
      </c>
    </row>
    <row r="336" spans="1:16" ht="12.5" x14ac:dyDescent="0.25">
      <c r="A336" s="63" t="str">
        <f t="shared" si="1"/>
        <v>054/2022/126.731.314-50</v>
      </c>
      <c r="B336" s="63" t="s">
        <v>3052</v>
      </c>
      <c r="C336" s="65">
        <v>44981.568790775462</v>
      </c>
      <c r="D336" s="63" t="s">
        <v>3053</v>
      </c>
      <c r="E336" s="63"/>
      <c r="F336" s="63" t="s">
        <v>3054</v>
      </c>
      <c r="G336" s="63" t="s">
        <v>3052</v>
      </c>
      <c r="H336" s="63" t="s">
        <v>1747</v>
      </c>
      <c r="I336" s="63" t="s">
        <v>3023</v>
      </c>
      <c r="J336" s="63">
        <v>2022</v>
      </c>
      <c r="K336" s="59" t="s">
        <v>16</v>
      </c>
      <c r="L336" s="59" t="s">
        <v>3055</v>
      </c>
      <c r="M336" s="58" t="s">
        <v>234</v>
      </c>
      <c r="N336" s="58" t="s">
        <v>1734</v>
      </c>
      <c r="O336" s="58" t="s">
        <v>3025</v>
      </c>
      <c r="P336" s="58" t="s">
        <v>16</v>
      </c>
    </row>
    <row r="337" spans="1:16" ht="12.5" x14ac:dyDescent="0.25">
      <c r="A337" s="63" t="str">
        <f t="shared" si="1"/>
        <v>055/2022/016.880.664-97</v>
      </c>
      <c r="B337" s="63" t="s">
        <v>3056</v>
      </c>
      <c r="C337" s="65">
        <v>44986.500371886577</v>
      </c>
      <c r="D337" s="63" t="s">
        <v>3057</v>
      </c>
      <c r="E337" s="63"/>
      <c r="F337" s="63" t="s">
        <v>3058</v>
      </c>
      <c r="G337" s="63" t="s">
        <v>3056</v>
      </c>
      <c r="H337" s="63" t="s">
        <v>1747</v>
      </c>
      <c r="I337" s="63" t="s">
        <v>3011</v>
      </c>
      <c r="J337" s="63">
        <v>2022</v>
      </c>
      <c r="K337" s="59" t="s">
        <v>17</v>
      </c>
      <c r="L337" s="59" t="s">
        <v>3059</v>
      </c>
      <c r="M337" s="58" t="s">
        <v>234</v>
      </c>
      <c r="N337" s="58" t="s">
        <v>1734</v>
      </c>
      <c r="O337" s="58" t="s">
        <v>3013</v>
      </c>
      <c r="P337" s="58" t="s">
        <v>17</v>
      </c>
    </row>
    <row r="338" spans="1:16" ht="12.5" x14ac:dyDescent="0.25">
      <c r="A338" s="63" t="str">
        <f t="shared" si="1"/>
        <v>032/2021/050.091.354-42</v>
      </c>
      <c r="B338" s="63" t="s">
        <v>3060</v>
      </c>
      <c r="C338" s="65">
        <v>44987.404169849542</v>
      </c>
      <c r="D338" s="63" t="s">
        <v>3061</v>
      </c>
      <c r="E338" s="63" t="s">
        <v>3062</v>
      </c>
      <c r="F338" s="63" t="s">
        <v>3062</v>
      </c>
      <c r="G338" s="63" t="s">
        <v>3060</v>
      </c>
      <c r="H338" s="63" t="s">
        <v>1740</v>
      </c>
      <c r="I338" s="63" t="s">
        <v>1741</v>
      </c>
      <c r="J338" s="63">
        <v>2021</v>
      </c>
      <c r="K338" s="59" t="s">
        <v>17</v>
      </c>
      <c r="L338" s="59" t="s">
        <v>3063</v>
      </c>
      <c r="M338" s="58" t="s">
        <v>234</v>
      </c>
      <c r="N338" s="58" t="s">
        <v>1734</v>
      </c>
      <c r="O338" s="58" t="s">
        <v>1743</v>
      </c>
      <c r="P338" s="58" t="s">
        <v>3064</v>
      </c>
    </row>
    <row r="339" spans="1:16" ht="12.5" x14ac:dyDescent="0.25">
      <c r="A339" s="63" t="str">
        <f t="shared" si="1"/>
        <v>054/2022/024.592.314-40</v>
      </c>
      <c r="B339" s="63" t="s">
        <v>3065</v>
      </c>
      <c r="C339" s="65">
        <v>44991.382234432866</v>
      </c>
      <c r="D339" s="63" t="s">
        <v>3066</v>
      </c>
      <c r="E339" s="63"/>
      <c r="F339" s="63" t="s">
        <v>3067</v>
      </c>
      <c r="G339" s="63" t="s">
        <v>3065</v>
      </c>
      <c r="H339" s="63" t="s">
        <v>1747</v>
      </c>
      <c r="I339" s="63" t="s">
        <v>3023</v>
      </c>
      <c r="J339" s="63">
        <v>2022</v>
      </c>
      <c r="K339" s="59" t="s">
        <v>16</v>
      </c>
      <c r="L339" s="59" t="s">
        <v>3068</v>
      </c>
      <c r="M339" s="58" t="s">
        <v>234</v>
      </c>
      <c r="N339" s="58" t="s">
        <v>1734</v>
      </c>
      <c r="O339" s="58" t="s">
        <v>3013</v>
      </c>
      <c r="P339" s="58" t="s">
        <v>16</v>
      </c>
    </row>
    <row r="340" spans="1:16" ht="12.5" x14ac:dyDescent="0.25">
      <c r="A340" s="63" t="str">
        <f t="shared" si="1"/>
        <v>022/2022/063.378.784-18</v>
      </c>
      <c r="B340" s="63" t="s">
        <v>3069</v>
      </c>
      <c r="C340" s="65">
        <v>44992.54784201389</v>
      </c>
      <c r="D340" s="63" t="s">
        <v>3070</v>
      </c>
      <c r="E340" s="63"/>
      <c r="F340" s="63" t="s">
        <v>3071</v>
      </c>
      <c r="G340" s="63" t="s">
        <v>3072</v>
      </c>
      <c r="H340" s="63" t="s">
        <v>1747</v>
      </c>
      <c r="I340" s="63" t="s">
        <v>2562</v>
      </c>
      <c r="J340" s="63">
        <v>2022</v>
      </c>
      <c r="K340" s="59" t="s">
        <v>17</v>
      </c>
      <c r="L340" s="59" t="s">
        <v>3073</v>
      </c>
      <c r="M340" s="58" t="s">
        <v>234</v>
      </c>
      <c r="N340" s="58" t="s">
        <v>1734</v>
      </c>
      <c r="O340" s="58" t="s">
        <v>2564</v>
      </c>
      <c r="P340" s="58" t="s">
        <v>17</v>
      </c>
    </row>
    <row r="341" spans="1:16" ht="12.5" x14ac:dyDescent="0.25">
      <c r="A341" s="63" t="str">
        <f t="shared" si="1"/>
        <v>022/2022/063.378.784-18</v>
      </c>
      <c r="B341" s="63" t="s">
        <v>3074</v>
      </c>
      <c r="C341" s="65">
        <v>44992.552434837962</v>
      </c>
      <c r="D341" s="63" t="s">
        <v>3075</v>
      </c>
      <c r="E341" s="63"/>
      <c r="F341" s="63" t="s">
        <v>3076</v>
      </c>
      <c r="G341" s="63" t="s">
        <v>3072</v>
      </c>
      <c r="H341" s="63" t="s">
        <v>1747</v>
      </c>
      <c r="I341" s="63" t="s">
        <v>2562</v>
      </c>
      <c r="J341" s="63">
        <v>2022</v>
      </c>
      <c r="K341" s="59" t="s">
        <v>17</v>
      </c>
      <c r="L341" s="59" t="s">
        <v>3077</v>
      </c>
      <c r="M341" s="58" t="s">
        <v>234</v>
      </c>
      <c r="N341" s="58" t="s">
        <v>1734</v>
      </c>
      <c r="O341" s="58" t="s">
        <v>2564</v>
      </c>
      <c r="P341" s="58" t="s">
        <v>17</v>
      </c>
    </row>
    <row r="342" spans="1:16" ht="12.5" x14ac:dyDescent="0.25">
      <c r="A342" s="63" t="str">
        <f t="shared" si="1"/>
        <v>054/2022/030.076.904-04</v>
      </c>
      <c r="B342" s="63" t="s">
        <v>3078</v>
      </c>
      <c r="C342" s="65">
        <v>44994.853373738428</v>
      </c>
      <c r="D342" s="63" t="s">
        <v>3079</v>
      </c>
      <c r="E342" s="63"/>
      <c r="F342" s="63" t="s">
        <v>3080</v>
      </c>
      <c r="G342" s="63" t="s">
        <v>3078</v>
      </c>
      <c r="H342" s="63" t="s">
        <v>1747</v>
      </c>
      <c r="I342" s="63" t="s">
        <v>3023</v>
      </c>
      <c r="J342" s="63">
        <v>2022</v>
      </c>
      <c r="K342" s="59" t="s">
        <v>16</v>
      </c>
      <c r="L342" s="59" t="s">
        <v>3081</v>
      </c>
      <c r="M342" s="58" t="s">
        <v>234</v>
      </c>
      <c r="N342" s="58" t="s">
        <v>1734</v>
      </c>
      <c r="O342" s="58" t="s">
        <v>3025</v>
      </c>
      <c r="P342" s="58" t="s">
        <v>16</v>
      </c>
    </row>
    <row r="343" spans="1:16" ht="12.5" x14ac:dyDescent="0.25">
      <c r="A343" s="63" t="str">
        <f t="shared" si="1"/>
        <v>011/2022/024.855.633-90</v>
      </c>
      <c r="B343" s="63" t="s">
        <v>3082</v>
      </c>
      <c r="C343" s="65">
        <v>44996.988918981486</v>
      </c>
      <c r="D343" s="63" t="s">
        <v>3083</v>
      </c>
      <c r="E343" s="63"/>
      <c r="F343" s="63" t="s">
        <v>3084</v>
      </c>
      <c r="G343" s="63" t="s">
        <v>3082</v>
      </c>
      <c r="H343" s="63" t="s">
        <v>1747</v>
      </c>
      <c r="I343" s="63" t="s">
        <v>2046</v>
      </c>
      <c r="J343" s="63">
        <v>2022</v>
      </c>
      <c r="K343" s="59" t="s">
        <v>17</v>
      </c>
      <c r="L343" s="59" t="s">
        <v>3085</v>
      </c>
      <c r="M343" s="58" t="s">
        <v>234</v>
      </c>
      <c r="N343" s="58" t="s">
        <v>1734</v>
      </c>
      <c r="O343" s="58" t="s">
        <v>2516</v>
      </c>
      <c r="P343" s="58" t="s">
        <v>17</v>
      </c>
    </row>
    <row r="344" spans="1:16" ht="12.5" x14ac:dyDescent="0.25">
      <c r="A344" s="63" t="str">
        <f t="shared" si="1"/>
        <v>054/2022/079.618.527-19</v>
      </c>
      <c r="B344" s="63" t="s">
        <v>3086</v>
      </c>
      <c r="C344" s="65">
        <v>45000.377269988428</v>
      </c>
      <c r="D344" s="63" t="s">
        <v>3087</v>
      </c>
      <c r="E344" s="63"/>
      <c r="F344" s="63" t="s">
        <v>3088</v>
      </c>
      <c r="G344" s="63" t="s">
        <v>3086</v>
      </c>
      <c r="H344" s="63" t="s">
        <v>1747</v>
      </c>
      <c r="I344" s="63" t="s">
        <v>3023</v>
      </c>
      <c r="J344" s="63">
        <v>2022</v>
      </c>
      <c r="K344" s="59" t="s">
        <v>16</v>
      </c>
      <c r="L344" s="59" t="s">
        <v>3089</v>
      </c>
      <c r="M344" s="58" t="s">
        <v>234</v>
      </c>
      <c r="N344" s="58" t="s">
        <v>1734</v>
      </c>
      <c r="O344" s="58" t="s">
        <v>3025</v>
      </c>
      <c r="P344" s="58" t="s">
        <v>16</v>
      </c>
    </row>
    <row r="345" spans="1:16" ht="12.5" x14ac:dyDescent="0.25">
      <c r="A345" s="63" t="str">
        <f t="shared" si="1"/>
        <v>054/2022/054.559.043-45</v>
      </c>
      <c r="B345" s="63" t="s">
        <v>3090</v>
      </c>
      <c r="C345" s="65">
        <v>45005.696023888886</v>
      </c>
      <c r="D345" s="63" t="s">
        <v>3091</v>
      </c>
      <c r="E345" s="63"/>
      <c r="F345" s="63" t="s">
        <v>3092</v>
      </c>
      <c r="G345" s="63" t="s">
        <v>3090</v>
      </c>
      <c r="H345" s="63" t="s">
        <v>1747</v>
      </c>
      <c r="I345" s="63" t="s">
        <v>3023</v>
      </c>
      <c r="J345" s="63">
        <v>2022</v>
      </c>
      <c r="K345" s="59" t="s">
        <v>16</v>
      </c>
      <c r="L345" s="59" t="s">
        <v>3093</v>
      </c>
      <c r="M345" s="58" t="s">
        <v>234</v>
      </c>
      <c r="N345" s="58" t="s">
        <v>1734</v>
      </c>
      <c r="O345" s="58" t="s">
        <v>3025</v>
      </c>
      <c r="P345" s="58" t="s">
        <v>16</v>
      </c>
    </row>
    <row r="346" spans="1:16" ht="12.5" x14ac:dyDescent="0.25">
      <c r="A346" s="63" t="str">
        <f t="shared" si="1"/>
        <v>055/2022/058.218.294-88</v>
      </c>
      <c r="B346" s="63" t="s">
        <v>3094</v>
      </c>
      <c r="C346" s="65">
        <v>45006.595766655097</v>
      </c>
      <c r="D346" s="63" t="s">
        <v>3095</v>
      </c>
      <c r="E346" s="63"/>
      <c r="F346" s="63" t="s">
        <v>3096</v>
      </c>
      <c r="G346" s="63" t="s">
        <v>3094</v>
      </c>
      <c r="H346" s="63" t="s">
        <v>1747</v>
      </c>
      <c r="I346" s="63" t="s">
        <v>3011</v>
      </c>
      <c r="J346" s="63">
        <v>2022</v>
      </c>
      <c r="K346" s="59" t="s">
        <v>17</v>
      </c>
      <c r="L346" s="59" t="s">
        <v>3097</v>
      </c>
      <c r="M346" s="58" t="s">
        <v>234</v>
      </c>
      <c r="N346" s="58" t="s">
        <v>1734</v>
      </c>
      <c r="O346" s="58" t="s">
        <v>3013</v>
      </c>
      <c r="P346" s="58" t="s">
        <v>17</v>
      </c>
    </row>
    <row r="347" spans="1:16" ht="12.5" x14ac:dyDescent="0.25">
      <c r="A347" s="63" t="str">
        <f t="shared" si="1"/>
        <v>054/2022/110.359.134-70</v>
      </c>
      <c r="B347" s="63" t="s">
        <v>3098</v>
      </c>
      <c r="C347" s="65">
        <v>45008.641346782402</v>
      </c>
      <c r="D347" s="63" t="s">
        <v>3099</v>
      </c>
      <c r="E347" s="63"/>
      <c r="F347" s="63" t="s">
        <v>3100</v>
      </c>
      <c r="G347" s="63" t="s">
        <v>3098</v>
      </c>
      <c r="H347" s="63" t="s">
        <v>1747</v>
      </c>
      <c r="I347" s="63" t="s">
        <v>3023</v>
      </c>
      <c r="J347" s="63">
        <v>2022</v>
      </c>
      <c r="K347" s="59" t="s">
        <v>16</v>
      </c>
      <c r="L347" s="59" t="s">
        <v>3101</v>
      </c>
      <c r="M347" s="58" t="s">
        <v>234</v>
      </c>
      <c r="N347" s="58" t="s">
        <v>1734</v>
      </c>
      <c r="O347" s="58" t="s">
        <v>3025</v>
      </c>
      <c r="P347" s="58" t="s">
        <v>16</v>
      </c>
    </row>
    <row r="348" spans="1:16" ht="12.5" x14ac:dyDescent="0.25">
      <c r="A348" s="63" t="str">
        <f t="shared" si="1"/>
        <v>054/2022/112.619.024-16</v>
      </c>
      <c r="B348" s="63" t="s">
        <v>3102</v>
      </c>
      <c r="C348" s="65">
        <v>45008.641593449072</v>
      </c>
      <c r="D348" s="63" t="s">
        <v>3103</v>
      </c>
      <c r="E348" s="63"/>
      <c r="F348" s="63" t="s">
        <v>3104</v>
      </c>
      <c r="G348" s="63" t="s">
        <v>3102</v>
      </c>
      <c r="H348" s="63" t="s">
        <v>1747</v>
      </c>
      <c r="I348" s="63" t="s">
        <v>3023</v>
      </c>
      <c r="J348" s="63">
        <v>2022</v>
      </c>
      <c r="K348" s="59" t="s">
        <v>16</v>
      </c>
      <c r="L348" s="59" t="s">
        <v>3105</v>
      </c>
      <c r="M348" s="58" t="s">
        <v>234</v>
      </c>
      <c r="N348" s="58" t="s">
        <v>1734</v>
      </c>
      <c r="O348" s="58" t="s">
        <v>3025</v>
      </c>
      <c r="P348" s="58" t="s">
        <v>16</v>
      </c>
    </row>
    <row r="349" spans="1:16" ht="12.5" x14ac:dyDescent="0.25">
      <c r="A349" s="63" t="str">
        <f t="shared" si="1"/>
        <v>055/2022/049.767.154-93</v>
      </c>
      <c r="B349" s="63" t="s">
        <v>3106</v>
      </c>
      <c r="C349" s="65">
        <v>45011.948851770838</v>
      </c>
      <c r="D349" s="63" t="s">
        <v>3107</v>
      </c>
      <c r="E349" s="63"/>
      <c r="F349" s="63" t="s">
        <v>3108</v>
      </c>
      <c r="G349" s="63" t="s">
        <v>3109</v>
      </c>
      <c r="H349" s="63" t="s">
        <v>1747</v>
      </c>
      <c r="I349" s="63" t="s">
        <v>3011</v>
      </c>
      <c r="J349" s="63">
        <v>2022</v>
      </c>
      <c r="K349" s="59" t="s">
        <v>17</v>
      </c>
      <c r="L349" s="59" t="s">
        <v>3110</v>
      </c>
      <c r="M349" s="58" t="s">
        <v>234</v>
      </c>
      <c r="N349" s="58" t="s">
        <v>1734</v>
      </c>
      <c r="O349" s="58" t="s">
        <v>3013</v>
      </c>
      <c r="P349" s="58" t="s">
        <v>17</v>
      </c>
    </row>
    <row r="350" spans="1:16" ht="12.5" x14ac:dyDescent="0.25">
      <c r="A350" s="63" t="str">
        <f t="shared" si="1"/>
        <v>054/2022/008.725.744-07</v>
      </c>
      <c r="B350" s="63" t="s">
        <v>3111</v>
      </c>
      <c r="C350" s="65">
        <v>45015.546380648149</v>
      </c>
      <c r="D350" s="63" t="s">
        <v>3112</v>
      </c>
      <c r="E350" s="63"/>
      <c r="F350" s="63" t="s">
        <v>3113</v>
      </c>
      <c r="G350" s="63" t="s">
        <v>3111</v>
      </c>
      <c r="H350" s="63" t="s">
        <v>1747</v>
      </c>
      <c r="I350" s="63" t="s">
        <v>3023</v>
      </c>
      <c r="J350" s="63">
        <v>2022</v>
      </c>
      <c r="K350" s="59" t="s">
        <v>16</v>
      </c>
      <c r="L350" s="59" t="s">
        <v>3114</v>
      </c>
      <c r="M350" s="58" t="s">
        <v>234</v>
      </c>
      <c r="N350" s="58" t="s">
        <v>1734</v>
      </c>
      <c r="O350" s="58" t="s">
        <v>3025</v>
      </c>
      <c r="P350" s="58" t="s">
        <v>16</v>
      </c>
    </row>
    <row r="351" spans="1:16" ht="12.5" x14ac:dyDescent="0.25">
      <c r="A351" s="63" t="str">
        <f t="shared" si="1"/>
        <v>004/2022/062.027.894-33</v>
      </c>
      <c r="B351" s="63" t="s">
        <v>3115</v>
      </c>
      <c r="C351" s="65">
        <v>45016.839771053244</v>
      </c>
      <c r="D351" s="63" t="s">
        <v>3116</v>
      </c>
      <c r="E351" s="63" t="s">
        <v>3117</v>
      </c>
      <c r="F351" s="63" t="s">
        <v>3117</v>
      </c>
      <c r="G351" s="63" t="s">
        <v>3115</v>
      </c>
      <c r="H351" s="63" t="s">
        <v>1740</v>
      </c>
      <c r="I351" s="63" t="s">
        <v>1776</v>
      </c>
      <c r="J351" s="63">
        <v>2022</v>
      </c>
      <c r="K351" s="59" t="s">
        <v>17</v>
      </c>
      <c r="L351" s="59" t="s">
        <v>3118</v>
      </c>
      <c r="M351" s="58" t="s">
        <v>234</v>
      </c>
      <c r="N351" s="58" t="s">
        <v>1734</v>
      </c>
      <c r="O351" s="58" t="s">
        <v>2555</v>
      </c>
      <c r="P351" s="58" t="s">
        <v>3064</v>
      </c>
    </row>
    <row r="352" spans="1:16" ht="12.5" x14ac:dyDescent="0.25">
      <c r="A352" s="63" t="str">
        <f t="shared" si="1"/>
        <v>039/2022/084.583.474-66</v>
      </c>
      <c r="B352" s="63" t="s">
        <v>3119</v>
      </c>
      <c r="C352" s="65">
        <v>45028.498471122686</v>
      </c>
      <c r="D352" s="63" t="s">
        <v>3120</v>
      </c>
      <c r="E352" s="63"/>
      <c r="F352" s="63" t="s">
        <v>3121</v>
      </c>
      <c r="G352" s="63" t="s">
        <v>3119</v>
      </c>
      <c r="H352" s="63" t="s">
        <v>1747</v>
      </c>
      <c r="I352" s="63" t="s">
        <v>2290</v>
      </c>
      <c r="J352" s="63">
        <v>2022</v>
      </c>
      <c r="K352" s="59" t="s">
        <v>16</v>
      </c>
      <c r="L352" s="59" t="s">
        <v>3122</v>
      </c>
      <c r="M352" s="58" t="s">
        <v>234</v>
      </c>
      <c r="N352" s="58" t="s">
        <v>1734</v>
      </c>
      <c r="O352" s="58" t="s">
        <v>3123</v>
      </c>
      <c r="P352" s="58" t="s">
        <v>16</v>
      </c>
    </row>
    <row r="353" spans="1:16" ht="12.5" x14ac:dyDescent="0.25">
      <c r="A353" s="63" t="str">
        <f t="shared" si="1"/>
        <v>011/2022/110.679.214-94</v>
      </c>
      <c r="B353" s="63" t="s">
        <v>3124</v>
      </c>
      <c r="C353" s="65">
        <v>45049.639661388894</v>
      </c>
      <c r="D353" s="63" t="s">
        <v>3125</v>
      </c>
      <c r="E353" s="63"/>
      <c r="F353" s="63" t="s">
        <v>3126</v>
      </c>
      <c r="G353" s="63" t="s">
        <v>3124</v>
      </c>
      <c r="H353" s="63" t="s">
        <v>1747</v>
      </c>
      <c r="I353" s="63" t="s">
        <v>2046</v>
      </c>
      <c r="J353" s="63">
        <v>2022</v>
      </c>
      <c r="K353" s="59" t="s">
        <v>17</v>
      </c>
      <c r="L353" s="59" t="s">
        <v>3127</v>
      </c>
      <c r="M353" s="58" t="s">
        <v>2776</v>
      </c>
      <c r="N353" s="58" t="s">
        <v>1734</v>
      </c>
      <c r="O353" s="58" t="s">
        <v>2516</v>
      </c>
      <c r="P353" s="58" t="s">
        <v>17</v>
      </c>
    </row>
    <row r="354" spans="1:16" ht="12.5" x14ac:dyDescent="0.25">
      <c r="A354" s="63" t="str">
        <f t="shared" si="1"/>
        <v>011/2022/110.679.214-94</v>
      </c>
      <c r="B354" s="63" t="s">
        <v>3124</v>
      </c>
      <c r="C354" s="65">
        <v>45050.42548366898</v>
      </c>
      <c r="D354" s="63" t="s">
        <v>3125</v>
      </c>
      <c r="E354" s="63"/>
      <c r="F354" s="63" t="s">
        <v>3126</v>
      </c>
      <c r="G354" s="63" t="s">
        <v>3124</v>
      </c>
      <c r="H354" s="63" t="s">
        <v>1747</v>
      </c>
      <c r="I354" s="63" t="s">
        <v>2046</v>
      </c>
      <c r="J354" s="63">
        <v>2022</v>
      </c>
      <c r="K354" s="59" t="s">
        <v>17</v>
      </c>
      <c r="L354" s="59" t="s">
        <v>3128</v>
      </c>
      <c r="M354" s="58" t="s">
        <v>234</v>
      </c>
      <c r="N354" s="58" t="s">
        <v>1734</v>
      </c>
      <c r="O354" s="58" t="s">
        <v>2516</v>
      </c>
      <c r="P354" s="58" t="s">
        <v>17</v>
      </c>
    </row>
    <row r="355" spans="1:16" ht="12.5" x14ac:dyDescent="0.25">
      <c r="A355" s="63" t="str">
        <f t="shared" si="1"/>
        <v>054/2022/046.825.114-67</v>
      </c>
      <c r="B355" s="63" t="s">
        <v>3129</v>
      </c>
      <c r="C355" s="65">
        <v>45064.199138368058</v>
      </c>
      <c r="D355" s="63" t="s">
        <v>3130</v>
      </c>
      <c r="E355" s="63"/>
      <c r="F355" s="63" t="s">
        <v>3131</v>
      </c>
      <c r="G355" s="63" t="s">
        <v>3129</v>
      </c>
      <c r="H355" s="63" t="s">
        <v>1747</v>
      </c>
      <c r="I355" s="63" t="s">
        <v>3023</v>
      </c>
      <c r="J355" s="63">
        <v>2022</v>
      </c>
      <c r="K355" s="59" t="s">
        <v>16</v>
      </c>
      <c r="L355" s="59" t="s">
        <v>3132</v>
      </c>
      <c r="M355" s="58" t="s">
        <v>234</v>
      </c>
      <c r="N355" s="58" t="s">
        <v>1734</v>
      </c>
      <c r="O355" s="58" t="s">
        <v>3025</v>
      </c>
      <c r="P355" s="58" t="s">
        <v>16</v>
      </c>
    </row>
    <row r="356" spans="1:16" ht="12.5" x14ac:dyDescent="0.25">
      <c r="A356" s="63" t="str">
        <f t="shared" si="1"/>
        <v>012/2022/025.860.854-42</v>
      </c>
      <c r="B356" s="63" t="s">
        <v>3133</v>
      </c>
      <c r="C356" s="65">
        <v>45070.440188622684</v>
      </c>
      <c r="D356" s="63" t="s">
        <v>3134</v>
      </c>
      <c r="E356" s="63"/>
      <c r="F356" s="63" t="s">
        <v>3135</v>
      </c>
      <c r="G356" s="63" t="s">
        <v>3133</v>
      </c>
      <c r="H356" s="63" t="s">
        <v>1747</v>
      </c>
      <c r="I356" s="63" t="s">
        <v>2495</v>
      </c>
      <c r="J356" s="63">
        <v>2022</v>
      </c>
      <c r="K356" s="59" t="s">
        <v>16</v>
      </c>
      <c r="L356" s="59" t="s">
        <v>3136</v>
      </c>
      <c r="M356" s="58" t="s">
        <v>234</v>
      </c>
      <c r="N356" s="58" t="s">
        <v>1734</v>
      </c>
      <c r="O356" s="58" t="s">
        <v>2497</v>
      </c>
      <c r="P356" s="58" t="s">
        <v>16</v>
      </c>
    </row>
    <row r="357" spans="1:16" ht="12.5" x14ac:dyDescent="0.25">
      <c r="A357" s="63" t="str">
        <f t="shared" si="1"/>
        <v>054/2022/062.502.834-12</v>
      </c>
      <c r="B357" s="63" t="s">
        <v>3137</v>
      </c>
      <c r="C357" s="65">
        <v>45086.464223055555</v>
      </c>
      <c r="D357" s="63" t="s">
        <v>3138</v>
      </c>
      <c r="E357" s="63"/>
      <c r="F357" s="63" t="s">
        <v>3139</v>
      </c>
      <c r="G357" s="63" t="s">
        <v>3137</v>
      </c>
      <c r="H357" s="63" t="s">
        <v>1747</v>
      </c>
      <c r="I357" s="63" t="s">
        <v>3023</v>
      </c>
      <c r="J357" s="63">
        <v>2022</v>
      </c>
      <c r="K357" s="59" t="s">
        <v>16</v>
      </c>
      <c r="L357" s="59" t="s">
        <v>3140</v>
      </c>
      <c r="M357" s="58" t="s">
        <v>234</v>
      </c>
      <c r="N357" s="58" t="s">
        <v>1734</v>
      </c>
      <c r="O357" s="58" t="s">
        <v>3025</v>
      </c>
      <c r="P357" s="58" t="s">
        <v>16</v>
      </c>
    </row>
    <row r="358" spans="1:16" ht="12.5" x14ac:dyDescent="0.25">
      <c r="A358" s="63" t="str">
        <f t="shared" si="1"/>
        <v>038/2022/082.807.394-59</v>
      </c>
      <c r="B358" s="63" t="s">
        <v>2427</v>
      </c>
      <c r="C358" s="65">
        <v>45087.793983240743</v>
      </c>
      <c r="D358" s="63" t="s">
        <v>2428</v>
      </c>
      <c r="E358" s="63"/>
      <c r="F358" s="63" t="s">
        <v>3141</v>
      </c>
      <c r="G358" s="63" t="s">
        <v>2427</v>
      </c>
      <c r="H358" s="63" t="s">
        <v>1747</v>
      </c>
      <c r="I358" s="63" t="s">
        <v>1867</v>
      </c>
      <c r="J358" s="63">
        <v>2022</v>
      </c>
      <c r="K358" s="59" t="s">
        <v>17</v>
      </c>
      <c r="L358" s="59" t="s">
        <v>3142</v>
      </c>
      <c r="M358" s="58" t="s">
        <v>2776</v>
      </c>
      <c r="N358" s="58" t="s">
        <v>1734</v>
      </c>
      <c r="O358" s="58" t="s">
        <v>2986</v>
      </c>
      <c r="P358" s="58" t="s">
        <v>17</v>
      </c>
    </row>
    <row r="359" spans="1:16" ht="12.5" x14ac:dyDescent="0.25">
      <c r="A359" s="63" t="str">
        <f t="shared" si="1"/>
        <v>038/2022/082.807.394-59</v>
      </c>
      <c r="B359" s="63" t="s">
        <v>2427</v>
      </c>
      <c r="C359" s="65">
        <v>45089.361772974538</v>
      </c>
      <c r="D359" s="63" t="s">
        <v>2428</v>
      </c>
      <c r="E359" s="63" t="s">
        <v>2429</v>
      </c>
      <c r="F359" s="63" t="s">
        <v>2429</v>
      </c>
      <c r="G359" s="63" t="s">
        <v>2427</v>
      </c>
      <c r="H359" s="63" t="s">
        <v>1740</v>
      </c>
      <c r="I359" s="63" t="s">
        <v>1867</v>
      </c>
      <c r="J359" s="63">
        <v>2022</v>
      </c>
      <c r="K359" s="59" t="s">
        <v>17</v>
      </c>
      <c r="L359" s="59" t="s">
        <v>3143</v>
      </c>
      <c r="M359" s="58" t="s">
        <v>234</v>
      </c>
      <c r="N359" s="58" t="s">
        <v>1734</v>
      </c>
      <c r="O359" s="58" t="s">
        <v>3144</v>
      </c>
      <c r="P359" s="58" t="s">
        <v>3064</v>
      </c>
    </row>
    <row r="360" spans="1:16" ht="12.5" x14ac:dyDescent="0.25">
      <c r="A360" s="63" t="str">
        <f t="shared" si="1"/>
        <v>012/2022/072.420.194-78</v>
      </c>
      <c r="B360" s="63" t="s">
        <v>3145</v>
      </c>
      <c r="C360" s="65">
        <v>45107.439255682868</v>
      </c>
      <c r="D360" s="63" t="s">
        <v>3146</v>
      </c>
      <c r="E360" s="63"/>
      <c r="F360" s="63" t="s">
        <v>3147</v>
      </c>
      <c r="G360" s="63" t="s">
        <v>3145</v>
      </c>
      <c r="H360" s="63" t="s">
        <v>1747</v>
      </c>
      <c r="I360" s="63" t="s">
        <v>2495</v>
      </c>
      <c r="J360" s="63">
        <v>2022</v>
      </c>
      <c r="K360" s="59" t="s">
        <v>16</v>
      </c>
      <c r="L360" s="59" t="s">
        <v>3148</v>
      </c>
      <c r="M360" s="58" t="s">
        <v>234</v>
      </c>
      <c r="N360" s="58" t="s">
        <v>1734</v>
      </c>
      <c r="O360" s="58" t="s">
        <v>2497</v>
      </c>
      <c r="P360" s="58" t="s">
        <v>16</v>
      </c>
    </row>
    <row r="361" spans="1:16" ht="12.5" x14ac:dyDescent="0.25">
      <c r="A361" s="63" t="str">
        <f t="shared" si="1"/>
        <v>004/2022/101.547.854-90</v>
      </c>
      <c r="B361" s="63" t="s">
        <v>1959</v>
      </c>
      <c r="C361" s="65">
        <v>45111.403658912037</v>
      </c>
      <c r="D361" s="63" t="s">
        <v>3149</v>
      </c>
      <c r="E361" s="63"/>
      <c r="F361" s="63" t="s">
        <v>3150</v>
      </c>
      <c r="G361" s="63" t="s">
        <v>1959</v>
      </c>
      <c r="H361" s="63" t="s">
        <v>1747</v>
      </c>
      <c r="I361" s="63" t="s">
        <v>1776</v>
      </c>
      <c r="J361" s="63">
        <v>2022</v>
      </c>
      <c r="K361" s="59" t="s">
        <v>17</v>
      </c>
      <c r="L361" s="59" t="s">
        <v>3151</v>
      </c>
      <c r="M361" s="58" t="s">
        <v>234</v>
      </c>
      <c r="N361" s="58" t="s">
        <v>1734</v>
      </c>
      <c r="O361" s="58" t="s">
        <v>2555</v>
      </c>
      <c r="P361" s="58" t="s">
        <v>3064</v>
      </c>
    </row>
    <row r="362" spans="1:16" ht="12.5" x14ac:dyDescent="0.25">
      <c r="A362" s="63" t="str">
        <f t="shared" si="1"/>
        <v>054/2022/108.961.097-70</v>
      </c>
      <c r="B362" s="63" t="s">
        <v>3152</v>
      </c>
      <c r="C362" s="65">
        <v>45117.697711261571</v>
      </c>
      <c r="D362" s="63" t="s">
        <v>3153</v>
      </c>
      <c r="E362" s="63"/>
      <c r="F362" s="63" t="s">
        <v>3154</v>
      </c>
      <c r="G362" s="63" t="s">
        <v>3152</v>
      </c>
      <c r="H362" s="63" t="s">
        <v>1747</v>
      </c>
      <c r="I362" s="63" t="s">
        <v>3023</v>
      </c>
      <c r="J362" s="63">
        <v>2022</v>
      </c>
      <c r="K362" s="59" t="s">
        <v>16</v>
      </c>
      <c r="L362" s="59" t="s">
        <v>3155</v>
      </c>
      <c r="M362" s="58" t="s">
        <v>234</v>
      </c>
      <c r="N362" s="58" t="s">
        <v>1734</v>
      </c>
      <c r="O362" s="58" t="s">
        <v>3025</v>
      </c>
      <c r="P362" s="58" t="s">
        <v>16</v>
      </c>
    </row>
    <row r="363" spans="1:16" ht="12.5" x14ac:dyDescent="0.25">
      <c r="A363" s="63" t="str">
        <f t="shared" si="1"/>
        <v>012/2022/054.418.474-25</v>
      </c>
      <c r="B363" s="63" t="s">
        <v>3156</v>
      </c>
      <c r="C363" s="65">
        <v>45120.712315254626</v>
      </c>
      <c r="D363" s="63" t="s">
        <v>3157</v>
      </c>
      <c r="E363" s="63"/>
      <c r="F363" s="63" t="s">
        <v>3158</v>
      </c>
      <c r="G363" s="63" t="s">
        <v>3156</v>
      </c>
      <c r="H363" s="63" t="s">
        <v>1747</v>
      </c>
      <c r="I363" s="63" t="s">
        <v>2495</v>
      </c>
      <c r="J363" s="63">
        <v>2022</v>
      </c>
      <c r="K363" s="59" t="s">
        <v>16</v>
      </c>
      <c r="L363" s="59" t="s">
        <v>3159</v>
      </c>
      <c r="M363" s="58" t="s">
        <v>234</v>
      </c>
      <c r="N363" s="58" t="s">
        <v>1734</v>
      </c>
      <c r="O363" s="58" t="s">
        <v>2497</v>
      </c>
      <c r="P363" s="58" t="s">
        <v>16</v>
      </c>
    </row>
    <row r="364" spans="1:16" ht="12.5" x14ac:dyDescent="0.25">
      <c r="A364" s="63" t="str">
        <f t="shared" si="1"/>
        <v>054/2022/064.536.804-08</v>
      </c>
      <c r="B364" s="63" t="s">
        <v>3160</v>
      </c>
      <c r="C364" s="65">
        <v>45127.608690462963</v>
      </c>
      <c r="D364" s="63" t="s">
        <v>3161</v>
      </c>
      <c r="E364" s="63"/>
      <c r="F364" s="63" t="s">
        <v>3162</v>
      </c>
      <c r="G364" s="63" t="s">
        <v>3160</v>
      </c>
      <c r="H364" s="63" t="s">
        <v>1747</v>
      </c>
      <c r="I364" s="63" t="s">
        <v>3023</v>
      </c>
      <c r="J364" s="63">
        <v>2022</v>
      </c>
      <c r="K364" s="59" t="s">
        <v>16</v>
      </c>
      <c r="L364" s="59" t="s">
        <v>3163</v>
      </c>
      <c r="M364" s="58" t="s">
        <v>234</v>
      </c>
      <c r="N364" s="58" t="s">
        <v>1734</v>
      </c>
      <c r="O364" s="58" t="s">
        <v>3025</v>
      </c>
      <c r="P364" s="58" t="s">
        <v>16</v>
      </c>
    </row>
    <row r="365" spans="1:16" ht="12.5" x14ac:dyDescent="0.25">
      <c r="A365" s="63" t="str">
        <f t="shared" si="1"/>
        <v>054/2022/064.536.804-08</v>
      </c>
      <c r="B365" s="63" t="s">
        <v>3160</v>
      </c>
      <c r="C365" s="65">
        <v>45127.626650277773</v>
      </c>
      <c r="D365" s="63" t="s">
        <v>3161</v>
      </c>
      <c r="E365" s="63"/>
      <c r="F365" s="63" t="s">
        <v>3162</v>
      </c>
      <c r="G365" s="63" t="s">
        <v>3160</v>
      </c>
      <c r="H365" s="63" t="s">
        <v>1747</v>
      </c>
      <c r="I365" s="63" t="s">
        <v>3023</v>
      </c>
      <c r="J365" s="63">
        <v>2022</v>
      </c>
      <c r="K365" s="59" t="s">
        <v>16</v>
      </c>
      <c r="L365" s="59" t="s">
        <v>3164</v>
      </c>
      <c r="M365" s="58" t="s">
        <v>234</v>
      </c>
      <c r="N365" s="58" t="s">
        <v>1734</v>
      </c>
      <c r="O365" s="58" t="s">
        <v>3025</v>
      </c>
      <c r="P365" s="58" t="s">
        <v>16</v>
      </c>
    </row>
    <row r="366" spans="1:16" ht="12.5" x14ac:dyDescent="0.25">
      <c r="A366" s="63" t="str">
        <f t="shared" si="1"/>
        <v>054/2022/095.712.634-43</v>
      </c>
      <c r="B366" s="63" t="s">
        <v>3165</v>
      </c>
      <c r="C366" s="65">
        <v>45138.521805555552</v>
      </c>
      <c r="D366" s="63" t="s">
        <v>3166</v>
      </c>
      <c r="E366" s="63"/>
      <c r="F366" s="63" t="s">
        <v>3167</v>
      </c>
      <c r="G366" s="63" t="s">
        <v>3165</v>
      </c>
      <c r="H366" s="63" t="s">
        <v>1747</v>
      </c>
      <c r="I366" s="63" t="s">
        <v>3023</v>
      </c>
      <c r="J366" s="63">
        <v>2022</v>
      </c>
      <c r="K366" s="59" t="s">
        <v>16</v>
      </c>
      <c r="L366" s="59" t="s">
        <v>3168</v>
      </c>
      <c r="M366" s="58" t="s">
        <v>234</v>
      </c>
      <c r="N366" s="58" t="s">
        <v>1734</v>
      </c>
      <c r="O366" s="58" t="s">
        <v>3025</v>
      </c>
      <c r="P366" s="58" t="s">
        <v>16</v>
      </c>
    </row>
    <row r="367" spans="1:16" ht="12.5" x14ac:dyDescent="0.25">
      <c r="A367" s="63" t="str">
        <f t="shared" si="1"/>
        <v>020/2022/111.244.784-93</v>
      </c>
      <c r="B367" s="63" t="s">
        <v>3169</v>
      </c>
      <c r="C367" s="65">
        <v>45138.622618379624</v>
      </c>
      <c r="D367" s="63" t="s">
        <v>3170</v>
      </c>
      <c r="E367" s="63"/>
      <c r="F367" s="63" t="s">
        <v>3171</v>
      </c>
      <c r="G367" s="63" t="s">
        <v>3169</v>
      </c>
      <c r="H367" s="63" t="s">
        <v>1747</v>
      </c>
      <c r="I367" s="63" t="s">
        <v>2551</v>
      </c>
      <c r="J367" s="63">
        <v>2022</v>
      </c>
      <c r="K367" s="59" t="s">
        <v>16</v>
      </c>
      <c r="L367" s="59" t="s">
        <v>3172</v>
      </c>
      <c r="M367" s="58" t="s">
        <v>234</v>
      </c>
      <c r="N367" s="58" t="s">
        <v>1734</v>
      </c>
      <c r="O367" s="58" t="s">
        <v>2553</v>
      </c>
      <c r="P367" s="58" t="s">
        <v>16</v>
      </c>
    </row>
    <row r="368" spans="1:16" ht="12.5" x14ac:dyDescent="0.25">
      <c r="A368" s="63" t="str">
        <f t="shared" si="1"/>
        <v>020/2022/107.427.684-14</v>
      </c>
      <c r="B368" s="63" t="s">
        <v>3173</v>
      </c>
      <c r="C368" s="65">
        <v>45138.794588483797</v>
      </c>
      <c r="D368" s="63" t="s">
        <v>3174</v>
      </c>
      <c r="E368" s="63"/>
      <c r="F368" s="63" t="s">
        <v>3175</v>
      </c>
      <c r="G368" s="63" t="s">
        <v>3173</v>
      </c>
      <c r="H368" s="63" t="s">
        <v>1747</v>
      </c>
      <c r="I368" s="63" t="s">
        <v>2551</v>
      </c>
      <c r="J368" s="63">
        <v>2022</v>
      </c>
      <c r="K368" s="59" t="s">
        <v>16</v>
      </c>
      <c r="L368" s="59" t="s">
        <v>3176</v>
      </c>
      <c r="M368" s="58" t="s">
        <v>234</v>
      </c>
      <c r="N368" s="58" t="s">
        <v>1734</v>
      </c>
      <c r="O368" s="58" t="s">
        <v>2553</v>
      </c>
      <c r="P368" s="58" t="s">
        <v>16</v>
      </c>
    </row>
    <row r="369" spans="1:16" ht="12.5" x14ac:dyDescent="0.25">
      <c r="A369" s="63" t="str">
        <f t="shared" si="1"/>
        <v>054/2022/042.590.064-95</v>
      </c>
      <c r="B369" s="63" t="s">
        <v>3177</v>
      </c>
      <c r="C369" s="65">
        <v>45138.353993055556</v>
      </c>
      <c r="D369" s="63" t="s">
        <v>3178</v>
      </c>
      <c r="E369" s="63"/>
      <c r="F369" s="63" t="s">
        <v>3179</v>
      </c>
      <c r="G369" s="63" t="s">
        <v>3177</v>
      </c>
      <c r="H369" s="63" t="s">
        <v>1747</v>
      </c>
      <c r="I369" s="63" t="s">
        <v>3023</v>
      </c>
      <c r="J369" s="63">
        <v>2022</v>
      </c>
      <c r="K369" s="59" t="s">
        <v>16</v>
      </c>
      <c r="L369" s="59" t="s">
        <v>3180</v>
      </c>
      <c r="M369" s="58" t="s">
        <v>234</v>
      </c>
      <c r="N369" s="58" t="s">
        <v>1734</v>
      </c>
      <c r="O369" s="58" t="s">
        <v>3025</v>
      </c>
      <c r="P369" s="58" t="s">
        <v>16</v>
      </c>
    </row>
    <row r="370" spans="1:16" ht="12.5" x14ac:dyDescent="0.25">
      <c r="A370" s="63" t="str">
        <f t="shared" si="1"/>
        <v>038/2022/102.966.734-98</v>
      </c>
      <c r="B370" s="63" t="s">
        <v>3181</v>
      </c>
      <c r="C370" s="65">
        <v>45141.414983379625</v>
      </c>
      <c r="D370" s="63" t="s">
        <v>3182</v>
      </c>
      <c r="E370" s="63" t="s">
        <v>3183</v>
      </c>
      <c r="F370" s="63" t="s">
        <v>3184</v>
      </c>
      <c r="G370" s="63" t="s">
        <v>3181</v>
      </c>
      <c r="H370" s="63" t="s">
        <v>1740</v>
      </c>
      <c r="I370" s="63" t="s">
        <v>1867</v>
      </c>
      <c r="J370" s="63">
        <v>2022</v>
      </c>
      <c r="K370" s="59" t="s">
        <v>17</v>
      </c>
      <c r="L370" s="59" t="s">
        <v>3185</v>
      </c>
      <c r="M370" s="58" t="s">
        <v>234</v>
      </c>
      <c r="N370" s="58" t="s">
        <v>1734</v>
      </c>
      <c r="O370" s="58" t="s">
        <v>2986</v>
      </c>
      <c r="P370" s="58" t="s">
        <v>3064</v>
      </c>
    </row>
    <row r="371" spans="1:16" ht="12.5" x14ac:dyDescent="0.25">
      <c r="A371" s="63" t="str">
        <f t="shared" si="1"/>
        <v>015/2023/087.967.304-47</v>
      </c>
      <c r="B371" s="63" t="s">
        <v>3186</v>
      </c>
      <c r="C371" s="65">
        <v>45143.872846944447</v>
      </c>
      <c r="D371" s="63" t="s">
        <v>3187</v>
      </c>
      <c r="E371" s="63"/>
      <c r="F371" s="63" t="s">
        <v>3188</v>
      </c>
      <c r="G371" s="63" t="s">
        <v>3186</v>
      </c>
      <c r="H371" s="63" t="s">
        <v>1747</v>
      </c>
      <c r="I371" s="63" t="s">
        <v>2509</v>
      </c>
      <c r="J371" s="63">
        <v>2023</v>
      </c>
      <c r="K371" s="59" t="s">
        <v>16</v>
      </c>
      <c r="L371" s="59" t="s">
        <v>3189</v>
      </c>
      <c r="M371" s="58" t="s">
        <v>234</v>
      </c>
      <c r="N371" s="58" t="s">
        <v>1734</v>
      </c>
      <c r="O371" s="58" t="s">
        <v>3190</v>
      </c>
      <c r="P371" s="58" t="s">
        <v>16</v>
      </c>
    </row>
    <row r="372" spans="1:16" ht="12.5" x14ac:dyDescent="0.25">
      <c r="A372" s="63" t="str">
        <f t="shared" si="1"/>
        <v>015/2023/094.540.994-00</v>
      </c>
      <c r="B372" s="63" t="s">
        <v>3191</v>
      </c>
      <c r="C372" s="65">
        <v>45146.719360671297</v>
      </c>
      <c r="D372" s="63" t="s">
        <v>3192</v>
      </c>
      <c r="E372" s="63"/>
      <c r="F372" s="63" t="s">
        <v>3193</v>
      </c>
      <c r="G372" s="63" t="s">
        <v>3191</v>
      </c>
      <c r="H372" s="63" t="s">
        <v>1747</v>
      </c>
      <c r="I372" s="63" t="s">
        <v>2509</v>
      </c>
      <c r="J372" s="63">
        <v>2023</v>
      </c>
      <c r="K372" s="59" t="s">
        <v>16</v>
      </c>
      <c r="L372" s="59" t="s">
        <v>3194</v>
      </c>
      <c r="M372" s="58" t="s">
        <v>234</v>
      </c>
      <c r="N372" s="58" t="s">
        <v>1734</v>
      </c>
      <c r="O372" s="58" t="s">
        <v>3190</v>
      </c>
      <c r="P372" s="58" t="s">
        <v>16</v>
      </c>
    </row>
    <row r="373" spans="1:16" ht="12.5" x14ac:dyDescent="0.25">
      <c r="A373" s="63" t="str">
        <f t="shared" si="1"/>
        <v>015/2023/082.491.124-58</v>
      </c>
      <c r="B373" s="63" t="s">
        <v>3195</v>
      </c>
      <c r="C373" s="65">
        <v>45153.482241990743</v>
      </c>
      <c r="D373" s="63" t="s">
        <v>3196</v>
      </c>
      <c r="E373" s="63"/>
      <c r="F373" s="63" t="s">
        <v>3197</v>
      </c>
      <c r="G373" s="63" t="s">
        <v>3195</v>
      </c>
      <c r="H373" s="63" t="s">
        <v>1747</v>
      </c>
      <c r="I373" s="63" t="s">
        <v>2509</v>
      </c>
      <c r="J373" s="63">
        <v>2023</v>
      </c>
      <c r="K373" s="59" t="s">
        <v>16</v>
      </c>
      <c r="L373" s="59" t="s">
        <v>3198</v>
      </c>
      <c r="M373" s="58" t="s">
        <v>234</v>
      </c>
      <c r="N373" s="58" t="s">
        <v>1734</v>
      </c>
      <c r="O373" s="58" t="s">
        <v>3190</v>
      </c>
      <c r="P373" s="58" t="s">
        <v>16</v>
      </c>
    </row>
    <row r="374" spans="1:16" ht="12.5" x14ac:dyDescent="0.25">
      <c r="A374" s="63" t="str">
        <f t="shared" si="1"/>
        <v>011/2022/044.403.344-07</v>
      </c>
      <c r="B374" s="63" t="s">
        <v>3199</v>
      </c>
      <c r="C374" s="65">
        <v>45160.706534027777</v>
      </c>
      <c r="D374" s="63" t="s">
        <v>3200</v>
      </c>
      <c r="E374" s="63"/>
      <c r="F374" s="63" t="s">
        <v>3201</v>
      </c>
      <c r="G374" s="63" t="s">
        <v>3199</v>
      </c>
      <c r="H374" s="63" t="s">
        <v>1747</v>
      </c>
      <c r="I374" s="63" t="s">
        <v>2046</v>
      </c>
      <c r="J374" s="63">
        <v>2022</v>
      </c>
      <c r="K374" s="59" t="s">
        <v>17</v>
      </c>
      <c r="L374" s="59" t="s">
        <v>3202</v>
      </c>
      <c r="M374" s="58" t="s">
        <v>234</v>
      </c>
      <c r="N374" s="58" t="s">
        <v>1734</v>
      </c>
      <c r="O374" s="58" t="s">
        <v>3203</v>
      </c>
      <c r="P374" s="58" t="s">
        <v>17</v>
      </c>
    </row>
    <row r="375" spans="1:16" ht="12.5" x14ac:dyDescent="0.25">
      <c r="A375" s="63" t="str">
        <f t="shared" si="1"/>
        <v>015/2023/049.511.053-14</v>
      </c>
      <c r="B375" s="63" t="s">
        <v>3204</v>
      </c>
      <c r="C375" s="65">
        <v>45162.424397418981</v>
      </c>
      <c r="D375" s="63" t="s">
        <v>3205</v>
      </c>
      <c r="E375" s="63"/>
      <c r="F375" s="63" t="s">
        <v>3206</v>
      </c>
      <c r="G375" s="63" t="s">
        <v>3204</v>
      </c>
      <c r="H375" s="63" t="s">
        <v>1747</v>
      </c>
      <c r="I375" s="63" t="s">
        <v>2509</v>
      </c>
      <c r="J375" s="63">
        <v>2023</v>
      </c>
      <c r="K375" s="59" t="s">
        <v>16</v>
      </c>
      <c r="L375" s="59" t="s">
        <v>3207</v>
      </c>
      <c r="M375" s="58" t="s">
        <v>234</v>
      </c>
      <c r="N375" s="58" t="s">
        <v>1734</v>
      </c>
      <c r="O375" s="58" t="s">
        <v>3190</v>
      </c>
      <c r="P375" s="58" t="s">
        <v>17</v>
      </c>
    </row>
    <row r="376" spans="1:16" ht="12.5" x14ac:dyDescent="0.25">
      <c r="A376" s="63" t="str">
        <f t="shared" si="1"/>
        <v>011/2022/072.832.854-23</v>
      </c>
      <c r="B376" s="63" t="s">
        <v>3208</v>
      </c>
      <c r="C376" s="65">
        <v>45137.701145833336</v>
      </c>
      <c r="D376" s="63" t="s">
        <v>3209</v>
      </c>
      <c r="E376" s="63"/>
      <c r="F376" s="63" t="s">
        <v>3210</v>
      </c>
      <c r="G376" s="63" t="s">
        <v>3208</v>
      </c>
      <c r="H376" s="63" t="s">
        <v>1747</v>
      </c>
      <c r="I376" s="63" t="s">
        <v>2046</v>
      </c>
      <c r="J376" s="63">
        <v>2022</v>
      </c>
      <c r="K376" s="59" t="s">
        <v>17</v>
      </c>
      <c r="L376" s="59" t="s">
        <v>3211</v>
      </c>
      <c r="M376" s="58" t="s">
        <v>234</v>
      </c>
      <c r="N376" s="58" t="s">
        <v>1734</v>
      </c>
      <c r="O376" s="58" t="s">
        <v>3212</v>
      </c>
      <c r="P376" s="58" t="s">
        <v>17</v>
      </c>
    </row>
    <row r="377" spans="1:16" ht="12.5" x14ac:dyDescent="0.25">
      <c r="A377" s="63" t="str">
        <f t="shared" si="1"/>
        <v>054/2022/032.294.984-02</v>
      </c>
      <c r="B377" s="63" t="s">
        <v>3213</v>
      </c>
      <c r="C377" s="65">
        <v>45174.564663032404</v>
      </c>
      <c r="D377" s="63" t="s">
        <v>3214</v>
      </c>
      <c r="E377" s="63"/>
      <c r="F377" s="63" t="s">
        <v>3215</v>
      </c>
      <c r="G377" s="63" t="s">
        <v>3213</v>
      </c>
      <c r="H377" s="63" t="s">
        <v>1747</v>
      </c>
      <c r="I377" s="63" t="s">
        <v>3023</v>
      </c>
      <c r="J377" s="63">
        <v>2022</v>
      </c>
      <c r="K377" s="59" t="s">
        <v>16</v>
      </c>
      <c r="L377" s="59" t="s">
        <v>3216</v>
      </c>
      <c r="M377" s="58" t="s">
        <v>234</v>
      </c>
      <c r="N377" s="58" t="s">
        <v>1734</v>
      </c>
      <c r="O377" s="58" t="s">
        <v>3217</v>
      </c>
      <c r="P377" s="58" t="s">
        <v>16</v>
      </c>
    </row>
    <row r="378" spans="1:16" ht="12.5" x14ac:dyDescent="0.25">
      <c r="A378" s="63" t="str">
        <f t="shared" si="1"/>
        <v>015/2023/026.948.534-12</v>
      </c>
      <c r="B378" s="63" t="s">
        <v>3218</v>
      </c>
      <c r="C378" s="65">
        <v>45180.799785115742</v>
      </c>
      <c r="D378" s="63" t="s">
        <v>3219</v>
      </c>
      <c r="E378" s="63"/>
      <c r="F378" s="63" t="s">
        <v>3220</v>
      </c>
      <c r="G378" s="63" t="s">
        <v>3218</v>
      </c>
      <c r="H378" s="63" t="s">
        <v>1747</v>
      </c>
      <c r="I378" s="63" t="s">
        <v>2509</v>
      </c>
      <c r="J378" s="63">
        <v>2023</v>
      </c>
      <c r="K378" s="59" t="s">
        <v>16</v>
      </c>
      <c r="L378" s="59" t="s">
        <v>3221</v>
      </c>
      <c r="M378" s="58" t="s">
        <v>234</v>
      </c>
      <c r="N378" s="58" t="s">
        <v>1734</v>
      </c>
      <c r="O378" s="58" t="s">
        <v>3190</v>
      </c>
      <c r="P378" s="58" t="s">
        <v>16</v>
      </c>
    </row>
    <row r="379" spans="1:16" ht="12.5" x14ac:dyDescent="0.25">
      <c r="A379" s="63" t="str">
        <f t="shared" si="1"/>
        <v>019/2023/026.391.884-02</v>
      </c>
      <c r="B379" s="63" t="s">
        <v>3222</v>
      </c>
      <c r="C379" s="65">
        <v>45182.400029259261</v>
      </c>
      <c r="D379" s="63" t="s">
        <v>3223</v>
      </c>
      <c r="E379" s="63"/>
      <c r="F379" s="63" t="s">
        <v>3224</v>
      </c>
      <c r="G379" s="63" t="s">
        <v>3222</v>
      </c>
      <c r="H379" s="63" t="s">
        <v>1747</v>
      </c>
      <c r="I379" s="63" t="s">
        <v>2256</v>
      </c>
      <c r="J379" s="63">
        <v>2023</v>
      </c>
      <c r="K379" s="59" t="s">
        <v>16</v>
      </c>
      <c r="L379" s="59" t="s">
        <v>3225</v>
      </c>
      <c r="M379" s="58" t="s">
        <v>234</v>
      </c>
      <c r="N379" s="58" t="s">
        <v>1734</v>
      </c>
      <c r="O379" s="58" t="s">
        <v>3226</v>
      </c>
      <c r="P379" s="58" t="s">
        <v>16</v>
      </c>
    </row>
    <row r="380" spans="1:16" ht="12.5" x14ac:dyDescent="0.25">
      <c r="A380" s="63" t="str">
        <f t="shared" si="1"/>
        <v>019/2023/045.272.854-16</v>
      </c>
      <c r="B380" s="63" t="s">
        <v>3227</v>
      </c>
      <c r="C380" s="65">
        <v>45182.437330532412</v>
      </c>
      <c r="D380" s="63" t="s">
        <v>3228</v>
      </c>
      <c r="E380" s="63"/>
      <c r="F380" s="63" t="s">
        <v>3229</v>
      </c>
      <c r="G380" s="63" t="s">
        <v>3227</v>
      </c>
      <c r="H380" s="63" t="s">
        <v>1747</v>
      </c>
      <c r="I380" s="63" t="s">
        <v>2256</v>
      </c>
      <c r="J380" s="63">
        <v>2023</v>
      </c>
      <c r="K380" s="59" t="s">
        <v>16</v>
      </c>
      <c r="L380" s="59" t="s">
        <v>3230</v>
      </c>
      <c r="M380" s="58" t="s">
        <v>234</v>
      </c>
      <c r="N380" s="58" t="s">
        <v>1734</v>
      </c>
      <c r="O380" s="58" t="s">
        <v>3226</v>
      </c>
      <c r="P380" s="58" t="s">
        <v>16</v>
      </c>
    </row>
    <row r="381" spans="1:16" ht="12.5" x14ac:dyDescent="0.25">
      <c r="A381" s="63" t="str">
        <f t="shared" si="1"/>
        <v>019/2023/063.289.884-43</v>
      </c>
      <c r="B381" s="63" t="s">
        <v>3231</v>
      </c>
      <c r="C381" s="65">
        <v>45182.557472789355</v>
      </c>
      <c r="D381" s="63" t="s">
        <v>3232</v>
      </c>
      <c r="E381" s="63"/>
      <c r="F381" s="63" t="s">
        <v>3233</v>
      </c>
      <c r="G381" s="63" t="s">
        <v>3231</v>
      </c>
      <c r="H381" s="63" t="s">
        <v>1747</v>
      </c>
      <c r="I381" s="63" t="s">
        <v>2256</v>
      </c>
      <c r="J381" s="63">
        <v>2023</v>
      </c>
      <c r="K381" s="59" t="s">
        <v>16</v>
      </c>
      <c r="L381" s="59" t="s">
        <v>3234</v>
      </c>
      <c r="M381" s="58" t="s">
        <v>234</v>
      </c>
      <c r="N381" s="58" t="s">
        <v>1734</v>
      </c>
      <c r="O381" s="58" t="s">
        <v>3226</v>
      </c>
      <c r="P381" s="58" t="s">
        <v>16</v>
      </c>
    </row>
    <row r="382" spans="1:16" ht="12.5" x14ac:dyDescent="0.25">
      <c r="A382" s="63" t="str">
        <f t="shared" si="1"/>
        <v>055/2022/101.003.314-08</v>
      </c>
      <c r="B382" s="63" t="s">
        <v>3235</v>
      </c>
      <c r="C382" s="65">
        <v>45184.957728067129</v>
      </c>
      <c r="D382" s="63" t="s">
        <v>3236</v>
      </c>
      <c r="E382" s="63"/>
      <c r="F382" s="63" t="s">
        <v>3237</v>
      </c>
      <c r="G382" s="63" t="s">
        <v>3238</v>
      </c>
      <c r="H382" s="63" t="s">
        <v>1747</v>
      </c>
      <c r="I382" s="63" t="s">
        <v>3011</v>
      </c>
      <c r="J382" s="63">
        <v>2022</v>
      </c>
      <c r="K382" s="59" t="s">
        <v>17</v>
      </c>
      <c r="L382" s="59" t="s">
        <v>3239</v>
      </c>
      <c r="M382" s="58" t="s">
        <v>234</v>
      </c>
      <c r="N382" s="58" t="s">
        <v>1734</v>
      </c>
      <c r="O382" s="58" t="s">
        <v>3013</v>
      </c>
      <c r="P382" s="58" t="s">
        <v>16</v>
      </c>
    </row>
    <row r="383" spans="1:16" ht="12.5" x14ac:dyDescent="0.25">
      <c r="A383" s="63" t="str">
        <f t="shared" si="1"/>
        <v>019/2023/017.851.484-51</v>
      </c>
      <c r="B383" s="63" t="s">
        <v>3240</v>
      </c>
      <c r="C383" s="65">
        <v>45188.419642152774</v>
      </c>
      <c r="D383" s="63" t="s">
        <v>3241</v>
      </c>
      <c r="E383" s="63"/>
      <c r="F383" s="63" t="s">
        <v>3242</v>
      </c>
      <c r="G383" s="63" t="s">
        <v>3240</v>
      </c>
      <c r="H383" s="63" t="s">
        <v>1747</v>
      </c>
      <c r="I383" s="63" t="s">
        <v>2256</v>
      </c>
      <c r="J383" s="63">
        <v>2023</v>
      </c>
      <c r="K383" s="59" t="s">
        <v>16</v>
      </c>
      <c r="L383" s="59" t="s">
        <v>3243</v>
      </c>
      <c r="M383" s="58" t="s">
        <v>234</v>
      </c>
      <c r="N383" s="58" t="s">
        <v>1734</v>
      </c>
      <c r="O383" s="58" t="s">
        <v>2656</v>
      </c>
      <c r="P383" s="58" t="s">
        <v>16</v>
      </c>
    </row>
    <row r="384" spans="1:16" ht="12.5" x14ac:dyDescent="0.25">
      <c r="A384" s="63" t="str">
        <f t="shared" si="1"/>
        <v>015/2023/060.833.124-42</v>
      </c>
      <c r="B384" s="63" t="s">
        <v>3244</v>
      </c>
      <c r="C384" s="65">
        <v>45195.699002939815</v>
      </c>
      <c r="D384" s="63" t="s">
        <v>3245</v>
      </c>
      <c r="E384" s="63"/>
      <c r="F384" s="63" t="s">
        <v>3246</v>
      </c>
      <c r="G384" s="63" t="s">
        <v>3244</v>
      </c>
      <c r="H384" s="63" t="s">
        <v>1747</v>
      </c>
      <c r="I384" s="63" t="s">
        <v>2509</v>
      </c>
      <c r="J384" s="63">
        <v>2023</v>
      </c>
      <c r="K384" s="59" t="s">
        <v>16</v>
      </c>
      <c r="L384" s="59" t="s">
        <v>3247</v>
      </c>
      <c r="M384" s="58" t="s">
        <v>234</v>
      </c>
      <c r="N384" s="58" t="s">
        <v>1734</v>
      </c>
      <c r="O384" s="58" t="s">
        <v>2511</v>
      </c>
      <c r="P384" s="58" t="s">
        <v>16</v>
      </c>
    </row>
    <row r="385" spans="1:16" ht="12.5" x14ac:dyDescent="0.25">
      <c r="A385" s="63" t="str">
        <f t="shared" si="1"/>
        <v>023/2023/091.375.374-23</v>
      </c>
      <c r="B385" s="63" t="s">
        <v>3248</v>
      </c>
      <c r="C385" s="65">
        <v>45197.614515937501</v>
      </c>
      <c r="D385" s="63" t="s">
        <v>3249</v>
      </c>
      <c r="E385" s="63"/>
      <c r="F385" s="63" t="s">
        <v>3250</v>
      </c>
      <c r="G385" s="63" t="s">
        <v>3248</v>
      </c>
      <c r="H385" s="63" t="s">
        <v>1747</v>
      </c>
      <c r="I385" s="63" t="s">
        <v>2596</v>
      </c>
      <c r="J385" s="63">
        <v>2023</v>
      </c>
      <c r="K385" s="59" t="s">
        <v>17</v>
      </c>
      <c r="L385" s="59" t="s">
        <v>3251</v>
      </c>
      <c r="M385" s="58" t="s">
        <v>234</v>
      </c>
      <c r="N385" s="58" t="s">
        <v>1734</v>
      </c>
      <c r="O385" s="58" t="s">
        <v>3252</v>
      </c>
      <c r="P385" s="58" t="s">
        <v>3253</v>
      </c>
    </row>
    <row r="386" spans="1:16" ht="12.5" x14ac:dyDescent="0.25">
      <c r="A386" s="63" t="str">
        <f t="shared" si="1"/>
        <v>054/2022/106.324.884-17</v>
      </c>
      <c r="B386" s="63" t="s">
        <v>3254</v>
      </c>
      <c r="C386" s="65">
        <v>45201.368703599539</v>
      </c>
      <c r="D386" s="63" t="s">
        <v>3255</v>
      </c>
      <c r="E386" s="63"/>
      <c r="F386" s="63" t="s">
        <v>3256</v>
      </c>
      <c r="G386" s="63" t="s">
        <v>3254</v>
      </c>
      <c r="H386" s="63" t="s">
        <v>1747</v>
      </c>
      <c r="I386" s="63" t="s">
        <v>3023</v>
      </c>
      <c r="J386" s="63">
        <v>2022</v>
      </c>
      <c r="K386" s="59" t="s">
        <v>16</v>
      </c>
      <c r="L386" s="59" t="s">
        <v>3257</v>
      </c>
      <c r="M386" s="58" t="s">
        <v>234</v>
      </c>
      <c r="N386" s="58" t="s">
        <v>1734</v>
      </c>
      <c r="O386" s="58" t="s">
        <v>3025</v>
      </c>
      <c r="P386" s="58" t="s">
        <v>16</v>
      </c>
    </row>
    <row r="387" spans="1:16" ht="12.5" x14ac:dyDescent="0.25">
      <c r="A387" s="63" t="str">
        <f t="shared" si="1"/>
        <v>023/2023/068.056.303-20</v>
      </c>
      <c r="B387" s="63" t="s">
        <v>3254</v>
      </c>
      <c r="C387" s="65">
        <v>45226.378728298616</v>
      </c>
      <c r="D387" s="63" t="s">
        <v>3258</v>
      </c>
      <c r="E387" s="63"/>
      <c r="F387" s="63" t="s">
        <v>3259</v>
      </c>
      <c r="G387" s="63" t="s">
        <v>3260</v>
      </c>
      <c r="H387" s="63" t="s">
        <v>1747</v>
      </c>
      <c r="I387" s="63" t="s">
        <v>2596</v>
      </c>
      <c r="J387" s="63">
        <v>2023</v>
      </c>
      <c r="K387" s="59" t="s">
        <v>17</v>
      </c>
      <c r="L387" s="59" t="s">
        <v>3261</v>
      </c>
      <c r="M387" s="58" t="s">
        <v>234</v>
      </c>
      <c r="N387" s="58" t="s">
        <v>1734</v>
      </c>
      <c r="O387" s="58" t="s">
        <v>2598</v>
      </c>
      <c r="P387" s="58" t="s">
        <v>17</v>
      </c>
    </row>
    <row r="388" spans="1:16" ht="12.5" x14ac:dyDescent="0.25">
      <c r="A388" s="63" t="str">
        <f t="shared" si="1"/>
        <v>038/2022/917.923.124-15</v>
      </c>
      <c r="B388" s="63" t="s">
        <v>2782</v>
      </c>
      <c r="C388" s="65">
        <v>45226.413254004627</v>
      </c>
      <c r="D388" s="63" t="s">
        <v>2783</v>
      </c>
      <c r="E388" s="63" t="s">
        <v>2784</v>
      </c>
      <c r="F388" s="63" t="s">
        <v>2784</v>
      </c>
      <c r="G388" s="63" t="s">
        <v>2782</v>
      </c>
      <c r="H388" s="63" t="s">
        <v>1740</v>
      </c>
      <c r="I388" s="63" t="s">
        <v>1867</v>
      </c>
      <c r="J388" s="63">
        <v>2022</v>
      </c>
      <c r="K388" s="59" t="s">
        <v>17</v>
      </c>
      <c r="L388" s="59" t="s">
        <v>3262</v>
      </c>
      <c r="M388" s="58" t="s">
        <v>234</v>
      </c>
      <c r="N388" s="58" t="s">
        <v>1734</v>
      </c>
      <c r="O388" s="58" t="s">
        <v>3144</v>
      </c>
      <c r="P388" s="58" t="s">
        <v>3064</v>
      </c>
    </row>
    <row r="389" spans="1:16" ht="12.5" x14ac:dyDescent="0.25">
      <c r="A389" s="63" t="str">
        <f t="shared" si="1"/>
        <v>038/2022/069.479.614-08</v>
      </c>
      <c r="B389" s="63" t="s">
        <v>3263</v>
      </c>
      <c r="C389" s="65">
        <v>45226.413811469909</v>
      </c>
      <c r="D389" s="63" t="s">
        <v>3264</v>
      </c>
      <c r="E389" s="63" t="s">
        <v>3265</v>
      </c>
      <c r="F389" s="63" t="s">
        <v>3265</v>
      </c>
      <c r="G389" s="63" t="s">
        <v>3263</v>
      </c>
      <c r="H389" s="63" t="s">
        <v>1740</v>
      </c>
      <c r="I389" s="63" t="s">
        <v>1867</v>
      </c>
      <c r="J389" s="63">
        <v>2022</v>
      </c>
      <c r="K389" s="59" t="s">
        <v>17</v>
      </c>
      <c r="L389" s="59" t="s">
        <v>3266</v>
      </c>
      <c r="M389" s="58" t="s">
        <v>234</v>
      </c>
      <c r="N389" s="58" t="s">
        <v>1734</v>
      </c>
      <c r="O389" s="58" t="s">
        <v>2986</v>
      </c>
      <c r="P389" s="58" t="s">
        <v>3064</v>
      </c>
    </row>
    <row r="390" spans="1:16" ht="12.5" x14ac:dyDescent="0.25">
      <c r="A390" s="63" t="str">
        <f t="shared" si="1"/>
        <v>038/2022/072.446.974-57</v>
      </c>
      <c r="B390" s="63" t="s">
        <v>3267</v>
      </c>
      <c r="C390" s="65">
        <v>45226.649616064809</v>
      </c>
      <c r="D390" s="63" t="s">
        <v>3268</v>
      </c>
      <c r="E390" s="63"/>
      <c r="F390" s="63" t="s">
        <v>3269</v>
      </c>
      <c r="G390" s="63" t="s">
        <v>3267</v>
      </c>
      <c r="H390" s="63" t="s">
        <v>1747</v>
      </c>
      <c r="I390" s="63" t="s">
        <v>1867</v>
      </c>
      <c r="J390" s="63">
        <v>2022</v>
      </c>
      <c r="K390" s="59" t="s">
        <v>17</v>
      </c>
      <c r="L390" s="59" t="s">
        <v>3270</v>
      </c>
      <c r="M390" s="58" t="s">
        <v>234</v>
      </c>
      <c r="N390" s="58" t="s">
        <v>1734</v>
      </c>
      <c r="O390" s="58" t="s">
        <v>2986</v>
      </c>
      <c r="P390" s="58" t="s">
        <v>3064</v>
      </c>
    </row>
    <row r="391" spans="1:16" ht="12.5" x14ac:dyDescent="0.25">
      <c r="A391" s="63" t="str">
        <f t="shared" si="1"/>
        <v>025/2022/016.713.464-75</v>
      </c>
      <c r="B391" s="63" t="s">
        <v>3267</v>
      </c>
      <c r="C391" s="65">
        <v>45231.367590069443</v>
      </c>
      <c r="D391" s="63" t="s">
        <v>2405</v>
      </c>
      <c r="E391" s="63"/>
      <c r="F391" s="63" t="s">
        <v>3271</v>
      </c>
      <c r="G391" s="63" t="s">
        <v>2026</v>
      </c>
      <c r="H391" s="63" t="s">
        <v>1747</v>
      </c>
      <c r="I391" s="63" t="s">
        <v>2556</v>
      </c>
      <c r="J391" s="63">
        <v>2022</v>
      </c>
      <c r="K391" s="59" t="s">
        <v>17</v>
      </c>
      <c r="L391" s="59" t="s">
        <v>3272</v>
      </c>
      <c r="M391" s="58" t="s">
        <v>234</v>
      </c>
      <c r="N391" s="58" t="s">
        <v>1734</v>
      </c>
      <c r="O391" s="58" t="s">
        <v>2558</v>
      </c>
      <c r="P391" s="58" t="s">
        <v>17</v>
      </c>
    </row>
    <row r="392" spans="1:16" ht="12.5" x14ac:dyDescent="0.25">
      <c r="A392" s="63" t="str">
        <f t="shared" si="1"/>
        <v>055/2022/081.056.274-00</v>
      </c>
      <c r="B392" s="63" t="s">
        <v>3273</v>
      </c>
      <c r="C392" s="65">
        <v>45232.019271331017</v>
      </c>
      <c r="D392" s="63" t="s">
        <v>3274</v>
      </c>
      <c r="E392" s="63"/>
      <c r="F392" s="63" t="s">
        <v>3275</v>
      </c>
      <c r="G392" s="63" t="s">
        <v>3273</v>
      </c>
      <c r="H392" s="63" t="s">
        <v>1747</v>
      </c>
      <c r="I392" s="63" t="s">
        <v>3011</v>
      </c>
      <c r="J392" s="63">
        <v>2022</v>
      </c>
      <c r="K392" s="59" t="s">
        <v>17</v>
      </c>
      <c r="L392" s="59" t="s">
        <v>3276</v>
      </c>
      <c r="M392" s="58" t="s">
        <v>234</v>
      </c>
      <c r="N392" s="58" t="s">
        <v>1734</v>
      </c>
      <c r="O392" s="58" t="s">
        <v>3013</v>
      </c>
      <c r="P392" s="58" t="s">
        <v>17</v>
      </c>
    </row>
    <row r="393" spans="1:16" ht="12.5" x14ac:dyDescent="0.25">
      <c r="A393" s="63" t="str">
        <f t="shared" si="1"/>
        <v>055/2022/047.100.629-78</v>
      </c>
      <c r="B393" s="63" t="s">
        <v>3277</v>
      </c>
      <c r="C393" s="65">
        <v>45237.527451979171</v>
      </c>
      <c r="D393" s="63" t="s">
        <v>3278</v>
      </c>
      <c r="E393" s="63"/>
      <c r="F393" s="63" t="s">
        <v>3279</v>
      </c>
      <c r="G393" s="63" t="s">
        <v>3277</v>
      </c>
      <c r="H393" s="63" t="s">
        <v>1747</v>
      </c>
      <c r="I393" s="63" t="s">
        <v>3011</v>
      </c>
      <c r="J393" s="63">
        <v>2022</v>
      </c>
      <c r="K393" s="59" t="s">
        <v>17</v>
      </c>
      <c r="L393" s="59" t="s">
        <v>3280</v>
      </c>
      <c r="M393" s="58" t="s">
        <v>234</v>
      </c>
      <c r="N393" s="58" t="s">
        <v>1734</v>
      </c>
      <c r="O393" s="58" t="s">
        <v>3013</v>
      </c>
      <c r="P393" s="58" t="s">
        <v>17</v>
      </c>
    </row>
    <row r="394" spans="1:16" ht="12.5" x14ac:dyDescent="0.25">
      <c r="A394" s="63" t="str">
        <f t="shared" si="1"/>
        <v>054/2022/057.938.564-71</v>
      </c>
      <c r="B394" s="63" t="s">
        <v>3281</v>
      </c>
      <c r="C394" s="65">
        <v>45238.498634074072</v>
      </c>
      <c r="D394" s="63" t="s">
        <v>3282</v>
      </c>
      <c r="E394" s="63"/>
      <c r="F394" s="63" t="s">
        <v>3283</v>
      </c>
      <c r="G394" s="63" t="s">
        <v>3281</v>
      </c>
      <c r="H394" s="63" t="s">
        <v>1747</v>
      </c>
      <c r="I394" s="63" t="s">
        <v>3023</v>
      </c>
      <c r="J394" s="63">
        <v>2022</v>
      </c>
      <c r="K394" s="59" t="s">
        <v>16</v>
      </c>
      <c r="L394" s="59" t="s">
        <v>3284</v>
      </c>
      <c r="M394" s="58" t="s">
        <v>234</v>
      </c>
      <c r="N394" s="58" t="s">
        <v>1734</v>
      </c>
      <c r="O394" s="58" t="s">
        <v>3025</v>
      </c>
      <c r="P394" s="58" t="s">
        <v>16</v>
      </c>
    </row>
    <row r="395" spans="1:16" ht="12.5" x14ac:dyDescent="0.25">
      <c r="A395" s="63" t="str">
        <f t="shared" si="1"/>
        <v>055/2022/076.906.484-10</v>
      </c>
      <c r="B395" s="63" t="s">
        <v>2674</v>
      </c>
      <c r="C395" s="65">
        <v>45260.45224943287</v>
      </c>
      <c r="D395" s="63" t="s">
        <v>3285</v>
      </c>
      <c r="E395" s="63"/>
      <c r="F395" s="63" t="s">
        <v>3018</v>
      </c>
      <c r="G395" s="63" t="s">
        <v>2674</v>
      </c>
      <c r="H395" s="63" t="s">
        <v>1747</v>
      </c>
      <c r="I395" s="63" t="s">
        <v>3011</v>
      </c>
      <c r="J395" s="63">
        <v>2022</v>
      </c>
      <c r="K395" s="59" t="s">
        <v>17</v>
      </c>
      <c r="L395" s="59" t="s">
        <v>3286</v>
      </c>
      <c r="M395" s="58" t="s">
        <v>234</v>
      </c>
      <c r="N395" s="58" t="s">
        <v>1734</v>
      </c>
      <c r="O395" s="58" t="s">
        <v>3013</v>
      </c>
      <c r="P395" s="58" t="s">
        <v>17</v>
      </c>
    </row>
    <row r="396" spans="1:16" ht="12.5" x14ac:dyDescent="0.25">
      <c r="A396" s="63" t="str">
        <f t="shared" si="1"/>
        <v>019/2023/064.654.674-02</v>
      </c>
      <c r="B396" s="63" t="s">
        <v>3287</v>
      </c>
      <c r="C396" s="65">
        <v>45278.420075752314</v>
      </c>
      <c r="D396" s="63" t="s">
        <v>3288</v>
      </c>
      <c r="E396" s="63"/>
      <c r="F396" s="63" t="s">
        <v>3289</v>
      </c>
      <c r="G396" s="63" t="s">
        <v>3287</v>
      </c>
      <c r="H396" s="63" t="s">
        <v>1747</v>
      </c>
      <c r="I396" s="63" t="s">
        <v>2256</v>
      </c>
      <c r="J396" s="63">
        <v>2023</v>
      </c>
      <c r="K396" s="59" t="s">
        <v>16</v>
      </c>
      <c r="L396" s="59" t="s">
        <v>3290</v>
      </c>
      <c r="M396" s="58" t="s">
        <v>234</v>
      </c>
      <c r="N396" s="58" t="s">
        <v>1734</v>
      </c>
      <c r="O396" s="58" t="s">
        <v>3226</v>
      </c>
      <c r="P396" s="58" t="s">
        <v>16</v>
      </c>
    </row>
    <row r="397" spans="1:16" ht="12.5" x14ac:dyDescent="0.25">
      <c r="A397" s="63" t="str">
        <f t="shared" si="1"/>
        <v>055/2022/100.572.804-60</v>
      </c>
      <c r="B397" s="63" t="s">
        <v>3291</v>
      </c>
      <c r="C397" s="65">
        <v>45282.791170011573</v>
      </c>
      <c r="D397" s="63" t="s">
        <v>3292</v>
      </c>
      <c r="E397" s="63"/>
      <c r="F397" s="63" t="s">
        <v>3293</v>
      </c>
      <c r="G397" s="63" t="s">
        <v>3291</v>
      </c>
      <c r="H397" s="63" t="s">
        <v>1747</v>
      </c>
      <c r="I397" s="63" t="s">
        <v>3011</v>
      </c>
      <c r="J397" s="63">
        <v>2022</v>
      </c>
      <c r="K397" s="59" t="s">
        <v>17</v>
      </c>
      <c r="L397" s="59" t="s">
        <v>3294</v>
      </c>
      <c r="M397" s="58" t="s">
        <v>234</v>
      </c>
      <c r="N397" s="58" t="s">
        <v>1734</v>
      </c>
      <c r="O397" s="58" t="s">
        <v>3295</v>
      </c>
      <c r="P397" s="58" t="s">
        <v>17</v>
      </c>
    </row>
    <row r="398" spans="1:16" ht="12.5" x14ac:dyDescent="0.25">
      <c r="A398" s="63" t="str">
        <f t="shared" si="1"/>
        <v>054/2022/061.820.083-50</v>
      </c>
      <c r="B398" s="63" t="s">
        <v>3296</v>
      </c>
      <c r="C398" s="65">
        <v>45284.432128298606</v>
      </c>
      <c r="D398" s="63" t="s">
        <v>3297</v>
      </c>
      <c r="E398" s="63"/>
      <c r="F398" s="63" t="s">
        <v>3298</v>
      </c>
      <c r="G398" s="63" t="s">
        <v>3296</v>
      </c>
      <c r="H398" s="63" t="s">
        <v>1747</v>
      </c>
      <c r="I398" s="63" t="s">
        <v>3023</v>
      </c>
      <c r="J398" s="63">
        <v>2022</v>
      </c>
      <c r="K398" s="59" t="s">
        <v>16</v>
      </c>
      <c r="L398" s="59" t="s">
        <v>3299</v>
      </c>
      <c r="M398" s="58" t="s">
        <v>234</v>
      </c>
      <c r="N398" s="58" t="s">
        <v>1734</v>
      </c>
      <c r="O398" s="58" t="s">
        <v>3300</v>
      </c>
      <c r="P398" s="58" t="s">
        <v>16</v>
      </c>
    </row>
    <row r="399" spans="1:16" ht="12.5" x14ac:dyDescent="0.25">
      <c r="A399" s="63" t="str">
        <f t="shared" si="1"/>
        <v>024/2023/073.819.824-20</v>
      </c>
      <c r="B399" s="63" t="s">
        <v>3301</v>
      </c>
      <c r="C399" s="65">
        <v>45287.659757060188</v>
      </c>
      <c r="D399" s="63" t="s">
        <v>3302</v>
      </c>
      <c r="E399" s="63"/>
      <c r="F399" s="63" t="s">
        <v>3303</v>
      </c>
      <c r="G399" s="63" t="s">
        <v>3301</v>
      </c>
      <c r="H399" s="63" t="s">
        <v>1747</v>
      </c>
      <c r="I399" s="63" t="s">
        <v>2323</v>
      </c>
      <c r="J399" s="63">
        <v>2023</v>
      </c>
      <c r="K399" s="59" t="s">
        <v>17</v>
      </c>
      <c r="L399" s="59" t="s">
        <v>3304</v>
      </c>
      <c r="M399" s="58" t="s">
        <v>234</v>
      </c>
      <c r="N399" s="58" t="s">
        <v>1734</v>
      </c>
      <c r="O399" s="58" t="s">
        <v>3305</v>
      </c>
      <c r="P399" s="58" t="s">
        <v>17</v>
      </c>
    </row>
    <row r="400" spans="1:16" ht="12.5" x14ac:dyDescent="0.25">
      <c r="A400" s="63" t="str">
        <f t="shared" si="1"/>
        <v>024/2023/123.077.954-05</v>
      </c>
      <c r="B400" s="63" t="s">
        <v>3306</v>
      </c>
      <c r="C400" s="65">
        <v>45287.796562824078</v>
      </c>
      <c r="D400" s="63" t="s">
        <v>3307</v>
      </c>
      <c r="E400" s="63"/>
      <c r="F400" s="63" t="s">
        <v>3308</v>
      </c>
      <c r="G400" s="63" t="s">
        <v>3306</v>
      </c>
      <c r="H400" s="63" t="s">
        <v>1747</v>
      </c>
      <c r="I400" s="63" t="s">
        <v>2323</v>
      </c>
      <c r="J400" s="63">
        <v>2023</v>
      </c>
      <c r="K400" s="59" t="s">
        <v>232</v>
      </c>
      <c r="L400" s="59" t="s">
        <v>3309</v>
      </c>
      <c r="M400" s="58" t="s">
        <v>234</v>
      </c>
      <c r="N400" s="58" t="s">
        <v>1734</v>
      </c>
      <c r="O400" s="58" t="s">
        <v>3305</v>
      </c>
      <c r="P400" s="58" t="s">
        <v>232</v>
      </c>
    </row>
    <row r="401" spans="1:17" ht="12.5" x14ac:dyDescent="0.25">
      <c r="A401" s="63" t="str">
        <f t="shared" si="1"/>
        <v>018/2024/919.699.644-72</v>
      </c>
      <c r="B401" s="63" t="s">
        <v>3310</v>
      </c>
      <c r="C401" s="65">
        <v>45296.497860277777</v>
      </c>
      <c r="D401" s="63" t="s">
        <v>3311</v>
      </c>
      <c r="E401" s="63"/>
      <c r="F401" s="63" t="s">
        <v>3312</v>
      </c>
      <c r="G401" s="63" t="s">
        <v>3310</v>
      </c>
      <c r="H401" s="63" t="s">
        <v>1747</v>
      </c>
      <c r="I401" s="63" t="s">
        <v>3313</v>
      </c>
      <c r="J401" s="63">
        <v>2024</v>
      </c>
      <c r="K401" s="59" t="s">
        <v>16</v>
      </c>
      <c r="L401" s="59" t="s">
        <v>3314</v>
      </c>
      <c r="M401" s="58" t="s">
        <v>234</v>
      </c>
      <c r="N401" s="58" t="s">
        <v>1734</v>
      </c>
      <c r="O401" s="58" t="s">
        <v>3315</v>
      </c>
      <c r="P401" s="58" t="s">
        <v>16</v>
      </c>
    </row>
    <row r="402" spans="1:17" ht="12.5" x14ac:dyDescent="0.25">
      <c r="A402" s="63" t="str">
        <f t="shared" si="1"/>
        <v>022/2024/097.099.474-51</v>
      </c>
      <c r="B402" s="63" t="s">
        <v>3316</v>
      </c>
      <c r="C402" s="65">
        <v>45299.357200833329</v>
      </c>
      <c r="D402" s="63" t="s">
        <v>3317</v>
      </c>
      <c r="E402" s="63"/>
      <c r="F402" s="63" t="s">
        <v>3318</v>
      </c>
      <c r="G402" s="63" t="s">
        <v>3316</v>
      </c>
      <c r="H402" s="63" t="s">
        <v>1747</v>
      </c>
      <c r="I402" s="63" t="s">
        <v>2562</v>
      </c>
      <c r="J402" s="63">
        <v>2024</v>
      </c>
      <c r="K402" s="59" t="s">
        <v>16</v>
      </c>
      <c r="L402" s="59" t="s">
        <v>3319</v>
      </c>
      <c r="M402" s="58" t="s">
        <v>234</v>
      </c>
      <c r="N402" s="58" t="s">
        <v>1734</v>
      </c>
      <c r="O402" s="58" t="s">
        <v>3320</v>
      </c>
      <c r="P402" s="58" t="s">
        <v>16</v>
      </c>
      <c r="Q402" s="58" t="s">
        <v>3321</v>
      </c>
    </row>
    <row r="403" spans="1:17" ht="12.5" x14ac:dyDescent="0.25">
      <c r="A403" s="63" t="str">
        <f t="shared" si="1"/>
        <v>022/2024/111.570.424-90</v>
      </c>
      <c r="B403" s="63" t="s">
        <v>3322</v>
      </c>
      <c r="C403" s="65">
        <v>45299.669221585646</v>
      </c>
      <c r="D403" s="63" t="s">
        <v>3323</v>
      </c>
      <c r="E403" s="63"/>
      <c r="F403" s="63" t="s">
        <v>3324</v>
      </c>
      <c r="G403" s="63" t="s">
        <v>3322</v>
      </c>
      <c r="H403" s="63" t="s">
        <v>1747</v>
      </c>
      <c r="I403" s="63" t="s">
        <v>2562</v>
      </c>
      <c r="J403" s="63">
        <v>2024</v>
      </c>
      <c r="K403" s="59" t="s">
        <v>16</v>
      </c>
      <c r="L403" s="59" t="s">
        <v>3325</v>
      </c>
      <c r="M403" s="58" t="s">
        <v>234</v>
      </c>
      <c r="N403" s="58" t="s">
        <v>1734</v>
      </c>
      <c r="O403" s="58" t="s">
        <v>3320</v>
      </c>
      <c r="P403" s="58" t="s">
        <v>16</v>
      </c>
      <c r="Q403" s="58" t="s">
        <v>3321</v>
      </c>
    </row>
    <row r="404" spans="1:17" ht="12.5" x14ac:dyDescent="0.25">
      <c r="A404" s="63" t="str">
        <f t="shared" si="1"/>
        <v>024/2024/101.599.774-01</v>
      </c>
      <c r="B404" s="63" t="s">
        <v>2963</v>
      </c>
      <c r="C404" s="65">
        <v>45299.674383460646</v>
      </c>
      <c r="D404" s="63" t="s">
        <v>2964</v>
      </c>
      <c r="E404" s="63"/>
      <c r="F404" s="63" t="s">
        <v>3326</v>
      </c>
      <c r="G404" s="63" t="s">
        <v>2963</v>
      </c>
      <c r="H404" s="63" t="s">
        <v>1747</v>
      </c>
      <c r="I404" s="63" t="s">
        <v>2323</v>
      </c>
      <c r="J404" s="63">
        <v>2024</v>
      </c>
      <c r="K404" s="59" t="s">
        <v>17</v>
      </c>
      <c r="L404" s="59" t="s">
        <v>3327</v>
      </c>
      <c r="M404" s="58" t="s">
        <v>234</v>
      </c>
      <c r="N404" s="58" t="s">
        <v>1734</v>
      </c>
      <c r="O404" s="58" t="s">
        <v>3305</v>
      </c>
      <c r="P404" s="58" t="s">
        <v>17</v>
      </c>
      <c r="Q404" s="58" t="s">
        <v>3321</v>
      </c>
    </row>
    <row r="405" spans="1:17" ht="12.5" x14ac:dyDescent="0.25">
      <c r="A405" s="63" t="str">
        <f t="shared" si="1"/>
        <v>022/2024/715.199.314-50</v>
      </c>
      <c r="B405" s="63" t="s">
        <v>3328</v>
      </c>
      <c r="C405" s="65">
        <v>45299.689113587963</v>
      </c>
      <c r="D405" s="63" t="s">
        <v>3329</v>
      </c>
      <c r="E405" s="63"/>
      <c r="F405" s="63" t="s">
        <v>3330</v>
      </c>
      <c r="G405" s="63" t="s">
        <v>3328</v>
      </c>
      <c r="H405" s="63" t="s">
        <v>1747</v>
      </c>
      <c r="I405" s="63" t="s">
        <v>2562</v>
      </c>
      <c r="J405" s="63">
        <v>2024</v>
      </c>
      <c r="K405" s="59" t="s">
        <v>17</v>
      </c>
      <c r="L405" s="59" t="s">
        <v>3331</v>
      </c>
      <c r="M405" s="58" t="s">
        <v>2776</v>
      </c>
      <c r="N405" s="58" t="s">
        <v>1734</v>
      </c>
      <c r="O405" s="58" t="s">
        <v>3320</v>
      </c>
      <c r="P405" s="58" t="s">
        <v>17</v>
      </c>
      <c r="Q405" s="58" t="s">
        <v>3332</v>
      </c>
    </row>
    <row r="406" spans="1:17" ht="12.5" x14ac:dyDescent="0.25">
      <c r="A406" s="63" t="str">
        <f t="shared" si="1"/>
        <v>054/2024/043.723.124-07</v>
      </c>
      <c r="B406" s="63" t="s">
        <v>3333</v>
      </c>
      <c r="C406" s="65">
        <v>45300.461865324076</v>
      </c>
      <c r="D406" s="63" t="s">
        <v>3334</v>
      </c>
      <c r="E406" s="63"/>
      <c r="F406" s="63" t="s">
        <v>3335</v>
      </c>
      <c r="G406" s="63" t="s">
        <v>3333</v>
      </c>
      <c r="H406" s="63" t="s">
        <v>1747</v>
      </c>
      <c r="I406" s="63" t="s">
        <v>3023</v>
      </c>
      <c r="J406" s="63">
        <v>2024</v>
      </c>
      <c r="K406" s="59" t="s">
        <v>16</v>
      </c>
      <c r="L406" s="59" t="s">
        <v>3336</v>
      </c>
      <c r="M406" s="58" t="s">
        <v>234</v>
      </c>
      <c r="N406" s="58" t="s">
        <v>1734</v>
      </c>
      <c r="O406" s="58" t="s">
        <v>3025</v>
      </c>
      <c r="P406" s="58" t="s">
        <v>16</v>
      </c>
    </row>
    <row r="407" spans="1:17" ht="12.5" x14ac:dyDescent="0.25">
      <c r="A407" s="63" t="str">
        <f t="shared" si="1"/>
        <v>022/2024/022.441.434-81</v>
      </c>
      <c r="B407" s="63" t="s">
        <v>3337</v>
      </c>
      <c r="C407" s="65">
        <v>45300.534540011577</v>
      </c>
      <c r="D407" s="63" t="s">
        <v>3338</v>
      </c>
      <c r="E407" s="63"/>
      <c r="F407" s="63" t="s">
        <v>3339</v>
      </c>
      <c r="G407" s="63" t="s">
        <v>3337</v>
      </c>
      <c r="H407" s="63" t="s">
        <v>1747</v>
      </c>
      <c r="I407" s="63" t="s">
        <v>2562</v>
      </c>
      <c r="J407" s="63">
        <v>2024</v>
      </c>
      <c r="K407" s="59" t="s">
        <v>16</v>
      </c>
      <c r="L407" s="59" t="s">
        <v>3340</v>
      </c>
      <c r="M407" s="58" t="s">
        <v>234</v>
      </c>
      <c r="N407" s="58" t="s">
        <v>1734</v>
      </c>
      <c r="O407" s="58" t="s">
        <v>3320</v>
      </c>
      <c r="P407" s="58" t="s">
        <v>16</v>
      </c>
      <c r="Q407" s="58" t="s">
        <v>3321</v>
      </c>
    </row>
    <row r="408" spans="1:17" ht="12.5" x14ac:dyDescent="0.25">
      <c r="A408" s="63" t="str">
        <f t="shared" si="1"/>
        <v>023/2024/082.807.394-59</v>
      </c>
      <c r="B408" s="63" t="s">
        <v>2427</v>
      </c>
      <c r="C408" s="65">
        <v>45300.662726030088</v>
      </c>
      <c r="D408" s="63" t="s">
        <v>3341</v>
      </c>
      <c r="E408" s="63"/>
      <c r="F408" s="63" t="s">
        <v>3141</v>
      </c>
      <c r="G408" s="63" t="s">
        <v>2427</v>
      </c>
      <c r="H408" s="63" t="s">
        <v>1747</v>
      </c>
      <c r="I408" s="63" t="s">
        <v>2596</v>
      </c>
      <c r="J408" s="63">
        <v>2024</v>
      </c>
      <c r="K408" s="59" t="s">
        <v>17</v>
      </c>
      <c r="L408" s="59" t="s">
        <v>3342</v>
      </c>
      <c r="M408" s="58" t="s">
        <v>234</v>
      </c>
      <c r="N408" s="58" t="s">
        <v>1734</v>
      </c>
      <c r="O408" s="58" t="s">
        <v>3252</v>
      </c>
      <c r="P408" s="58" t="s">
        <v>17</v>
      </c>
      <c r="Q408" s="58" t="s">
        <v>3321</v>
      </c>
    </row>
    <row r="409" spans="1:17" ht="12.5" x14ac:dyDescent="0.25">
      <c r="A409" s="63" t="str">
        <f t="shared" si="1"/>
        <v>022/2024/135.323.544-03</v>
      </c>
      <c r="B409" s="63" t="s">
        <v>3343</v>
      </c>
      <c r="C409" s="65">
        <v>45300.801280474538</v>
      </c>
      <c r="D409" s="63" t="s">
        <v>3344</v>
      </c>
      <c r="E409" s="63"/>
      <c r="F409" s="63" t="s">
        <v>3345</v>
      </c>
      <c r="G409" s="63" t="s">
        <v>3343</v>
      </c>
      <c r="H409" s="63" t="s">
        <v>1747</v>
      </c>
      <c r="I409" s="63" t="s">
        <v>2562</v>
      </c>
      <c r="J409" s="63">
        <v>2024</v>
      </c>
      <c r="K409" s="59" t="s">
        <v>16</v>
      </c>
      <c r="L409" s="59" t="s">
        <v>3346</v>
      </c>
      <c r="M409" s="58" t="s">
        <v>234</v>
      </c>
      <c r="N409" s="58" t="s">
        <v>1734</v>
      </c>
      <c r="O409" s="58" t="s">
        <v>3320</v>
      </c>
      <c r="P409" s="58" t="s">
        <v>16</v>
      </c>
      <c r="Q409" s="58" t="s">
        <v>3321</v>
      </c>
    </row>
    <row r="410" spans="1:17" ht="12.5" x14ac:dyDescent="0.25">
      <c r="A410" s="63" t="str">
        <f t="shared" si="1"/>
        <v>031/2023/114.971.484-05</v>
      </c>
      <c r="B410" s="63" t="s">
        <v>3347</v>
      </c>
      <c r="C410" s="65">
        <v>45302.570636388889</v>
      </c>
      <c r="D410" s="63" t="s">
        <v>3348</v>
      </c>
      <c r="E410" s="63"/>
      <c r="F410" s="63" t="s">
        <v>3349</v>
      </c>
      <c r="G410" s="63" t="s">
        <v>3347</v>
      </c>
      <c r="H410" s="63" t="s">
        <v>1747</v>
      </c>
      <c r="I410" s="63" t="s">
        <v>3350</v>
      </c>
      <c r="J410" s="63">
        <v>2023</v>
      </c>
      <c r="K410" s="59" t="s">
        <v>16</v>
      </c>
      <c r="L410" s="59" t="s">
        <v>3351</v>
      </c>
      <c r="M410" s="58" t="s">
        <v>234</v>
      </c>
      <c r="N410" s="58" t="s">
        <v>1734</v>
      </c>
      <c r="O410" s="58" t="s">
        <v>3352</v>
      </c>
      <c r="P410" s="58" t="s">
        <v>16</v>
      </c>
      <c r="Q410" s="58" t="s">
        <v>3321</v>
      </c>
    </row>
    <row r="411" spans="1:17" ht="12.5" x14ac:dyDescent="0.25">
      <c r="A411" s="63" t="str">
        <f t="shared" si="1"/>
        <v>022/2024/094.903.414-28</v>
      </c>
      <c r="B411" s="63" t="s">
        <v>3353</v>
      </c>
      <c r="C411" s="65">
        <v>45302.810921886572</v>
      </c>
      <c r="D411" s="63" t="s">
        <v>3354</v>
      </c>
      <c r="E411" s="63"/>
      <c r="F411" s="63" t="s">
        <v>3355</v>
      </c>
      <c r="G411" s="63" t="s">
        <v>3353</v>
      </c>
      <c r="H411" s="63" t="s">
        <v>1747</v>
      </c>
      <c r="I411" s="63" t="s">
        <v>2562</v>
      </c>
      <c r="J411" s="63">
        <v>2024</v>
      </c>
      <c r="K411" s="59" t="s">
        <v>16</v>
      </c>
      <c r="L411" s="59" t="s">
        <v>3356</v>
      </c>
      <c r="M411" s="58" t="s">
        <v>234</v>
      </c>
      <c r="N411" s="58" t="s">
        <v>1734</v>
      </c>
      <c r="O411" s="58" t="s">
        <v>3320</v>
      </c>
      <c r="P411" s="58" t="s">
        <v>16</v>
      </c>
    </row>
    <row r="412" spans="1:17" ht="12.5" x14ac:dyDescent="0.25">
      <c r="A412" s="63" t="str">
        <f t="shared" si="1"/>
        <v>031/2023/024.642.471-03</v>
      </c>
      <c r="B412" s="63" t="s">
        <v>3357</v>
      </c>
      <c r="C412" s="65">
        <v>45303.006646493057</v>
      </c>
      <c r="D412" s="63" t="s">
        <v>3358</v>
      </c>
      <c r="E412" s="63"/>
      <c r="F412" s="63" t="s">
        <v>3359</v>
      </c>
      <c r="G412" s="63" t="s">
        <v>3357</v>
      </c>
      <c r="H412" s="63" t="s">
        <v>1747</v>
      </c>
      <c r="I412" s="63" t="s">
        <v>3350</v>
      </c>
      <c r="J412" s="63">
        <v>2023</v>
      </c>
      <c r="K412" s="59" t="s">
        <v>16</v>
      </c>
      <c r="L412" s="59" t="s">
        <v>3360</v>
      </c>
      <c r="M412" s="58" t="s">
        <v>234</v>
      </c>
      <c r="N412" s="58" t="s">
        <v>1734</v>
      </c>
      <c r="O412" s="58" t="s">
        <v>3352</v>
      </c>
      <c r="P412" s="58" t="s">
        <v>16</v>
      </c>
      <c r="Q412" s="58" t="s">
        <v>3321</v>
      </c>
    </row>
    <row r="413" spans="1:17" ht="12.5" x14ac:dyDescent="0.25">
      <c r="A413" s="63" t="str">
        <f t="shared" si="1"/>
        <v>022/2024/093.712.404-40</v>
      </c>
      <c r="B413" s="63" t="s">
        <v>3361</v>
      </c>
      <c r="C413" s="65">
        <v>45306.570720671298</v>
      </c>
      <c r="D413" s="63" t="s">
        <v>3362</v>
      </c>
      <c r="E413" s="63"/>
      <c r="F413" s="63" t="s">
        <v>3363</v>
      </c>
      <c r="G413" s="63" t="s">
        <v>3361</v>
      </c>
      <c r="H413" s="63" t="s">
        <v>1747</v>
      </c>
      <c r="I413" s="63" t="s">
        <v>2562</v>
      </c>
      <c r="J413" s="63">
        <v>2024</v>
      </c>
      <c r="K413" s="59" t="s">
        <v>16</v>
      </c>
      <c r="L413" s="59" t="s">
        <v>3364</v>
      </c>
      <c r="M413" s="58" t="s">
        <v>234</v>
      </c>
      <c r="N413" s="58" t="s">
        <v>1734</v>
      </c>
      <c r="O413" s="58" t="s">
        <v>3320</v>
      </c>
      <c r="P413" s="58" t="s">
        <v>16</v>
      </c>
    </row>
    <row r="414" spans="1:17" ht="12.5" x14ac:dyDescent="0.25">
      <c r="A414" s="63" t="str">
        <f t="shared" si="1"/>
        <v>024/2023/075.301.864-00</v>
      </c>
      <c r="B414" s="63" t="s">
        <v>2599</v>
      </c>
      <c r="C414" s="65">
        <v>45307.408386087962</v>
      </c>
      <c r="D414" s="63" t="s">
        <v>2607</v>
      </c>
      <c r="E414" s="63"/>
      <c r="F414" s="63" t="s">
        <v>3365</v>
      </c>
      <c r="G414" s="63" t="s">
        <v>2599</v>
      </c>
      <c r="H414" s="63" t="s">
        <v>1747</v>
      </c>
      <c r="I414" s="63" t="s">
        <v>2323</v>
      </c>
      <c r="J414" s="63">
        <v>2023</v>
      </c>
      <c r="K414" s="59" t="s">
        <v>17</v>
      </c>
      <c r="L414" s="59" t="s">
        <v>3366</v>
      </c>
      <c r="M414" s="58" t="s">
        <v>234</v>
      </c>
      <c r="N414" s="58" t="s">
        <v>1734</v>
      </c>
      <c r="O414" s="58" t="s">
        <v>3305</v>
      </c>
      <c r="P414" s="58" t="s">
        <v>17</v>
      </c>
    </row>
    <row r="415" spans="1:17" ht="12.5" x14ac:dyDescent="0.25">
      <c r="A415" s="63" t="str">
        <f t="shared" si="1"/>
        <v>024/2023/011.339.804-22</v>
      </c>
      <c r="B415" s="63" t="s">
        <v>3367</v>
      </c>
      <c r="C415" s="65">
        <v>45314.462543032409</v>
      </c>
      <c r="D415" s="63" t="s">
        <v>3368</v>
      </c>
      <c r="E415" s="63"/>
      <c r="F415" s="63" t="s">
        <v>3369</v>
      </c>
      <c r="G415" s="63" t="s">
        <v>3367</v>
      </c>
      <c r="H415" s="63" t="s">
        <v>1747</v>
      </c>
      <c r="I415" s="63" t="s">
        <v>2323</v>
      </c>
      <c r="J415" s="63">
        <v>2023</v>
      </c>
      <c r="K415" s="59" t="s">
        <v>17</v>
      </c>
      <c r="L415" s="59" t="s">
        <v>3370</v>
      </c>
      <c r="M415" s="58" t="s">
        <v>234</v>
      </c>
      <c r="N415" s="58" t="s">
        <v>1734</v>
      </c>
      <c r="O415" s="58" t="s">
        <v>3305</v>
      </c>
      <c r="P415" s="58" t="s">
        <v>17</v>
      </c>
    </row>
    <row r="416" spans="1:17" ht="12.5" x14ac:dyDescent="0.25">
      <c r="A416" s="63" t="str">
        <f t="shared" si="1"/>
        <v>031/2023/044.931.474-07</v>
      </c>
      <c r="B416" s="63" t="s">
        <v>3371</v>
      </c>
      <c r="C416" s="65">
        <v>45314.606119861113</v>
      </c>
      <c r="D416" s="63" t="s">
        <v>3372</v>
      </c>
      <c r="E416" s="63"/>
      <c r="F416" s="63" t="s">
        <v>3373</v>
      </c>
      <c r="G416" s="63" t="s">
        <v>3371</v>
      </c>
      <c r="H416" s="63" t="s">
        <v>1747</v>
      </c>
      <c r="I416" s="63" t="s">
        <v>3350</v>
      </c>
      <c r="J416" s="63">
        <v>2023</v>
      </c>
      <c r="K416" s="59" t="s">
        <v>16</v>
      </c>
      <c r="L416" s="59" t="s">
        <v>3374</v>
      </c>
      <c r="M416" s="58" t="s">
        <v>234</v>
      </c>
      <c r="N416" s="58" t="s">
        <v>1734</v>
      </c>
      <c r="O416" s="58" t="s">
        <v>3352</v>
      </c>
      <c r="P416" s="58" t="s">
        <v>17</v>
      </c>
    </row>
    <row r="417" spans="1:16" ht="12.5" x14ac:dyDescent="0.25">
      <c r="A417" s="63" t="str">
        <f t="shared" si="1"/>
        <v>022/2023/083.601.144-98</v>
      </c>
      <c r="B417" s="63" t="s">
        <v>3375</v>
      </c>
      <c r="C417" s="65">
        <v>45314.856596527781</v>
      </c>
      <c r="D417" s="63" t="s">
        <v>3376</v>
      </c>
      <c r="E417" s="63"/>
      <c r="F417" s="63" t="s">
        <v>3377</v>
      </c>
      <c r="G417" s="63" t="s">
        <v>3375</v>
      </c>
      <c r="H417" s="63" t="s">
        <v>1747</v>
      </c>
      <c r="I417" s="63" t="s">
        <v>2562</v>
      </c>
      <c r="J417" s="63">
        <v>2023</v>
      </c>
      <c r="K417" s="59" t="s">
        <v>16</v>
      </c>
      <c r="L417" s="59" t="s">
        <v>3378</v>
      </c>
      <c r="M417" s="58" t="s">
        <v>234</v>
      </c>
      <c r="N417" s="58" t="s">
        <v>1734</v>
      </c>
      <c r="O417" s="58" t="s">
        <v>3320</v>
      </c>
      <c r="P417" s="58" t="s">
        <v>16</v>
      </c>
    </row>
    <row r="418" spans="1:16" ht="12.5" x14ac:dyDescent="0.25">
      <c r="A418" s="63" t="str">
        <f t="shared" si="1"/>
        <v>022/2023/106.652.284-73</v>
      </c>
      <c r="B418" s="63" t="s">
        <v>3379</v>
      </c>
      <c r="C418" s="65">
        <v>45316.867089606487</v>
      </c>
      <c r="D418" s="63" t="s">
        <v>3380</v>
      </c>
      <c r="E418" s="63"/>
      <c r="F418" s="63" t="s">
        <v>3381</v>
      </c>
      <c r="G418" s="63" t="s">
        <v>3379</v>
      </c>
      <c r="H418" s="63" t="s">
        <v>1747</v>
      </c>
      <c r="I418" s="63" t="s">
        <v>2562</v>
      </c>
      <c r="J418" s="63">
        <v>2023</v>
      </c>
      <c r="K418" s="59" t="s">
        <v>16</v>
      </c>
      <c r="L418" s="59" t="s">
        <v>3382</v>
      </c>
      <c r="M418" s="58" t="s">
        <v>234</v>
      </c>
      <c r="N418" s="58" t="s">
        <v>1734</v>
      </c>
      <c r="O418" s="58" t="s">
        <v>3320</v>
      </c>
      <c r="P418" s="58" t="s">
        <v>16</v>
      </c>
    </row>
    <row r="419" spans="1:16" ht="12.5" x14ac:dyDescent="0.25">
      <c r="A419" s="63" t="str">
        <f t="shared" si="1"/>
        <v>022/2023/052.312.894-00</v>
      </c>
      <c r="B419" s="63" t="s">
        <v>3383</v>
      </c>
      <c r="C419" s="65">
        <v>45316.909469814811</v>
      </c>
      <c r="D419" s="63" t="s">
        <v>3384</v>
      </c>
      <c r="E419" s="63"/>
      <c r="F419" s="63" t="s">
        <v>3385</v>
      </c>
      <c r="G419" s="63" t="s">
        <v>3383</v>
      </c>
      <c r="H419" s="63" t="s">
        <v>1747</v>
      </c>
      <c r="I419" s="63" t="s">
        <v>2562</v>
      </c>
      <c r="J419" s="63">
        <v>2023</v>
      </c>
      <c r="K419" s="59" t="s">
        <v>16</v>
      </c>
      <c r="L419" s="59" t="s">
        <v>3386</v>
      </c>
      <c r="M419" s="58" t="s">
        <v>234</v>
      </c>
      <c r="N419" s="58" t="s">
        <v>1734</v>
      </c>
      <c r="O419" s="58" t="s">
        <v>3320</v>
      </c>
      <c r="P419" s="58" t="s">
        <v>16</v>
      </c>
    </row>
    <row r="420" spans="1:16" ht="12.5" x14ac:dyDescent="0.25">
      <c r="A420" s="63" t="str">
        <f t="shared" si="1"/>
        <v>015/2023/060.681.394-25</v>
      </c>
      <c r="B420" s="63" t="s">
        <v>3383</v>
      </c>
      <c r="C420" s="65">
        <v>45317.599158287034</v>
      </c>
      <c r="D420" s="63" t="s">
        <v>3387</v>
      </c>
      <c r="E420" s="63"/>
      <c r="F420" s="63" t="s">
        <v>3388</v>
      </c>
      <c r="G420" s="63" t="s">
        <v>3389</v>
      </c>
      <c r="H420" s="63" t="s">
        <v>1747</v>
      </c>
      <c r="I420" s="63" t="s">
        <v>2509</v>
      </c>
      <c r="J420" s="63">
        <v>2023</v>
      </c>
      <c r="K420" s="59" t="s">
        <v>16</v>
      </c>
      <c r="L420" s="59" t="s">
        <v>3390</v>
      </c>
      <c r="M420" s="58" t="s">
        <v>234</v>
      </c>
      <c r="N420" s="58" t="s">
        <v>1734</v>
      </c>
      <c r="O420" s="58" t="s">
        <v>3190</v>
      </c>
      <c r="P420" s="58" t="s">
        <v>16</v>
      </c>
    </row>
    <row r="421" spans="1:16" ht="12.5" x14ac:dyDescent="0.25">
      <c r="A421" s="63" t="str">
        <f t="shared" si="1"/>
        <v>022/2023/700.406.384-48</v>
      </c>
      <c r="B421" s="63" t="s">
        <v>3391</v>
      </c>
      <c r="C421" s="65">
        <v>45317.81097288194</v>
      </c>
      <c r="D421" s="63" t="s">
        <v>3392</v>
      </c>
      <c r="E421" s="63"/>
      <c r="F421" s="63" t="s">
        <v>3393</v>
      </c>
      <c r="G421" s="63" t="s">
        <v>3391</v>
      </c>
      <c r="H421" s="63" t="s">
        <v>1747</v>
      </c>
      <c r="I421" s="63" t="s">
        <v>2562</v>
      </c>
      <c r="J421" s="63">
        <v>2023</v>
      </c>
      <c r="K421" s="59" t="s">
        <v>16</v>
      </c>
      <c r="L421" s="59" t="s">
        <v>3394</v>
      </c>
      <c r="M421" s="58" t="s">
        <v>234</v>
      </c>
      <c r="N421" s="58" t="s">
        <v>1734</v>
      </c>
      <c r="O421" s="58" t="s">
        <v>3320</v>
      </c>
      <c r="P421" s="58" t="s">
        <v>16</v>
      </c>
    </row>
    <row r="422" spans="1:16" ht="12.5" x14ac:dyDescent="0.25">
      <c r="A422" s="63" t="str">
        <f t="shared" si="1"/>
        <v>031/2023/100.929.284-63</v>
      </c>
      <c r="B422" s="63" t="s">
        <v>3395</v>
      </c>
      <c r="C422" s="65">
        <v>45321.453148194443</v>
      </c>
      <c r="D422" s="63" t="s">
        <v>3396</v>
      </c>
      <c r="E422" s="63"/>
      <c r="F422" s="63" t="s">
        <v>3397</v>
      </c>
      <c r="G422" s="63" t="s">
        <v>3395</v>
      </c>
      <c r="H422" s="63" t="s">
        <v>1747</v>
      </c>
      <c r="I422" s="63" t="s">
        <v>3350</v>
      </c>
      <c r="J422" s="63">
        <v>2023</v>
      </c>
      <c r="K422" s="59" t="s">
        <v>16</v>
      </c>
      <c r="L422" s="59" t="s">
        <v>3398</v>
      </c>
      <c r="M422" s="58" t="s">
        <v>234</v>
      </c>
      <c r="N422" s="58" t="s">
        <v>1734</v>
      </c>
      <c r="O422" s="58" t="s">
        <v>3352</v>
      </c>
      <c r="P422" s="58" t="s">
        <v>16</v>
      </c>
    </row>
    <row r="423" spans="1:16" ht="12.5" x14ac:dyDescent="0.25">
      <c r="A423" s="63" t="str">
        <f t="shared" si="1"/>
        <v>022/2023/049.653.344-42</v>
      </c>
      <c r="B423" s="63" t="s">
        <v>3399</v>
      </c>
      <c r="C423" s="65">
        <v>45322.415868622687</v>
      </c>
      <c r="D423" s="63" t="s">
        <v>3400</v>
      </c>
      <c r="E423" s="63"/>
      <c r="F423" s="63" t="s">
        <v>3401</v>
      </c>
      <c r="G423" s="63" t="s">
        <v>3399</v>
      </c>
      <c r="H423" s="63" t="s">
        <v>1747</v>
      </c>
      <c r="I423" s="63" t="s">
        <v>2562</v>
      </c>
      <c r="J423" s="63">
        <v>2023</v>
      </c>
      <c r="K423" s="59" t="s">
        <v>16</v>
      </c>
      <c r="L423" s="59" t="s">
        <v>3402</v>
      </c>
      <c r="M423" s="58" t="s">
        <v>234</v>
      </c>
      <c r="N423" s="58" t="s">
        <v>1734</v>
      </c>
      <c r="O423" s="58" t="s">
        <v>3320</v>
      </c>
      <c r="P423" s="58" t="s">
        <v>16</v>
      </c>
    </row>
    <row r="424" spans="1:16" ht="12.5" x14ac:dyDescent="0.25">
      <c r="A424" s="63" t="str">
        <f t="shared" si="1"/>
        <v>031/2023/071.997.444-55</v>
      </c>
      <c r="B424" s="63" t="s">
        <v>3403</v>
      </c>
      <c r="C424" s="65">
        <v>45322.684914166668</v>
      </c>
      <c r="D424" s="63" t="s">
        <v>3404</v>
      </c>
      <c r="E424" s="63"/>
      <c r="F424" s="63" t="s">
        <v>3405</v>
      </c>
      <c r="G424" s="63" t="s">
        <v>3403</v>
      </c>
      <c r="H424" s="63" t="s">
        <v>1747</v>
      </c>
      <c r="I424" s="63" t="s">
        <v>3350</v>
      </c>
      <c r="J424" s="63">
        <v>2023</v>
      </c>
      <c r="K424" s="59" t="s">
        <v>16</v>
      </c>
      <c r="L424" s="59" t="s">
        <v>3406</v>
      </c>
      <c r="M424" s="58" t="s">
        <v>234</v>
      </c>
      <c r="N424" s="58" t="s">
        <v>1734</v>
      </c>
      <c r="O424" s="58" t="s">
        <v>3352</v>
      </c>
      <c r="P424" s="58" t="s">
        <v>16</v>
      </c>
    </row>
    <row r="425" spans="1:16" ht="12.5" x14ac:dyDescent="0.25">
      <c r="A425" s="63" t="str">
        <f t="shared" si="1"/>
        <v>028/2023/050.353.134-09</v>
      </c>
      <c r="B425" s="63" t="s">
        <v>3407</v>
      </c>
      <c r="C425" s="65">
        <v>45327.411599861109</v>
      </c>
      <c r="D425" s="63" t="s">
        <v>3408</v>
      </c>
      <c r="E425" s="63"/>
      <c r="F425" s="63" t="s">
        <v>3409</v>
      </c>
      <c r="G425" s="63" t="s">
        <v>3407</v>
      </c>
      <c r="H425" s="63" t="s">
        <v>1747</v>
      </c>
      <c r="I425" s="63" t="s">
        <v>3410</v>
      </c>
      <c r="J425" s="63">
        <v>2023</v>
      </c>
      <c r="K425" s="59" t="s">
        <v>16</v>
      </c>
      <c r="L425" s="59" t="s">
        <v>3411</v>
      </c>
      <c r="M425" s="58" t="s">
        <v>234</v>
      </c>
      <c r="N425" s="58" t="s">
        <v>1734</v>
      </c>
      <c r="O425" s="58" t="s">
        <v>3412</v>
      </c>
      <c r="P425" s="58" t="s">
        <v>16</v>
      </c>
    </row>
    <row r="426" spans="1:16" ht="12.5" x14ac:dyDescent="0.25">
      <c r="A426" s="63" t="str">
        <f t="shared" si="1"/>
        <v>054/2022/099.994.704-40</v>
      </c>
      <c r="B426" s="63" t="s">
        <v>3413</v>
      </c>
      <c r="C426" s="65">
        <v>45327.59452510417</v>
      </c>
      <c r="D426" s="63" t="s">
        <v>3414</v>
      </c>
      <c r="E426" s="63"/>
      <c r="F426" s="63" t="s">
        <v>3415</v>
      </c>
      <c r="G426" s="63" t="s">
        <v>3413</v>
      </c>
      <c r="H426" s="63" t="s">
        <v>1747</v>
      </c>
      <c r="I426" s="63" t="s">
        <v>3023</v>
      </c>
      <c r="J426" s="63">
        <v>2022</v>
      </c>
      <c r="K426" s="59" t="s">
        <v>16</v>
      </c>
      <c r="L426" s="59" t="s">
        <v>3416</v>
      </c>
      <c r="M426" s="58" t="s">
        <v>234</v>
      </c>
      <c r="N426" s="58" t="s">
        <v>1734</v>
      </c>
      <c r="O426" s="58" t="s">
        <v>3025</v>
      </c>
      <c r="P426" s="58" t="s">
        <v>16</v>
      </c>
    </row>
    <row r="427" spans="1:16" ht="12.5" x14ac:dyDescent="0.25">
      <c r="A427" s="63" t="str">
        <f t="shared" si="1"/>
        <v>054/2023/106.117.734-30</v>
      </c>
      <c r="B427" s="63" t="s">
        <v>3417</v>
      </c>
      <c r="C427" s="65">
        <v>45328.713819675926</v>
      </c>
      <c r="D427" s="63" t="s">
        <v>3418</v>
      </c>
      <c r="E427" s="63"/>
      <c r="F427" s="63" t="s">
        <v>3419</v>
      </c>
      <c r="G427" s="63" t="s">
        <v>3417</v>
      </c>
      <c r="H427" s="63" t="s">
        <v>1747</v>
      </c>
      <c r="I427" s="63" t="s">
        <v>3023</v>
      </c>
      <c r="J427" s="63">
        <v>2023</v>
      </c>
      <c r="K427" s="59" t="s">
        <v>16</v>
      </c>
      <c r="L427" s="59" t="s">
        <v>3420</v>
      </c>
      <c r="M427" s="58" t="s">
        <v>2776</v>
      </c>
      <c r="N427" s="58" t="s">
        <v>1734</v>
      </c>
      <c r="O427" s="58" t="s">
        <v>3025</v>
      </c>
      <c r="P427" s="58" t="s">
        <v>16</v>
      </c>
    </row>
    <row r="428" spans="1:16" ht="12.5" x14ac:dyDescent="0.25">
      <c r="A428" s="63" t="str">
        <f t="shared" si="1"/>
        <v>015/2023/109.490.424-47</v>
      </c>
      <c r="B428" s="63" t="s">
        <v>3421</v>
      </c>
      <c r="C428" s="65">
        <v>45328.847677361111</v>
      </c>
      <c r="D428" s="63" t="s">
        <v>3422</v>
      </c>
      <c r="E428" s="63"/>
      <c r="F428" s="63" t="s">
        <v>3423</v>
      </c>
      <c r="G428" s="63" t="s">
        <v>3421</v>
      </c>
      <c r="H428" s="63" t="s">
        <v>1747</v>
      </c>
      <c r="I428" s="63" t="s">
        <v>2509</v>
      </c>
      <c r="J428" s="63">
        <v>2023</v>
      </c>
      <c r="K428" s="59" t="s">
        <v>16</v>
      </c>
      <c r="L428" s="59" t="s">
        <v>3424</v>
      </c>
      <c r="M428" s="58" t="s">
        <v>234</v>
      </c>
      <c r="N428" s="58" t="s">
        <v>1734</v>
      </c>
      <c r="O428" s="58" t="s">
        <v>3190</v>
      </c>
      <c r="P428" s="58" t="s">
        <v>16</v>
      </c>
    </row>
    <row r="429" spans="1:16" ht="12.5" x14ac:dyDescent="0.25">
      <c r="A429" s="63" t="str">
        <f t="shared" si="1"/>
        <v>028/2023/026.955.102-68</v>
      </c>
      <c r="B429" s="63" t="s">
        <v>3425</v>
      </c>
      <c r="C429" s="65">
        <v>45329.655621863421</v>
      </c>
      <c r="D429" s="63" t="s">
        <v>3426</v>
      </c>
      <c r="E429" s="63"/>
      <c r="F429" s="63" t="s">
        <v>3427</v>
      </c>
      <c r="G429" s="63" t="s">
        <v>3425</v>
      </c>
      <c r="H429" s="63" t="s">
        <v>1747</v>
      </c>
      <c r="I429" s="63" t="s">
        <v>3410</v>
      </c>
      <c r="J429" s="63">
        <v>2023</v>
      </c>
      <c r="K429" s="59" t="s">
        <v>16</v>
      </c>
      <c r="L429" s="59" t="s">
        <v>3428</v>
      </c>
      <c r="M429" s="58" t="s">
        <v>234</v>
      </c>
      <c r="N429" s="58" t="s">
        <v>1734</v>
      </c>
      <c r="O429" s="58" t="s">
        <v>3412</v>
      </c>
      <c r="P429" s="58" t="s">
        <v>16</v>
      </c>
    </row>
    <row r="430" spans="1:16" ht="12.5" x14ac:dyDescent="0.25">
      <c r="A430" s="63" t="str">
        <f t="shared" si="1"/>
        <v>054/2022/106.117.734-30</v>
      </c>
      <c r="B430" s="63" t="s">
        <v>3417</v>
      </c>
      <c r="C430" s="65">
        <v>45330.537774594908</v>
      </c>
      <c r="D430" s="63" t="s">
        <v>3418</v>
      </c>
      <c r="E430" s="63"/>
      <c r="F430" s="63" t="s">
        <v>3429</v>
      </c>
      <c r="G430" s="63" t="s">
        <v>3417</v>
      </c>
      <c r="H430" s="63" t="s">
        <v>1747</v>
      </c>
      <c r="I430" s="63" t="s">
        <v>3023</v>
      </c>
      <c r="J430" s="63">
        <v>2022</v>
      </c>
      <c r="K430" s="59" t="s">
        <v>16</v>
      </c>
      <c r="L430" s="59" t="s">
        <v>3430</v>
      </c>
      <c r="M430" s="58" t="s">
        <v>234</v>
      </c>
      <c r="N430" s="58" t="s">
        <v>1734</v>
      </c>
      <c r="O430" s="58" t="s">
        <v>3025</v>
      </c>
      <c r="P430" s="58" t="s">
        <v>16</v>
      </c>
    </row>
    <row r="431" spans="1:16" ht="12.5" x14ac:dyDescent="0.25">
      <c r="A431" s="63" t="str">
        <f t="shared" si="1"/>
        <v>055/2022/061.495.394-40</v>
      </c>
      <c r="B431" s="63" t="s">
        <v>3431</v>
      </c>
      <c r="C431" s="65">
        <v>45331.47911748843</v>
      </c>
      <c r="D431" s="63" t="s">
        <v>3432</v>
      </c>
      <c r="E431" s="63"/>
      <c r="F431" s="63" t="s">
        <v>3433</v>
      </c>
      <c r="G431" s="63" t="s">
        <v>3431</v>
      </c>
      <c r="H431" s="63" t="s">
        <v>1747</v>
      </c>
      <c r="I431" s="63" t="s">
        <v>3011</v>
      </c>
      <c r="J431" s="63">
        <v>2022</v>
      </c>
      <c r="K431" s="59" t="s">
        <v>17</v>
      </c>
      <c r="L431" s="59" t="s">
        <v>3434</v>
      </c>
      <c r="M431" s="58" t="s">
        <v>234</v>
      </c>
      <c r="N431" s="58" t="s">
        <v>1734</v>
      </c>
      <c r="O431" s="58" t="s">
        <v>3013</v>
      </c>
      <c r="P431" s="58" t="s">
        <v>17</v>
      </c>
    </row>
    <row r="432" spans="1:16" ht="12.5" x14ac:dyDescent="0.25">
      <c r="A432" s="63" t="str">
        <f t="shared" si="1"/>
        <v>029/2023/022.375.014-08</v>
      </c>
      <c r="B432" s="63" t="s">
        <v>3435</v>
      </c>
      <c r="C432" s="65">
        <v>45331.725467986107</v>
      </c>
      <c r="D432" s="63" t="s">
        <v>3436</v>
      </c>
      <c r="E432" s="63" t="s">
        <v>3437</v>
      </c>
      <c r="F432" s="63" t="s">
        <v>3437</v>
      </c>
      <c r="G432" s="63" t="s">
        <v>3438</v>
      </c>
      <c r="H432" s="63" t="s">
        <v>1740</v>
      </c>
      <c r="I432" s="63" t="s">
        <v>3439</v>
      </c>
      <c r="J432" s="63">
        <v>2023</v>
      </c>
      <c r="K432" s="59" t="s">
        <v>17</v>
      </c>
      <c r="L432" s="59" t="s">
        <v>3440</v>
      </c>
      <c r="M432" s="58" t="s">
        <v>234</v>
      </c>
      <c r="N432" s="58" t="s">
        <v>1734</v>
      </c>
      <c r="O432" s="58" t="s">
        <v>3441</v>
      </c>
      <c r="P432" s="58" t="s">
        <v>17</v>
      </c>
    </row>
    <row r="433" spans="1:17" ht="12.5" x14ac:dyDescent="0.25">
      <c r="A433" s="63" t="str">
        <f t="shared" si="1"/>
        <v>031/2023/101.705.904-70</v>
      </c>
      <c r="B433" s="63" t="s">
        <v>3442</v>
      </c>
      <c r="C433" s="65">
        <v>45337.489353275465</v>
      </c>
      <c r="D433" s="63" t="s">
        <v>3443</v>
      </c>
      <c r="E433" s="63"/>
      <c r="F433" s="63" t="s">
        <v>3444</v>
      </c>
      <c r="G433" s="63" t="s">
        <v>3442</v>
      </c>
      <c r="H433" s="63" t="s">
        <v>1747</v>
      </c>
      <c r="I433" s="63" t="s">
        <v>3350</v>
      </c>
      <c r="J433" s="63">
        <v>2023</v>
      </c>
      <c r="K433" s="59" t="s">
        <v>16</v>
      </c>
      <c r="L433" s="59" t="s">
        <v>3445</v>
      </c>
      <c r="M433" s="58" t="s">
        <v>234</v>
      </c>
      <c r="N433" s="58" t="s">
        <v>1734</v>
      </c>
      <c r="O433" s="58" t="s">
        <v>3446</v>
      </c>
      <c r="P433" s="58" t="s">
        <v>16</v>
      </c>
    </row>
    <row r="434" spans="1:17" ht="12.5" x14ac:dyDescent="0.25">
      <c r="A434" s="63" t="str">
        <f t="shared" si="1"/>
        <v>022/2023/097.390.974-99</v>
      </c>
      <c r="B434" s="63" t="s">
        <v>2413</v>
      </c>
      <c r="C434" s="65">
        <v>45341.410382858798</v>
      </c>
      <c r="D434" s="63" t="s">
        <v>3447</v>
      </c>
      <c r="E434" s="63"/>
      <c r="F434" s="63" t="s">
        <v>3448</v>
      </c>
      <c r="G434" s="63" t="s">
        <v>2413</v>
      </c>
      <c r="H434" s="63" t="s">
        <v>1747</v>
      </c>
      <c r="I434" s="63" t="s">
        <v>2562</v>
      </c>
      <c r="J434" s="63">
        <v>2023</v>
      </c>
      <c r="K434" s="59" t="s">
        <v>16</v>
      </c>
      <c r="L434" s="59" t="s">
        <v>3449</v>
      </c>
      <c r="M434" s="58" t="s">
        <v>234</v>
      </c>
      <c r="N434" s="58" t="s">
        <v>1734</v>
      </c>
      <c r="O434" s="58" t="s">
        <v>3320</v>
      </c>
      <c r="P434" s="58" t="s">
        <v>16</v>
      </c>
    </row>
    <row r="435" spans="1:17" ht="12.5" x14ac:dyDescent="0.25">
      <c r="A435" s="63" t="str">
        <f t="shared" si="1"/>
        <v>028/2023/039.367.104-65</v>
      </c>
      <c r="B435" s="63" t="s">
        <v>3450</v>
      </c>
      <c r="C435" s="65">
        <v>45341.903228067131</v>
      </c>
      <c r="D435" s="63" t="s">
        <v>3451</v>
      </c>
      <c r="E435" s="63"/>
      <c r="F435" s="63" t="s">
        <v>3452</v>
      </c>
      <c r="G435" s="63" t="s">
        <v>3450</v>
      </c>
      <c r="H435" s="63" t="s">
        <v>1747</v>
      </c>
      <c r="I435" s="63" t="s">
        <v>3410</v>
      </c>
      <c r="J435" s="63">
        <v>2023</v>
      </c>
      <c r="K435" s="59" t="s">
        <v>16</v>
      </c>
      <c r="L435" s="59" t="s">
        <v>3453</v>
      </c>
      <c r="M435" s="58" t="s">
        <v>234</v>
      </c>
      <c r="N435" s="58" t="s">
        <v>1734</v>
      </c>
      <c r="O435" s="58" t="s">
        <v>3412</v>
      </c>
      <c r="P435" s="58" t="s">
        <v>16</v>
      </c>
    </row>
    <row r="436" spans="1:17" ht="12.5" x14ac:dyDescent="0.25">
      <c r="A436" s="63" t="str">
        <f t="shared" si="1"/>
        <v>054/2022/091.375.374-23</v>
      </c>
      <c r="B436" s="63" t="s">
        <v>3248</v>
      </c>
      <c r="C436" s="65">
        <v>45343.63419971065</v>
      </c>
      <c r="D436" s="63" t="s">
        <v>3454</v>
      </c>
      <c r="E436" s="63"/>
      <c r="F436" s="63" t="s">
        <v>3250</v>
      </c>
      <c r="G436" s="63" t="s">
        <v>3248</v>
      </c>
      <c r="H436" s="63" t="s">
        <v>1747</v>
      </c>
      <c r="I436" s="63" t="s">
        <v>3023</v>
      </c>
      <c r="J436" s="63">
        <v>2022</v>
      </c>
      <c r="K436" s="59" t="s">
        <v>16</v>
      </c>
      <c r="L436" s="59" t="s">
        <v>3455</v>
      </c>
      <c r="M436" s="58" t="s">
        <v>234</v>
      </c>
      <c r="N436" s="58" t="s">
        <v>1734</v>
      </c>
      <c r="O436" s="58" t="s">
        <v>3025</v>
      </c>
      <c r="P436" s="58" t="s">
        <v>16</v>
      </c>
    </row>
    <row r="437" spans="1:17" ht="12.5" x14ac:dyDescent="0.25">
      <c r="A437" s="63" t="str">
        <f t="shared" si="1"/>
        <v>022/2023/078.221.344-85</v>
      </c>
      <c r="B437" s="63" t="s">
        <v>3456</v>
      </c>
      <c r="C437" s="65">
        <v>45348.404257604168</v>
      </c>
      <c r="D437" s="63" t="s">
        <v>3457</v>
      </c>
      <c r="E437" s="63"/>
      <c r="F437" s="63" t="s">
        <v>3458</v>
      </c>
      <c r="G437" s="63" t="s">
        <v>3456</v>
      </c>
      <c r="H437" s="63" t="s">
        <v>1747</v>
      </c>
      <c r="I437" s="63" t="s">
        <v>2562</v>
      </c>
      <c r="J437" s="63">
        <v>2023</v>
      </c>
      <c r="K437" s="59" t="s">
        <v>16</v>
      </c>
      <c r="L437" s="59" t="s">
        <v>3459</v>
      </c>
      <c r="M437" s="58" t="s">
        <v>234</v>
      </c>
      <c r="N437" s="58" t="s">
        <v>1734</v>
      </c>
      <c r="O437" s="58" t="s">
        <v>3320</v>
      </c>
      <c r="P437" s="58" t="s">
        <v>16</v>
      </c>
    </row>
    <row r="438" spans="1:17" ht="12.5" x14ac:dyDescent="0.25">
      <c r="A438" s="63" t="str">
        <f t="shared" si="1"/>
        <v>022/2023/048.072.364-82</v>
      </c>
      <c r="B438" s="63" t="s">
        <v>3460</v>
      </c>
      <c r="C438" s="65">
        <v>45348.668667569444</v>
      </c>
      <c r="D438" s="63" t="s">
        <v>3461</v>
      </c>
      <c r="E438" s="63"/>
      <c r="F438" s="63" t="s">
        <v>3462</v>
      </c>
      <c r="G438" s="63" t="s">
        <v>3460</v>
      </c>
      <c r="H438" s="63" t="s">
        <v>1747</v>
      </c>
      <c r="I438" s="63" t="s">
        <v>2562</v>
      </c>
      <c r="J438" s="63">
        <v>2023</v>
      </c>
      <c r="K438" s="59" t="s">
        <v>16</v>
      </c>
      <c r="L438" s="59" t="s">
        <v>3463</v>
      </c>
      <c r="M438" s="58" t="s">
        <v>234</v>
      </c>
      <c r="N438" s="58" t="s">
        <v>1734</v>
      </c>
      <c r="O438" s="58" t="s">
        <v>3320</v>
      </c>
      <c r="P438" s="58" t="s">
        <v>16</v>
      </c>
    </row>
    <row r="439" spans="1:17" ht="12.5" x14ac:dyDescent="0.25">
      <c r="A439" s="63" t="str">
        <f t="shared" si="1"/>
        <v>028/2023/709.107.214-67</v>
      </c>
      <c r="B439" s="63" t="s">
        <v>3464</v>
      </c>
      <c r="C439" s="65">
        <v>45349.477239166663</v>
      </c>
      <c r="D439" s="63" t="s">
        <v>3465</v>
      </c>
      <c r="E439" s="63"/>
      <c r="F439" s="63" t="s">
        <v>3466</v>
      </c>
      <c r="G439" s="63" t="s">
        <v>3464</v>
      </c>
      <c r="H439" s="63" t="s">
        <v>1747</v>
      </c>
      <c r="I439" s="63" t="s">
        <v>3410</v>
      </c>
      <c r="J439" s="63">
        <v>2023</v>
      </c>
      <c r="K439" s="59" t="s">
        <v>16</v>
      </c>
      <c r="L439" s="59" t="s">
        <v>3467</v>
      </c>
      <c r="M439" s="58" t="s">
        <v>234</v>
      </c>
      <c r="N439" s="58" t="s">
        <v>1734</v>
      </c>
      <c r="O439" s="58" t="s">
        <v>3412</v>
      </c>
      <c r="P439" s="58" t="s">
        <v>16</v>
      </c>
    </row>
    <row r="440" spans="1:17" ht="12.5" x14ac:dyDescent="0.25">
      <c r="A440" s="63" t="str">
        <f t="shared" si="1"/>
        <v>028/2023/052.064.024-19</v>
      </c>
      <c r="B440" s="63" t="s">
        <v>1933</v>
      </c>
      <c r="C440" s="65">
        <v>45349.655277928236</v>
      </c>
      <c r="D440" s="63" t="s">
        <v>3468</v>
      </c>
      <c r="E440" s="63"/>
      <c r="F440" s="63" t="s">
        <v>1935</v>
      </c>
      <c r="G440" s="63" t="s">
        <v>1933</v>
      </c>
      <c r="H440" s="63" t="s">
        <v>1747</v>
      </c>
      <c r="I440" s="63" t="s">
        <v>3410</v>
      </c>
      <c r="J440" s="63">
        <v>2023</v>
      </c>
      <c r="K440" s="59" t="s">
        <v>16</v>
      </c>
      <c r="L440" s="59" t="s">
        <v>3469</v>
      </c>
      <c r="M440" s="58" t="s">
        <v>234</v>
      </c>
      <c r="N440" s="58" t="s">
        <v>1734</v>
      </c>
      <c r="O440" s="58" t="s">
        <v>3412</v>
      </c>
      <c r="P440" s="58" t="s">
        <v>16</v>
      </c>
    </row>
    <row r="441" spans="1:17" ht="12.5" x14ac:dyDescent="0.25">
      <c r="A441" s="63" t="str">
        <f t="shared" si="1"/>
        <v>016/2023/047.100.629-78</v>
      </c>
      <c r="B441" s="63" t="s">
        <v>3277</v>
      </c>
      <c r="C441" s="65">
        <v>45350.310330949069</v>
      </c>
      <c r="D441" s="63" t="s">
        <v>3278</v>
      </c>
      <c r="E441" s="63"/>
      <c r="F441" s="63" t="s">
        <v>3470</v>
      </c>
      <c r="G441" s="63" t="s">
        <v>3277</v>
      </c>
      <c r="H441" s="63" t="s">
        <v>1747</v>
      </c>
      <c r="I441" s="63" t="s">
        <v>3471</v>
      </c>
      <c r="J441" s="63">
        <v>2023</v>
      </c>
      <c r="K441" s="59" t="s">
        <v>17</v>
      </c>
      <c r="L441" s="59" t="s">
        <v>3472</v>
      </c>
      <c r="M441" s="58" t="s">
        <v>234</v>
      </c>
      <c r="N441" s="58" t="s">
        <v>1734</v>
      </c>
      <c r="O441" s="58" t="s">
        <v>3473</v>
      </c>
      <c r="P441" s="58" t="s">
        <v>17</v>
      </c>
    </row>
    <row r="442" spans="1:17" ht="12.5" x14ac:dyDescent="0.25">
      <c r="A442" s="63" t="str">
        <f t="shared" si="1"/>
        <v>054/2022/032.023.704-48</v>
      </c>
      <c r="B442" s="63" t="s">
        <v>3474</v>
      </c>
      <c r="C442" s="65">
        <v>45350.752088055553</v>
      </c>
      <c r="D442" s="63" t="s">
        <v>3475</v>
      </c>
      <c r="E442" s="63"/>
      <c r="F442" s="63" t="s">
        <v>3476</v>
      </c>
      <c r="G442" s="63" t="s">
        <v>3474</v>
      </c>
      <c r="H442" s="63" t="s">
        <v>1747</v>
      </c>
      <c r="I442" s="63" t="s">
        <v>3023</v>
      </c>
      <c r="J442" s="63">
        <v>2022</v>
      </c>
      <c r="K442" s="59" t="s">
        <v>16</v>
      </c>
      <c r="L442" s="59" t="s">
        <v>3477</v>
      </c>
      <c r="M442" s="58" t="s">
        <v>234</v>
      </c>
      <c r="N442" s="58" t="s">
        <v>1734</v>
      </c>
      <c r="O442" s="58" t="s">
        <v>3025</v>
      </c>
      <c r="P442" s="58" t="s">
        <v>16</v>
      </c>
    </row>
    <row r="443" spans="1:17" ht="12.5" x14ac:dyDescent="0.25">
      <c r="A443" s="63" t="str">
        <f t="shared" si="1"/>
        <v>028/2023/101.155.554-98</v>
      </c>
      <c r="B443" s="63" t="s">
        <v>3478</v>
      </c>
      <c r="C443" s="65">
        <v>45351.521559976856</v>
      </c>
      <c r="D443" s="63" t="s">
        <v>3479</v>
      </c>
      <c r="E443" s="63"/>
      <c r="F443" s="63" t="s">
        <v>3480</v>
      </c>
      <c r="G443" s="63" t="s">
        <v>3478</v>
      </c>
      <c r="H443" s="63" t="s">
        <v>1747</v>
      </c>
      <c r="I443" s="63" t="s">
        <v>3410</v>
      </c>
      <c r="J443" s="63">
        <v>2023</v>
      </c>
      <c r="K443" s="59" t="s">
        <v>16</v>
      </c>
      <c r="L443" s="59" t="s">
        <v>3481</v>
      </c>
      <c r="M443" s="58" t="s">
        <v>234</v>
      </c>
      <c r="N443" s="58" t="s">
        <v>1734</v>
      </c>
      <c r="O443" s="58" t="s">
        <v>3412</v>
      </c>
      <c r="P443" s="58" t="s">
        <v>16</v>
      </c>
    </row>
    <row r="444" spans="1:17" ht="12.5" x14ac:dyDescent="0.25">
      <c r="A444" s="63" t="str">
        <f t="shared" si="1"/>
        <v>022/2023/952.014.324-68</v>
      </c>
      <c r="B444" s="63" t="s">
        <v>3482</v>
      </c>
      <c r="C444" s="65">
        <v>45351.630881620367</v>
      </c>
      <c r="D444" s="63" t="s">
        <v>3483</v>
      </c>
      <c r="E444" s="63"/>
      <c r="F444" s="63" t="s">
        <v>3484</v>
      </c>
      <c r="G444" s="63" t="s">
        <v>3482</v>
      </c>
      <c r="H444" s="63" t="s">
        <v>1747</v>
      </c>
      <c r="I444" s="63" t="s">
        <v>2562</v>
      </c>
      <c r="J444" s="63">
        <v>2023</v>
      </c>
      <c r="K444" s="59" t="s">
        <v>16</v>
      </c>
      <c r="L444" s="59" t="s">
        <v>3485</v>
      </c>
      <c r="M444" s="58" t="s">
        <v>234</v>
      </c>
      <c r="N444" s="58" t="s">
        <v>1734</v>
      </c>
      <c r="O444" s="58" t="s">
        <v>3320</v>
      </c>
      <c r="P444" s="58" t="s">
        <v>16</v>
      </c>
    </row>
    <row r="445" spans="1:17" ht="12.5" x14ac:dyDescent="0.25">
      <c r="A445" s="63" t="str">
        <f t="shared" si="1"/>
        <v>054/2022/964.906.914-34</v>
      </c>
      <c r="B445" s="63" t="s">
        <v>3486</v>
      </c>
      <c r="C445" s="65">
        <v>45352.374166701389</v>
      </c>
      <c r="D445" s="63" t="s">
        <v>3487</v>
      </c>
      <c r="E445" s="63"/>
      <c r="F445" s="63" t="s">
        <v>3488</v>
      </c>
      <c r="G445" s="63" t="s">
        <v>3486</v>
      </c>
      <c r="H445" s="63" t="s">
        <v>1747</v>
      </c>
      <c r="I445" s="63" t="s">
        <v>3023</v>
      </c>
      <c r="J445" s="63">
        <v>2022</v>
      </c>
      <c r="K445" s="59" t="s">
        <v>16</v>
      </c>
      <c r="L445" s="59" t="s">
        <v>3489</v>
      </c>
      <c r="M445" s="58" t="s">
        <v>234</v>
      </c>
      <c r="N445" s="58" t="s">
        <v>1734</v>
      </c>
      <c r="O445" s="58" t="s">
        <v>3025</v>
      </c>
      <c r="P445" s="58" t="s">
        <v>16</v>
      </c>
      <c r="Q445" s="58" t="s">
        <v>3490</v>
      </c>
    </row>
    <row r="446" spans="1:17" ht="12.5" x14ac:dyDescent="0.25">
      <c r="A446" s="63" t="str">
        <f t="shared" si="1"/>
        <v>022/2023/044.793.143-18</v>
      </c>
      <c r="B446" s="63" t="s">
        <v>3491</v>
      </c>
      <c r="C446" s="65">
        <v>45352.640250138887</v>
      </c>
      <c r="D446" s="63" t="s">
        <v>3492</v>
      </c>
      <c r="E446" s="63"/>
      <c r="F446" s="63" t="s">
        <v>3493</v>
      </c>
      <c r="G446" s="63" t="s">
        <v>3491</v>
      </c>
      <c r="H446" s="63" t="s">
        <v>1747</v>
      </c>
      <c r="I446" s="63" t="s">
        <v>2562</v>
      </c>
      <c r="J446" s="63">
        <v>2023</v>
      </c>
      <c r="K446" s="59" t="s">
        <v>16</v>
      </c>
      <c r="L446" s="59" t="s">
        <v>3494</v>
      </c>
      <c r="M446" s="58" t="s">
        <v>234</v>
      </c>
      <c r="N446" s="58" t="s">
        <v>1734</v>
      </c>
      <c r="O446" s="58" t="s">
        <v>3320</v>
      </c>
      <c r="P446" s="58" t="s">
        <v>16</v>
      </c>
      <c r="Q446" s="58" t="s">
        <v>3495</v>
      </c>
    </row>
    <row r="447" spans="1:17" ht="12.5" x14ac:dyDescent="0.25">
      <c r="A447" s="63" t="str">
        <f t="shared" si="1"/>
        <v>022/2023/059.401.604-50</v>
      </c>
      <c r="B447" s="63" t="s">
        <v>3496</v>
      </c>
      <c r="C447" s="65">
        <v>45356.367880069447</v>
      </c>
      <c r="D447" s="63" t="s">
        <v>2411</v>
      </c>
      <c r="E447" s="63" t="s">
        <v>1897</v>
      </c>
      <c r="F447" s="63" t="s">
        <v>3497</v>
      </c>
      <c r="G447" s="63" t="s">
        <v>3496</v>
      </c>
      <c r="H447" s="63" t="s">
        <v>1740</v>
      </c>
      <c r="I447" s="63" t="s">
        <v>2562</v>
      </c>
      <c r="J447" s="63">
        <v>2023</v>
      </c>
      <c r="K447" s="59" t="s">
        <v>16</v>
      </c>
      <c r="L447" s="59" t="s">
        <v>3498</v>
      </c>
      <c r="M447" s="58" t="s">
        <v>234</v>
      </c>
      <c r="N447" s="58" t="s">
        <v>1734</v>
      </c>
      <c r="O447" s="58" t="s">
        <v>3320</v>
      </c>
      <c r="P447" s="58" t="s">
        <v>16</v>
      </c>
      <c r="Q447" s="58" t="s">
        <v>3499</v>
      </c>
    </row>
    <row r="448" spans="1:17" ht="12.5" x14ac:dyDescent="0.25">
      <c r="A448" s="63" t="str">
        <f t="shared" si="1"/>
        <v>022/2023/059.401.604-50</v>
      </c>
      <c r="B448" s="63" t="s">
        <v>3496</v>
      </c>
      <c r="C448" s="65">
        <v>45356.391981203706</v>
      </c>
      <c r="D448" s="63" t="s">
        <v>3500</v>
      </c>
      <c r="E448" s="63"/>
      <c r="F448" s="63" t="s">
        <v>3501</v>
      </c>
      <c r="G448" s="63" t="s">
        <v>3496</v>
      </c>
      <c r="H448" s="63" t="s">
        <v>1747</v>
      </c>
      <c r="I448" s="63" t="s">
        <v>2562</v>
      </c>
      <c r="J448" s="63">
        <v>2023</v>
      </c>
      <c r="K448" s="59" t="s">
        <v>16</v>
      </c>
      <c r="L448" s="59" t="s">
        <v>3502</v>
      </c>
      <c r="M448" s="58" t="s">
        <v>234</v>
      </c>
      <c r="N448" s="58" t="s">
        <v>1734</v>
      </c>
      <c r="O448" s="58" t="s">
        <v>3320</v>
      </c>
      <c r="P448" s="58" t="s">
        <v>16</v>
      </c>
      <c r="Q448" s="58" t="s">
        <v>3499</v>
      </c>
    </row>
    <row r="449" spans="1:17" ht="12.5" x14ac:dyDescent="0.25">
      <c r="A449" s="63" t="str">
        <f t="shared" si="1"/>
        <v>029/2023/067.453.114-02</v>
      </c>
      <c r="B449" s="63" t="s">
        <v>3503</v>
      </c>
      <c r="C449" s="65">
        <v>45358.549496168984</v>
      </c>
      <c r="D449" s="63" t="s">
        <v>3504</v>
      </c>
      <c r="E449" s="63"/>
      <c r="F449" s="63" t="s">
        <v>3505</v>
      </c>
      <c r="G449" s="63" t="s">
        <v>3503</v>
      </c>
      <c r="H449" s="63" t="s">
        <v>1747</v>
      </c>
      <c r="I449" s="63" t="s">
        <v>3439</v>
      </c>
      <c r="J449" s="63">
        <v>2023</v>
      </c>
      <c r="K449" s="59" t="s">
        <v>232</v>
      </c>
      <c r="L449" s="59" t="s">
        <v>3506</v>
      </c>
      <c r="M449" s="58" t="s">
        <v>234</v>
      </c>
      <c r="N449" s="58" t="s">
        <v>1734</v>
      </c>
      <c r="O449" s="58" t="s">
        <v>3441</v>
      </c>
      <c r="P449" s="58" t="s">
        <v>16</v>
      </c>
      <c r="Q449" s="58" t="s">
        <v>3495</v>
      </c>
    </row>
    <row r="450" spans="1:17" ht="12.5" x14ac:dyDescent="0.25">
      <c r="A450" s="63" t="str">
        <f t="shared" si="1"/>
        <v>015/2023/060.805.144-60</v>
      </c>
      <c r="B450" s="63" t="s">
        <v>3507</v>
      </c>
      <c r="C450" s="65">
        <v>45359.441744675925</v>
      </c>
      <c r="D450" s="63" t="s">
        <v>3508</v>
      </c>
      <c r="E450" s="63"/>
      <c r="F450" s="63" t="s">
        <v>3509</v>
      </c>
      <c r="G450" s="63" t="s">
        <v>3507</v>
      </c>
      <c r="H450" s="63" t="s">
        <v>1747</v>
      </c>
      <c r="I450" s="63" t="s">
        <v>2509</v>
      </c>
      <c r="J450" s="63">
        <v>2023</v>
      </c>
      <c r="K450" s="59" t="s">
        <v>16</v>
      </c>
      <c r="L450" s="59" t="s">
        <v>3510</v>
      </c>
      <c r="M450" s="58" t="s">
        <v>234</v>
      </c>
      <c r="N450" s="58" t="s">
        <v>1734</v>
      </c>
      <c r="O450" s="58" t="s">
        <v>3190</v>
      </c>
      <c r="P450" s="58" t="s">
        <v>16</v>
      </c>
      <c r="Q450" s="58" t="s">
        <v>3499</v>
      </c>
    </row>
    <row r="451" spans="1:17" ht="12.5" x14ac:dyDescent="0.25">
      <c r="A451" s="63" t="str">
        <f t="shared" si="1"/>
        <v>055/2022/028.455.224-01</v>
      </c>
      <c r="B451" s="63" t="s">
        <v>3511</v>
      </c>
      <c r="C451" s="65">
        <v>45361.564382013894</v>
      </c>
      <c r="D451" s="63" t="s">
        <v>3512</v>
      </c>
      <c r="E451" s="63"/>
      <c r="F451" s="63" t="s">
        <v>3513</v>
      </c>
      <c r="G451" s="63" t="s">
        <v>3511</v>
      </c>
      <c r="H451" s="63" t="s">
        <v>1747</v>
      </c>
      <c r="I451" s="63" t="s">
        <v>3011</v>
      </c>
      <c r="J451" s="63">
        <v>2022</v>
      </c>
      <c r="K451" s="59" t="s">
        <v>17</v>
      </c>
      <c r="L451" s="59" t="s">
        <v>3514</v>
      </c>
      <c r="M451" s="58" t="s">
        <v>234</v>
      </c>
      <c r="N451" s="58" t="s">
        <v>1734</v>
      </c>
      <c r="O451" s="58" t="s">
        <v>3013</v>
      </c>
      <c r="P451" s="58" t="s">
        <v>17</v>
      </c>
      <c r="Q451" s="58" t="s">
        <v>3499</v>
      </c>
    </row>
    <row r="452" spans="1:17" ht="12.5" x14ac:dyDescent="0.25">
      <c r="A452" s="63" t="str">
        <f t="shared" si="1"/>
        <v>055/2022/081.465.694-39</v>
      </c>
      <c r="B452" s="63" t="s">
        <v>3515</v>
      </c>
      <c r="C452" s="65">
        <v>45365.462411354165</v>
      </c>
      <c r="D452" s="63" t="s">
        <v>3516</v>
      </c>
      <c r="E452" s="63"/>
      <c r="F452" s="63" t="s">
        <v>3517</v>
      </c>
      <c r="G452" s="63" t="s">
        <v>3515</v>
      </c>
      <c r="H452" s="63" t="s">
        <v>1747</v>
      </c>
      <c r="I452" s="63" t="s">
        <v>3011</v>
      </c>
      <c r="J452" s="63">
        <v>2022</v>
      </c>
      <c r="K452" s="59" t="s">
        <v>17</v>
      </c>
      <c r="L452" s="59" t="s">
        <v>3518</v>
      </c>
      <c r="M452" s="58" t="s">
        <v>234</v>
      </c>
      <c r="N452" s="58" t="s">
        <v>1734</v>
      </c>
      <c r="O452" s="58" t="s">
        <v>3013</v>
      </c>
      <c r="P452" s="58" t="s">
        <v>17</v>
      </c>
      <c r="Q452" s="58" t="s">
        <v>3499</v>
      </c>
    </row>
    <row r="453" spans="1:17" ht="12.5" x14ac:dyDescent="0.25">
      <c r="A453" s="63" t="str">
        <f t="shared" si="1"/>
        <v>024/2023/114.088.744-07</v>
      </c>
      <c r="B453" s="63" t="s">
        <v>3519</v>
      </c>
      <c r="C453" s="65">
        <v>45371.81443056713</v>
      </c>
      <c r="D453" s="63" t="s">
        <v>3520</v>
      </c>
      <c r="E453" s="63"/>
      <c r="F453" s="63" t="s">
        <v>3521</v>
      </c>
      <c r="G453" s="63" t="s">
        <v>3519</v>
      </c>
      <c r="H453" s="63" t="s">
        <v>1747</v>
      </c>
      <c r="I453" s="63" t="s">
        <v>2323</v>
      </c>
      <c r="J453" s="63">
        <v>2023</v>
      </c>
      <c r="K453" s="59" t="s">
        <v>18</v>
      </c>
      <c r="L453" s="59" t="s">
        <v>3522</v>
      </c>
      <c r="M453" s="58" t="s">
        <v>234</v>
      </c>
      <c r="N453" s="58" t="s">
        <v>1734</v>
      </c>
      <c r="O453" s="58" t="s">
        <v>3305</v>
      </c>
      <c r="P453" s="58" t="s">
        <v>18</v>
      </c>
      <c r="Q453" s="58" t="s">
        <v>3523</v>
      </c>
    </row>
    <row r="454" spans="1:17" ht="12.5" x14ac:dyDescent="0.25">
      <c r="A454" s="63" t="str">
        <f t="shared" si="1"/>
        <v>055/2022/097.295.914-90</v>
      </c>
      <c r="B454" s="63" t="s">
        <v>3524</v>
      </c>
      <c r="C454" s="65">
        <v>45372.658029270839</v>
      </c>
      <c r="D454" s="63" t="s">
        <v>3525</v>
      </c>
      <c r="E454" s="63"/>
      <c r="F454" s="63" t="s">
        <v>3526</v>
      </c>
      <c r="G454" s="63" t="s">
        <v>3524</v>
      </c>
      <c r="H454" s="63" t="s">
        <v>1747</v>
      </c>
      <c r="I454" s="63" t="s">
        <v>3011</v>
      </c>
      <c r="J454" s="63">
        <v>2022</v>
      </c>
      <c r="K454" s="59" t="s">
        <v>17</v>
      </c>
      <c r="L454" s="59" t="s">
        <v>3527</v>
      </c>
      <c r="M454" s="58" t="s">
        <v>234</v>
      </c>
      <c r="N454" s="58" t="s">
        <v>1734</v>
      </c>
      <c r="O454" s="58" t="s">
        <v>3013</v>
      </c>
      <c r="P454" s="58" t="s">
        <v>17</v>
      </c>
      <c r="Q454" s="58" t="s">
        <v>3499</v>
      </c>
    </row>
    <row r="455" spans="1:17" ht="12.5" x14ac:dyDescent="0.25">
      <c r="A455" s="63" t="str">
        <f t="shared" si="1"/>
        <v>024/2023/114.088.744-07</v>
      </c>
      <c r="B455" s="63" t="s">
        <v>3519</v>
      </c>
      <c r="C455" s="65">
        <v>45372.923965023147</v>
      </c>
      <c r="D455" s="63" t="s">
        <v>3528</v>
      </c>
      <c r="E455" s="63"/>
      <c r="F455" s="63" t="s">
        <v>3521</v>
      </c>
      <c r="G455" s="63" t="s">
        <v>3519</v>
      </c>
      <c r="H455" s="63" t="s">
        <v>1747</v>
      </c>
      <c r="I455" s="63" t="s">
        <v>2323</v>
      </c>
      <c r="J455" s="63">
        <v>2023</v>
      </c>
      <c r="K455" s="59" t="s">
        <v>18</v>
      </c>
      <c r="L455" s="59" t="s">
        <v>3529</v>
      </c>
      <c r="M455" s="58" t="s">
        <v>234</v>
      </c>
      <c r="N455" s="58" t="s">
        <v>1734</v>
      </c>
      <c r="O455" s="58" t="s">
        <v>3305</v>
      </c>
      <c r="P455" s="58" t="s">
        <v>18</v>
      </c>
      <c r="Q455" s="58" t="s">
        <v>3523</v>
      </c>
    </row>
    <row r="456" spans="1:17" ht="12.5" x14ac:dyDescent="0.25">
      <c r="A456" s="63" t="str">
        <f t="shared" si="1"/>
        <v>029/2024/069.641.384-12</v>
      </c>
      <c r="B456" s="63" t="s">
        <v>2123</v>
      </c>
      <c r="C456" s="65">
        <v>45373.604747928242</v>
      </c>
      <c r="D456" s="63" t="s">
        <v>3530</v>
      </c>
      <c r="E456" s="63"/>
      <c r="F456" s="63" t="s">
        <v>3531</v>
      </c>
      <c r="G456" s="63" t="s">
        <v>2123</v>
      </c>
      <c r="H456" s="63" t="s">
        <v>1747</v>
      </c>
      <c r="I456" s="63" t="s">
        <v>3439</v>
      </c>
      <c r="J456" s="63">
        <v>2024</v>
      </c>
      <c r="K456" s="59" t="s">
        <v>17</v>
      </c>
      <c r="L456" s="59" t="s">
        <v>3532</v>
      </c>
      <c r="M456" s="58" t="s">
        <v>234</v>
      </c>
      <c r="N456" s="58" t="s">
        <v>1734</v>
      </c>
      <c r="O456" s="58" t="s">
        <v>3441</v>
      </c>
      <c r="P456" s="58" t="s">
        <v>17</v>
      </c>
      <c r="Q456" s="58" t="s">
        <v>3499</v>
      </c>
    </row>
    <row r="457" spans="1:17" ht="12.5" x14ac:dyDescent="0.25">
      <c r="A457" s="63" t="str">
        <f t="shared" si="1"/>
        <v>055/2022/083.645.964-46</v>
      </c>
      <c r="B457" s="63" t="s">
        <v>3533</v>
      </c>
      <c r="C457" s="65">
        <v>45377.458194571758</v>
      </c>
      <c r="D457" s="63" t="s">
        <v>3534</v>
      </c>
      <c r="E457" s="63" t="s">
        <v>3535</v>
      </c>
      <c r="F457" s="63" t="s">
        <v>3535</v>
      </c>
      <c r="G457" s="63" t="s">
        <v>3536</v>
      </c>
      <c r="H457" s="63" t="s">
        <v>1740</v>
      </c>
      <c r="I457" s="63" t="s">
        <v>3011</v>
      </c>
      <c r="J457" s="63">
        <v>2022</v>
      </c>
      <c r="K457" s="59" t="s">
        <v>17</v>
      </c>
      <c r="L457" s="59" t="s">
        <v>3537</v>
      </c>
      <c r="M457" s="58" t="s">
        <v>234</v>
      </c>
      <c r="N457" s="58" t="s">
        <v>1734</v>
      </c>
      <c r="O457" s="58" t="s">
        <v>3013</v>
      </c>
      <c r="P457" s="58" t="s">
        <v>17</v>
      </c>
      <c r="Q457" s="58" t="s">
        <v>3499</v>
      </c>
    </row>
    <row r="458" spans="1:17" ht="12.5" x14ac:dyDescent="0.25">
      <c r="A458" s="63" t="str">
        <f t="shared" si="1"/>
        <v>030/2023/072.187.694-38</v>
      </c>
      <c r="B458" s="63" t="s">
        <v>3538</v>
      </c>
      <c r="C458" s="65">
        <v>45377.751418981483</v>
      </c>
      <c r="D458" s="63" t="s">
        <v>3539</v>
      </c>
      <c r="E458" s="63" t="s">
        <v>3540</v>
      </c>
      <c r="F458" s="63" t="s">
        <v>3540</v>
      </c>
      <c r="G458" s="63" t="s">
        <v>3541</v>
      </c>
      <c r="H458" s="63" t="s">
        <v>1740</v>
      </c>
      <c r="I458" s="63" t="s">
        <v>3542</v>
      </c>
      <c r="J458" s="63">
        <v>2023</v>
      </c>
      <c r="K458" s="59" t="s">
        <v>17</v>
      </c>
      <c r="L458" s="59" t="s">
        <v>3543</v>
      </c>
      <c r="M458" s="58" t="s">
        <v>234</v>
      </c>
      <c r="N458" s="58" t="s">
        <v>1734</v>
      </c>
      <c r="O458" s="58" t="s">
        <v>3544</v>
      </c>
      <c r="P458" s="58" t="s">
        <v>17</v>
      </c>
      <c r="Q458" s="58" t="s">
        <v>3499</v>
      </c>
    </row>
    <row r="459" spans="1:17" ht="12.5" x14ac:dyDescent="0.25">
      <c r="A459" s="63" t="str">
        <f t="shared" si="1"/>
        <v>019/2023/033.429.194-18</v>
      </c>
      <c r="B459" s="63" t="s">
        <v>3545</v>
      </c>
      <c r="C459" s="65">
        <v>45383.039553738425</v>
      </c>
      <c r="D459" s="63" t="s">
        <v>3546</v>
      </c>
      <c r="E459" s="63"/>
      <c r="F459" s="63" t="s">
        <v>3547</v>
      </c>
      <c r="G459" s="63" t="s">
        <v>3545</v>
      </c>
      <c r="H459" s="63" t="s">
        <v>1747</v>
      </c>
      <c r="I459" s="63" t="s">
        <v>2256</v>
      </c>
      <c r="J459" s="63">
        <v>2023</v>
      </c>
      <c r="K459" s="59" t="s">
        <v>16</v>
      </c>
      <c r="L459" s="59" t="s">
        <v>3548</v>
      </c>
      <c r="M459" s="58" t="s">
        <v>234</v>
      </c>
      <c r="N459" s="58" t="s">
        <v>1734</v>
      </c>
      <c r="O459" s="58" t="s">
        <v>3226</v>
      </c>
      <c r="P459" s="58" t="s">
        <v>17</v>
      </c>
      <c r="Q459" s="58" t="s">
        <v>3499</v>
      </c>
    </row>
    <row r="460" spans="1:17" ht="12.5" x14ac:dyDescent="0.25">
      <c r="A460" s="63" t="str">
        <f t="shared" si="1"/>
        <v>022/2023/705.339.604-52</v>
      </c>
      <c r="B460" s="63" t="s">
        <v>2235</v>
      </c>
      <c r="C460" s="65">
        <v>45384.420888136578</v>
      </c>
      <c r="D460" s="63" t="s">
        <v>3549</v>
      </c>
      <c r="E460" s="63"/>
      <c r="F460" s="63" t="s">
        <v>2237</v>
      </c>
      <c r="G460" s="63" t="s">
        <v>2235</v>
      </c>
      <c r="H460" s="63" t="s">
        <v>1747</v>
      </c>
      <c r="I460" s="63" t="s">
        <v>2562</v>
      </c>
      <c r="J460" s="63">
        <v>2023</v>
      </c>
      <c r="K460" s="59" t="s">
        <v>16</v>
      </c>
      <c r="L460" s="59" t="s">
        <v>3550</v>
      </c>
      <c r="M460" s="58" t="s">
        <v>234</v>
      </c>
      <c r="N460" s="58" t="s">
        <v>1734</v>
      </c>
      <c r="O460" s="58" t="s">
        <v>3320</v>
      </c>
      <c r="P460" s="58" t="s">
        <v>16</v>
      </c>
      <c r="Q460" s="58" t="s">
        <v>3499</v>
      </c>
    </row>
    <row r="461" spans="1:17" ht="12.5" x14ac:dyDescent="0.25">
      <c r="A461" s="63" t="str">
        <f t="shared" si="1"/>
        <v>029/2023/058.531.564-70</v>
      </c>
      <c r="B461" s="63" t="s">
        <v>3551</v>
      </c>
      <c r="C461" s="65">
        <v>45385.655531006945</v>
      </c>
      <c r="D461" s="63" t="s">
        <v>3552</v>
      </c>
      <c r="E461" s="63"/>
      <c r="F461" s="63" t="s">
        <v>3553</v>
      </c>
      <c r="G461" s="63" t="s">
        <v>3551</v>
      </c>
      <c r="H461" s="63" t="s">
        <v>1747</v>
      </c>
      <c r="I461" s="63" t="s">
        <v>3439</v>
      </c>
      <c r="J461" s="63">
        <v>2023</v>
      </c>
      <c r="K461" s="59" t="s">
        <v>232</v>
      </c>
      <c r="L461" s="59" t="s">
        <v>3554</v>
      </c>
      <c r="M461" s="58" t="s">
        <v>234</v>
      </c>
      <c r="N461" s="58" t="s">
        <v>1734</v>
      </c>
      <c r="O461" s="58" t="s">
        <v>3441</v>
      </c>
      <c r="P461" s="58" t="s">
        <v>232</v>
      </c>
      <c r="Q461" s="58" t="s">
        <v>3499</v>
      </c>
    </row>
    <row r="462" spans="1:17" ht="12.5" x14ac:dyDescent="0.25">
      <c r="A462" s="63" t="str">
        <f t="shared" si="1"/>
        <v>028/2023/028.250.125-80</v>
      </c>
      <c r="B462" s="63" t="s">
        <v>3555</v>
      </c>
      <c r="C462" s="65">
        <v>45387.863208043986</v>
      </c>
      <c r="D462" s="63" t="s">
        <v>3556</v>
      </c>
      <c r="E462" s="63"/>
      <c r="F462" s="63" t="s">
        <v>3557</v>
      </c>
      <c r="G462" s="63" t="s">
        <v>3555</v>
      </c>
      <c r="H462" s="63" t="s">
        <v>1747</v>
      </c>
      <c r="I462" s="63" t="s">
        <v>3410</v>
      </c>
      <c r="J462" s="63">
        <v>2023</v>
      </c>
      <c r="K462" s="59" t="s">
        <v>16</v>
      </c>
      <c r="L462" s="59" t="s">
        <v>3558</v>
      </c>
      <c r="M462" s="58" t="s">
        <v>234</v>
      </c>
      <c r="N462" s="58" t="s">
        <v>1734</v>
      </c>
      <c r="O462" s="58" t="s">
        <v>3412</v>
      </c>
      <c r="P462" s="58" t="s">
        <v>16</v>
      </c>
    </row>
    <row r="463" spans="1:17" ht="12.5" x14ac:dyDescent="0.25">
      <c r="A463" s="63" t="str">
        <f t="shared" si="1"/>
        <v>029/2023/084.366.074-06</v>
      </c>
      <c r="B463" s="63" t="s">
        <v>3559</v>
      </c>
      <c r="C463" s="65">
        <v>45390.466682407408</v>
      </c>
      <c r="D463" s="63" t="s">
        <v>3560</v>
      </c>
      <c r="E463" s="63"/>
      <c r="F463" s="63" t="s">
        <v>3561</v>
      </c>
      <c r="G463" s="63" t="s">
        <v>3559</v>
      </c>
      <c r="H463" s="63" t="s">
        <v>1747</v>
      </c>
      <c r="I463" s="63" t="s">
        <v>3439</v>
      </c>
      <c r="J463" s="63">
        <v>2023</v>
      </c>
      <c r="K463" s="59" t="s">
        <v>17</v>
      </c>
      <c r="L463" s="59" t="s">
        <v>3562</v>
      </c>
      <c r="M463" s="58" t="s">
        <v>234</v>
      </c>
      <c r="N463" s="58" t="s">
        <v>1734</v>
      </c>
      <c r="O463" s="58" t="s">
        <v>3441</v>
      </c>
      <c r="P463" s="58" t="s">
        <v>17</v>
      </c>
    </row>
    <row r="464" spans="1:17" ht="12.5" x14ac:dyDescent="0.25">
      <c r="A464" s="63" t="str">
        <f t="shared" si="1"/>
        <v>028/2023/788.410.464-49</v>
      </c>
      <c r="B464" s="63" t="s">
        <v>3563</v>
      </c>
      <c r="C464" s="65">
        <v>45390.518144421294</v>
      </c>
      <c r="D464" s="63" t="s">
        <v>3564</v>
      </c>
      <c r="E464" s="63"/>
      <c r="F464" s="63" t="s">
        <v>3565</v>
      </c>
      <c r="G464" s="63" t="s">
        <v>3563</v>
      </c>
      <c r="H464" s="63" t="s">
        <v>1747</v>
      </c>
      <c r="I464" s="63" t="s">
        <v>3410</v>
      </c>
      <c r="J464" s="63">
        <v>2023</v>
      </c>
      <c r="K464" s="59" t="s">
        <v>16</v>
      </c>
      <c r="L464" s="59" t="s">
        <v>3566</v>
      </c>
      <c r="M464" s="58" t="s">
        <v>234</v>
      </c>
      <c r="N464" s="58" t="s">
        <v>1734</v>
      </c>
      <c r="O464" s="58" t="s">
        <v>3412</v>
      </c>
      <c r="P464" s="58" t="s">
        <v>16</v>
      </c>
    </row>
    <row r="465" spans="1:17" ht="12.5" x14ac:dyDescent="0.25">
      <c r="A465" s="63" t="str">
        <f t="shared" si="1"/>
        <v>024/2023/086.161.904-35</v>
      </c>
      <c r="B465" s="63" t="s">
        <v>3567</v>
      </c>
      <c r="C465" s="65">
        <v>45390.841442129633</v>
      </c>
      <c r="D465" s="63" t="s">
        <v>3568</v>
      </c>
      <c r="E465" s="63" t="s">
        <v>3569</v>
      </c>
      <c r="F465" s="63" t="s">
        <v>3569</v>
      </c>
      <c r="G465" s="63" t="s">
        <v>3570</v>
      </c>
      <c r="H465" s="63" t="s">
        <v>1740</v>
      </c>
      <c r="I465" s="63" t="s">
        <v>2323</v>
      </c>
      <c r="J465" s="63">
        <v>2023</v>
      </c>
      <c r="K465" s="59" t="s">
        <v>18</v>
      </c>
      <c r="L465" s="59" t="s">
        <v>3571</v>
      </c>
      <c r="M465" s="58" t="s">
        <v>234</v>
      </c>
      <c r="N465" s="58" t="s">
        <v>1734</v>
      </c>
      <c r="O465" s="58" t="s">
        <v>3305</v>
      </c>
      <c r="P465" s="58" t="s">
        <v>18</v>
      </c>
    </row>
    <row r="466" spans="1:17" ht="12.5" x14ac:dyDescent="0.25">
      <c r="A466" s="63" t="str">
        <f t="shared" si="1"/>
        <v>024/2023/027.766.664-38</v>
      </c>
      <c r="B466" s="63" t="s">
        <v>3572</v>
      </c>
      <c r="C466" s="65">
        <v>45394.349857719906</v>
      </c>
      <c r="D466" s="63" t="s">
        <v>3573</v>
      </c>
      <c r="E466" s="63"/>
      <c r="F466" s="63" t="s">
        <v>3574</v>
      </c>
      <c r="G466" s="63" t="s">
        <v>3572</v>
      </c>
      <c r="H466" s="63" t="s">
        <v>1747</v>
      </c>
      <c r="I466" s="63" t="s">
        <v>2323</v>
      </c>
      <c r="J466" s="63">
        <v>2023</v>
      </c>
      <c r="K466" s="59" t="s">
        <v>17</v>
      </c>
      <c r="L466" s="59" t="s">
        <v>3575</v>
      </c>
      <c r="M466" s="58" t="s">
        <v>234</v>
      </c>
      <c r="N466" s="58" t="s">
        <v>1734</v>
      </c>
      <c r="O466" s="58" t="s">
        <v>3305</v>
      </c>
      <c r="P466" s="58" t="s">
        <v>17</v>
      </c>
    </row>
    <row r="467" spans="1:17" ht="12.5" x14ac:dyDescent="0.25">
      <c r="A467" s="63" t="str">
        <f t="shared" si="1"/>
        <v>054/2022/078.386.144-30</v>
      </c>
      <c r="B467" s="63" t="s">
        <v>3576</v>
      </c>
      <c r="C467" s="65">
        <v>45396.430896666665</v>
      </c>
      <c r="D467" s="63" t="s">
        <v>3577</v>
      </c>
      <c r="E467" s="63"/>
      <c r="F467" s="63" t="s">
        <v>3578</v>
      </c>
      <c r="G467" s="63" t="s">
        <v>3576</v>
      </c>
      <c r="H467" s="63" t="s">
        <v>1747</v>
      </c>
      <c r="I467" s="63" t="s">
        <v>3023</v>
      </c>
      <c r="J467" s="63">
        <v>2022</v>
      </c>
      <c r="K467" s="59" t="s">
        <v>16</v>
      </c>
      <c r="L467" s="59" t="s">
        <v>3579</v>
      </c>
      <c r="M467" s="58" t="s">
        <v>234</v>
      </c>
      <c r="N467" s="58" t="s">
        <v>1734</v>
      </c>
      <c r="O467" s="58" t="s">
        <v>3300</v>
      </c>
      <c r="P467" s="58" t="s">
        <v>16</v>
      </c>
    </row>
    <row r="468" spans="1:17" ht="12.5" x14ac:dyDescent="0.25">
      <c r="A468" s="63" t="str">
        <f t="shared" si="1"/>
        <v>038/2022/022.530.174-18</v>
      </c>
      <c r="B468" s="63" t="s">
        <v>3580</v>
      </c>
      <c r="C468" s="65">
        <v>45400.281591076389</v>
      </c>
      <c r="D468" s="63" t="s">
        <v>3581</v>
      </c>
      <c r="E468" s="63" t="s">
        <v>3582</v>
      </c>
      <c r="F468" s="63" t="s">
        <v>3583</v>
      </c>
      <c r="G468" s="63" t="s">
        <v>3580</v>
      </c>
      <c r="H468" s="63" t="s">
        <v>1740</v>
      </c>
      <c r="I468" s="63" t="s">
        <v>1867</v>
      </c>
      <c r="J468" s="63">
        <v>2022</v>
      </c>
      <c r="K468" s="59" t="s">
        <v>17</v>
      </c>
      <c r="L468" s="59" t="s">
        <v>3584</v>
      </c>
      <c r="M468" s="58" t="s">
        <v>234</v>
      </c>
      <c r="N468" s="58" t="s">
        <v>1734</v>
      </c>
      <c r="O468" s="58" t="s">
        <v>2986</v>
      </c>
      <c r="P468" s="58" t="s">
        <v>3064</v>
      </c>
    </row>
    <row r="469" spans="1:17" ht="12.5" x14ac:dyDescent="0.25">
      <c r="A469" s="63" t="str">
        <f t="shared" si="1"/>
        <v>015/2023/076.298.144-02</v>
      </c>
      <c r="B469" s="63" t="s">
        <v>3585</v>
      </c>
      <c r="C469" s="65">
        <v>45402.458239143518</v>
      </c>
      <c r="D469" s="63" t="s">
        <v>3586</v>
      </c>
      <c r="E469" s="63"/>
      <c r="F469" s="63" t="s">
        <v>3587</v>
      </c>
      <c r="G469" s="63" t="s">
        <v>3585</v>
      </c>
      <c r="H469" s="63" t="s">
        <v>1747</v>
      </c>
      <c r="I469" s="63" t="s">
        <v>2509</v>
      </c>
      <c r="J469" s="63">
        <v>2023</v>
      </c>
      <c r="K469" s="59" t="s">
        <v>16</v>
      </c>
      <c r="L469" s="59" t="s">
        <v>3588</v>
      </c>
      <c r="M469" s="58" t="s">
        <v>234</v>
      </c>
      <c r="N469" s="58" t="s">
        <v>1734</v>
      </c>
      <c r="O469" s="58" t="s">
        <v>3190</v>
      </c>
      <c r="P469" s="58" t="s">
        <v>16</v>
      </c>
    </row>
    <row r="470" spans="1:17" ht="12.5" x14ac:dyDescent="0.25">
      <c r="A470" s="63" t="str">
        <f t="shared" si="1"/>
        <v>015/2023/042.590.064-95</v>
      </c>
      <c r="B470" s="63" t="s">
        <v>3177</v>
      </c>
      <c r="C470" s="65">
        <v>45411.690233275462</v>
      </c>
      <c r="D470" s="63" t="s">
        <v>3178</v>
      </c>
      <c r="E470" s="63"/>
      <c r="F470" s="63" t="s">
        <v>3179</v>
      </c>
      <c r="G470" s="63" t="s">
        <v>3177</v>
      </c>
      <c r="H470" s="63" t="s">
        <v>1747</v>
      </c>
      <c r="I470" s="63" t="s">
        <v>2509</v>
      </c>
      <c r="J470" s="63">
        <v>2023</v>
      </c>
      <c r="K470" s="59" t="s">
        <v>16</v>
      </c>
      <c r="L470" s="59" t="s">
        <v>3589</v>
      </c>
      <c r="M470" s="58" t="s">
        <v>234</v>
      </c>
      <c r="N470" s="58" t="s">
        <v>1734</v>
      </c>
      <c r="O470" s="58" t="s">
        <v>3590</v>
      </c>
      <c r="P470" s="58" t="s">
        <v>16</v>
      </c>
    </row>
    <row r="471" spans="1:17" ht="12.5" x14ac:dyDescent="0.25">
      <c r="A471" s="63" t="str">
        <f t="shared" si="1"/>
        <v>019/2024/839.725.444-72</v>
      </c>
      <c r="B471" s="63" t="s">
        <v>3591</v>
      </c>
      <c r="C471" s="65">
        <v>45412.443943067134</v>
      </c>
      <c r="D471" s="63" t="s">
        <v>3592</v>
      </c>
      <c r="E471" s="63"/>
      <c r="F471" s="63" t="s">
        <v>3593</v>
      </c>
      <c r="G471" s="63" t="s">
        <v>3591</v>
      </c>
      <c r="H471" s="63" t="s">
        <v>1747</v>
      </c>
      <c r="I471" s="63" t="s">
        <v>2256</v>
      </c>
      <c r="J471" s="63">
        <v>2024</v>
      </c>
      <c r="K471" s="59" t="s">
        <v>16</v>
      </c>
      <c r="L471" s="59" t="s">
        <v>3594</v>
      </c>
      <c r="M471" s="58" t="s">
        <v>234</v>
      </c>
      <c r="N471" s="58" t="s">
        <v>1734</v>
      </c>
      <c r="O471" s="58" t="s">
        <v>3226</v>
      </c>
      <c r="P471" s="58" t="s">
        <v>16</v>
      </c>
    </row>
    <row r="472" spans="1:17" ht="12.5" x14ac:dyDescent="0.25">
      <c r="A472" s="63" t="str">
        <f t="shared" si="1"/>
        <v>022/2023/090.455.104-05</v>
      </c>
      <c r="B472" s="63" t="s">
        <v>3595</v>
      </c>
      <c r="C472" s="65">
        <v>45412.679579664356</v>
      </c>
      <c r="D472" s="63" t="s">
        <v>3596</v>
      </c>
      <c r="E472" s="63"/>
      <c r="F472" s="63" t="s">
        <v>3597</v>
      </c>
      <c r="G472" s="63" t="s">
        <v>3598</v>
      </c>
      <c r="H472" s="63" t="s">
        <v>1747</v>
      </c>
      <c r="I472" s="63" t="s">
        <v>2562</v>
      </c>
      <c r="J472" s="63">
        <v>2023</v>
      </c>
      <c r="K472" s="59" t="s">
        <v>16</v>
      </c>
      <c r="L472" s="59" t="s">
        <v>3599</v>
      </c>
      <c r="M472" s="58" t="s">
        <v>234</v>
      </c>
      <c r="N472" s="58" t="s">
        <v>1734</v>
      </c>
      <c r="O472" s="58" t="s">
        <v>3320</v>
      </c>
      <c r="P472" s="58" t="s">
        <v>16</v>
      </c>
    </row>
    <row r="473" spans="1:17" ht="12.5" x14ac:dyDescent="0.25">
      <c r="A473" s="63" t="str">
        <f t="shared" si="1"/>
        <v>054/2022/064.182.494-70</v>
      </c>
      <c r="B473" s="63" t="s">
        <v>3600</v>
      </c>
      <c r="C473" s="65">
        <v>45418.641222071761</v>
      </c>
      <c r="D473" s="63" t="s">
        <v>3601</v>
      </c>
      <c r="E473" s="63"/>
      <c r="F473" s="63" t="s">
        <v>3602</v>
      </c>
      <c r="G473" s="63" t="s">
        <v>3600</v>
      </c>
      <c r="H473" s="63" t="s">
        <v>1747</v>
      </c>
      <c r="I473" s="63" t="s">
        <v>3023</v>
      </c>
      <c r="J473" s="63">
        <v>2022</v>
      </c>
      <c r="K473" s="59" t="s">
        <v>16</v>
      </c>
      <c r="L473" s="59" t="s">
        <v>3603</v>
      </c>
      <c r="M473" s="58" t="s">
        <v>234</v>
      </c>
      <c r="N473" s="58" t="s">
        <v>1734</v>
      </c>
      <c r="O473" s="58" t="s">
        <v>3300</v>
      </c>
      <c r="P473" s="58" t="s">
        <v>16</v>
      </c>
    </row>
    <row r="474" spans="1:17" ht="12.5" x14ac:dyDescent="0.25">
      <c r="A474" s="63" t="str">
        <f t="shared" si="1"/>
        <v>015/2023/107.427.684-14</v>
      </c>
      <c r="B474" s="63" t="s">
        <v>3173</v>
      </c>
      <c r="C474" s="65">
        <v>45418.655807499999</v>
      </c>
      <c r="D474" s="63" t="s">
        <v>3174</v>
      </c>
      <c r="E474" s="63"/>
      <c r="F474" s="63" t="s">
        <v>3604</v>
      </c>
      <c r="G474" s="63" t="s">
        <v>3173</v>
      </c>
      <c r="H474" s="63" t="s">
        <v>1747</v>
      </c>
      <c r="I474" s="63" t="s">
        <v>2509</v>
      </c>
      <c r="J474" s="63">
        <v>2023</v>
      </c>
      <c r="K474" s="59" t="s">
        <v>16</v>
      </c>
      <c r="L474" s="59" t="s">
        <v>3605</v>
      </c>
      <c r="M474" s="58" t="s">
        <v>234</v>
      </c>
      <c r="N474" s="58" t="s">
        <v>1734</v>
      </c>
      <c r="O474" s="58" t="s">
        <v>3190</v>
      </c>
      <c r="P474" s="58" t="s">
        <v>16</v>
      </c>
    </row>
    <row r="475" spans="1:17" ht="12.5" x14ac:dyDescent="0.25">
      <c r="A475" s="63" t="str">
        <f t="shared" si="1"/>
        <v>054/2022/075.615.344-18</v>
      </c>
      <c r="B475" s="63" t="s">
        <v>3606</v>
      </c>
      <c r="C475" s="65">
        <v>45418.679632395833</v>
      </c>
      <c r="D475" s="63" t="s">
        <v>3607</v>
      </c>
      <c r="E475" s="63"/>
      <c r="F475" s="63" t="s">
        <v>3608</v>
      </c>
      <c r="G475" s="63" t="s">
        <v>3606</v>
      </c>
      <c r="H475" s="63" t="s">
        <v>1747</v>
      </c>
      <c r="I475" s="63" t="s">
        <v>3023</v>
      </c>
      <c r="J475" s="63">
        <v>2022</v>
      </c>
      <c r="K475" s="59" t="s">
        <v>16</v>
      </c>
      <c r="L475" s="59" t="s">
        <v>3609</v>
      </c>
      <c r="M475" s="58" t="s">
        <v>234</v>
      </c>
      <c r="N475" s="58" t="s">
        <v>1734</v>
      </c>
      <c r="O475" s="58" t="s">
        <v>3025</v>
      </c>
      <c r="P475" s="58" t="s">
        <v>16</v>
      </c>
    </row>
    <row r="476" spans="1:17" ht="12.5" x14ac:dyDescent="0.25">
      <c r="A476" s="63" t="str">
        <f t="shared" si="1"/>
        <v>054/2022/104.122.524-57</v>
      </c>
      <c r="B476" s="63" t="s">
        <v>3610</v>
      </c>
      <c r="C476" s="65">
        <v>45418.941064571758</v>
      </c>
      <c r="D476" s="63" t="s">
        <v>3611</v>
      </c>
      <c r="E476" s="63"/>
      <c r="F476" s="63" t="s">
        <v>3612</v>
      </c>
      <c r="G476" s="63" t="s">
        <v>3610</v>
      </c>
      <c r="H476" s="63" t="s">
        <v>1747</v>
      </c>
      <c r="I476" s="63" t="s">
        <v>3023</v>
      </c>
      <c r="J476" s="63">
        <v>2022</v>
      </c>
      <c r="K476" s="59" t="s">
        <v>16</v>
      </c>
      <c r="L476" s="59" t="s">
        <v>3613</v>
      </c>
      <c r="M476" s="58" t="s">
        <v>234</v>
      </c>
      <c r="N476" s="58" t="s">
        <v>1734</v>
      </c>
      <c r="O476" s="58" t="s">
        <v>3025</v>
      </c>
      <c r="P476" s="58" t="s">
        <v>16</v>
      </c>
    </row>
    <row r="477" spans="1:17" ht="12.5" x14ac:dyDescent="0.25">
      <c r="A477" s="63" t="str">
        <f t="shared" si="1"/>
        <v>015/2023/085.234.404-02</v>
      </c>
      <c r="B477" s="63" t="s">
        <v>3614</v>
      </c>
      <c r="C477" s="65">
        <v>45419.27811219907</v>
      </c>
      <c r="D477" s="63" t="s">
        <v>3615</v>
      </c>
      <c r="E477" s="63"/>
      <c r="F477" s="63" t="s">
        <v>3616</v>
      </c>
      <c r="G477" s="63" t="s">
        <v>3614</v>
      </c>
      <c r="H477" s="63" t="s">
        <v>1747</v>
      </c>
      <c r="I477" s="63" t="s">
        <v>2509</v>
      </c>
      <c r="J477" s="63">
        <v>2023</v>
      </c>
      <c r="K477" s="59" t="s">
        <v>16</v>
      </c>
      <c r="L477" s="59" t="s">
        <v>3617</v>
      </c>
      <c r="M477" s="58" t="s">
        <v>234</v>
      </c>
      <c r="N477" s="58" t="s">
        <v>1734</v>
      </c>
      <c r="O477" s="58" t="s">
        <v>3190</v>
      </c>
      <c r="P477" s="58" t="s">
        <v>16</v>
      </c>
    </row>
    <row r="478" spans="1:17" ht="12.5" x14ac:dyDescent="0.25">
      <c r="A478" s="63" t="str">
        <f t="shared" si="1"/>
        <v>054/2021/118.271.614-85</v>
      </c>
      <c r="B478" s="63" t="s">
        <v>3618</v>
      </c>
      <c r="C478" s="65">
        <v>45420.676019212959</v>
      </c>
      <c r="D478" s="63" t="s">
        <v>3619</v>
      </c>
      <c r="E478" s="63"/>
      <c r="F478" s="63" t="s">
        <v>3620</v>
      </c>
      <c r="G478" s="63" t="s">
        <v>3618</v>
      </c>
      <c r="H478" s="63" t="s">
        <v>1747</v>
      </c>
      <c r="I478" s="63" t="s">
        <v>3023</v>
      </c>
      <c r="J478" s="63">
        <v>2021</v>
      </c>
      <c r="K478" s="59" t="s">
        <v>16</v>
      </c>
      <c r="L478" s="59" t="s">
        <v>3621</v>
      </c>
      <c r="M478" s="58" t="s">
        <v>234</v>
      </c>
      <c r="N478" s="58" t="s">
        <v>1734</v>
      </c>
      <c r="O478" s="58" t="s">
        <v>3622</v>
      </c>
      <c r="P478" s="58" t="s">
        <v>16</v>
      </c>
    </row>
    <row r="479" spans="1:17" ht="12.5" x14ac:dyDescent="0.25">
      <c r="A479" s="63" t="str">
        <f t="shared" si="1"/>
        <v>019/2023/087.378.044-21</v>
      </c>
      <c r="B479" s="63" t="s">
        <v>3623</v>
      </c>
      <c r="C479" s="65">
        <v>45425.561186331019</v>
      </c>
      <c r="D479" s="63" t="s">
        <v>3624</v>
      </c>
      <c r="E479" s="63"/>
      <c r="F479" s="63" t="s">
        <v>3625</v>
      </c>
      <c r="G479" s="63" t="s">
        <v>3623</v>
      </c>
      <c r="H479" s="63" t="s">
        <v>1747</v>
      </c>
      <c r="I479" s="63" t="s">
        <v>2256</v>
      </c>
      <c r="J479" s="63">
        <v>2023</v>
      </c>
      <c r="K479" s="59" t="s">
        <v>16</v>
      </c>
      <c r="L479" s="59" t="s">
        <v>3626</v>
      </c>
      <c r="M479" s="58" t="s">
        <v>234</v>
      </c>
      <c r="N479" s="58" t="s">
        <v>1734</v>
      </c>
      <c r="O479" s="58" t="s">
        <v>3226</v>
      </c>
      <c r="P479" s="58" t="s">
        <v>16</v>
      </c>
    </row>
    <row r="480" spans="1:17" ht="12.5" x14ac:dyDescent="0.25">
      <c r="A480" s="63" t="str">
        <f t="shared" si="1"/>
        <v>025/2023/076.705.984-09</v>
      </c>
      <c r="B480" s="63" t="s">
        <v>3627</v>
      </c>
      <c r="C480" s="65">
        <v>45433.832550162042</v>
      </c>
      <c r="D480" s="63" t="s">
        <v>3628</v>
      </c>
      <c r="E480" s="63"/>
      <c r="F480" s="63" t="s">
        <v>3629</v>
      </c>
      <c r="G480" s="63" t="s">
        <v>3627</v>
      </c>
      <c r="H480" s="63" t="s">
        <v>1747</v>
      </c>
      <c r="I480" s="63" t="s">
        <v>2556</v>
      </c>
      <c r="J480" s="63">
        <v>2023</v>
      </c>
      <c r="K480" s="59" t="s">
        <v>17</v>
      </c>
      <c r="L480" s="59" t="s">
        <v>3630</v>
      </c>
      <c r="M480" s="58" t="s">
        <v>234</v>
      </c>
      <c r="N480" s="58" t="s">
        <v>1734</v>
      </c>
      <c r="O480" s="58" t="s">
        <v>3631</v>
      </c>
      <c r="Q480" s="58" t="s">
        <v>3523</v>
      </c>
    </row>
    <row r="481" spans="1:17" ht="12.5" x14ac:dyDescent="0.25">
      <c r="A481" s="63" t="str">
        <f t="shared" si="1"/>
        <v>024/2023/067.848.634-45</v>
      </c>
      <c r="B481" s="63" t="s">
        <v>3632</v>
      </c>
      <c r="C481" s="65">
        <v>45443.47066684028</v>
      </c>
      <c r="D481" s="63" t="s">
        <v>3633</v>
      </c>
      <c r="E481" s="63"/>
      <c r="F481" s="63" t="s">
        <v>3634</v>
      </c>
      <c r="G481" s="63" t="s">
        <v>3632</v>
      </c>
      <c r="H481" s="63" t="s">
        <v>1747</v>
      </c>
      <c r="I481" s="63" t="s">
        <v>2323</v>
      </c>
      <c r="J481" s="63">
        <v>2023</v>
      </c>
      <c r="K481" s="59" t="s">
        <v>17</v>
      </c>
      <c r="L481" s="59" t="s">
        <v>3635</v>
      </c>
      <c r="M481" s="58" t="s">
        <v>234</v>
      </c>
      <c r="N481" s="58" t="s">
        <v>1734</v>
      </c>
      <c r="O481" s="58" t="s">
        <v>3305</v>
      </c>
      <c r="P481" s="58" t="s">
        <v>17</v>
      </c>
      <c r="Q481" s="58" t="s">
        <v>3523</v>
      </c>
    </row>
    <row r="482" spans="1:17" ht="12.5" x14ac:dyDescent="0.25">
      <c r="A482" s="63" t="str">
        <f t="shared" si="1"/>
        <v>003/2024/094.540.994-00</v>
      </c>
      <c r="B482" s="63" t="s">
        <v>3191</v>
      </c>
      <c r="C482" s="65">
        <v>45444.282794837964</v>
      </c>
      <c r="D482" s="63" t="s">
        <v>3192</v>
      </c>
      <c r="E482" s="63"/>
      <c r="F482" s="63" t="s">
        <v>3193</v>
      </c>
      <c r="G482" s="63" t="s">
        <v>3191</v>
      </c>
      <c r="H482" s="63" t="s">
        <v>1747</v>
      </c>
      <c r="I482" s="63" t="s">
        <v>3636</v>
      </c>
      <c r="J482" s="63">
        <v>2024</v>
      </c>
      <c r="K482" s="59" t="s">
        <v>16</v>
      </c>
      <c r="L482" s="59" t="s">
        <v>3637</v>
      </c>
      <c r="M482" s="58" t="s">
        <v>234</v>
      </c>
      <c r="N482" s="58" t="s">
        <v>1734</v>
      </c>
      <c r="O482" s="58" t="s">
        <v>3638</v>
      </c>
      <c r="P482" s="58" t="s">
        <v>16</v>
      </c>
      <c r="Q482" s="58" t="s">
        <v>3639</v>
      </c>
    </row>
    <row r="483" spans="1:17" ht="12.5" x14ac:dyDescent="0.25">
      <c r="A483" s="63" t="str">
        <f t="shared" si="1"/>
        <v>031/2023/919.699.644-72</v>
      </c>
      <c r="B483" s="63" t="s">
        <v>3310</v>
      </c>
      <c r="C483" s="65">
        <v>45447.3683346412</v>
      </c>
      <c r="D483" s="63" t="s">
        <v>3311</v>
      </c>
      <c r="E483" s="63"/>
      <c r="F483" s="63" t="s">
        <v>3312</v>
      </c>
      <c r="G483" s="63" t="s">
        <v>3310</v>
      </c>
      <c r="H483" s="63" t="s">
        <v>1747</v>
      </c>
      <c r="I483" s="63" t="s">
        <v>3350</v>
      </c>
      <c r="J483" s="63">
        <v>2023</v>
      </c>
      <c r="K483" s="59" t="s">
        <v>16</v>
      </c>
      <c r="L483" s="59" t="s">
        <v>3640</v>
      </c>
      <c r="M483" s="58" t="s">
        <v>234</v>
      </c>
      <c r="N483" s="58" t="s">
        <v>1734</v>
      </c>
      <c r="O483" s="58" t="s">
        <v>3352</v>
      </c>
      <c r="P483" s="58" t="s">
        <v>16</v>
      </c>
      <c r="Q483" s="58" t="s">
        <v>3523</v>
      </c>
    </row>
    <row r="484" spans="1:17" ht="12.5" x14ac:dyDescent="0.25">
      <c r="A484" s="63" t="str">
        <f t="shared" si="1"/>
        <v>003/2024/083.661.044-00</v>
      </c>
      <c r="B484" s="63" t="s">
        <v>3641</v>
      </c>
      <c r="C484" s="65">
        <v>45447.768323449069</v>
      </c>
      <c r="D484" s="63" t="s">
        <v>3642</v>
      </c>
      <c r="E484" s="63"/>
      <c r="F484" s="63" t="s">
        <v>3643</v>
      </c>
      <c r="G484" s="63" t="s">
        <v>3641</v>
      </c>
      <c r="H484" s="63" t="s">
        <v>1747</v>
      </c>
      <c r="I484" s="63" t="s">
        <v>3636</v>
      </c>
      <c r="J484" s="63">
        <v>2024</v>
      </c>
      <c r="K484" s="59" t="s">
        <v>16</v>
      </c>
      <c r="L484" s="59" t="s">
        <v>3644</v>
      </c>
      <c r="M484" s="58" t="s">
        <v>234</v>
      </c>
      <c r="N484" s="58" t="s">
        <v>1734</v>
      </c>
      <c r="O484" s="58" t="s">
        <v>3638</v>
      </c>
      <c r="P484" s="58" t="s">
        <v>16</v>
      </c>
      <c r="Q484" s="58" t="s">
        <v>3639</v>
      </c>
    </row>
    <row r="485" spans="1:17" ht="12.5" x14ac:dyDescent="0.25">
      <c r="A485" s="63" t="str">
        <f t="shared" si="1"/>
        <v>015/2023/021.375.914-48</v>
      </c>
      <c r="B485" s="63" t="s">
        <v>3645</v>
      </c>
      <c r="C485" s="65">
        <v>45470.519569178243</v>
      </c>
      <c r="D485" s="63" t="s">
        <v>3646</v>
      </c>
      <c r="E485" s="63"/>
      <c r="F485" s="63" t="s">
        <v>3647</v>
      </c>
      <c r="G485" s="63" t="s">
        <v>3645</v>
      </c>
      <c r="H485" s="63" t="s">
        <v>1747</v>
      </c>
      <c r="I485" s="63" t="s">
        <v>2509</v>
      </c>
      <c r="J485" s="63">
        <v>2023</v>
      </c>
      <c r="K485" s="59" t="s">
        <v>16</v>
      </c>
      <c r="L485" s="59" t="s">
        <v>3648</v>
      </c>
      <c r="M485" s="58" t="s">
        <v>234</v>
      </c>
      <c r="N485" s="58" t="s">
        <v>1734</v>
      </c>
      <c r="O485" s="58" t="s">
        <v>3190</v>
      </c>
      <c r="P485" s="58" t="s">
        <v>16</v>
      </c>
    </row>
    <row r="486" spans="1:17" ht="12.5" x14ac:dyDescent="0.25">
      <c r="A486" s="63" t="str">
        <f t="shared" si="1"/>
        <v>001/2024/109.803.354-00</v>
      </c>
      <c r="B486" s="63" t="s">
        <v>3649</v>
      </c>
      <c r="C486" s="65">
        <v>45477.614082719912</v>
      </c>
      <c r="D486" s="63" t="s">
        <v>3650</v>
      </c>
      <c r="E486" s="63"/>
      <c r="F486" s="63" t="s">
        <v>3651</v>
      </c>
      <c r="G486" s="63" t="s">
        <v>3649</v>
      </c>
      <c r="H486" s="63" t="s">
        <v>1747</v>
      </c>
      <c r="I486" s="63" t="s">
        <v>2279</v>
      </c>
      <c r="J486" s="63">
        <v>2024</v>
      </c>
      <c r="K486" s="59" t="s">
        <v>18</v>
      </c>
      <c r="L486" s="59" t="s">
        <v>3652</v>
      </c>
      <c r="M486" s="58" t="s">
        <v>234</v>
      </c>
      <c r="N486" s="58" t="s">
        <v>1734</v>
      </c>
      <c r="O486" s="58" t="s">
        <v>3653</v>
      </c>
      <c r="P486" s="58" t="s">
        <v>18</v>
      </c>
    </row>
    <row r="487" spans="1:17" ht="12.5" x14ac:dyDescent="0.25">
      <c r="A487" s="63" t="str">
        <f t="shared" si="1"/>
        <v>003/2024/110.947.134-30</v>
      </c>
      <c r="B487" s="63" t="s">
        <v>3654</v>
      </c>
      <c r="C487" s="65">
        <v>45478.635970150463</v>
      </c>
      <c r="D487" s="63" t="s">
        <v>3655</v>
      </c>
      <c r="E487" s="63"/>
      <c r="F487" s="63" t="s">
        <v>3656</v>
      </c>
      <c r="G487" s="63" t="s">
        <v>3654</v>
      </c>
      <c r="H487" s="63" t="s">
        <v>1747</v>
      </c>
      <c r="I487" s="63" t="s">
        <v>3636</v>
      </c>
      <c r="J487" s="63">
        <v>2024</v>
      </c>
      <c r="K487" s="59" t="s">
        <v>16</v>
      </c>
      <c r="L487" s="59" t="s">
        <v>3657</v>
      </c>
      <c r="M487" s="58" t="s">
        <v>234</v>
      </c>
      <c r="N487" s="58" t="s">
        <v>1734</v>
      </c>
      <c r="O487" s="58" t="s">
        <v>3638</v>
      </c>
      <c r="P487" s="58" t="s">
        <v>16</v>
      </c>
    </row>
    <row r="488" spans="1:17" ht="12.5" x14ac:dyDescent="0.25">
      <c r="A488" s="63" t="str">
        <f t="shared" si="1"/>
        <v>016/2023/096.369.144-94</v>
      </c>
      <c r="B488" s="63" t="s">
        <v>3658</v>
      </c>
      <c r="C488" s="65">
        <v>45481.59428445602</v>
      </c>
      <c r="D488" s="63" t="s">
        <v>3659</v>
      </c>
      <c r="E488" s="63"/>
      <c r="F488" s="63" t="s">
        <v>3660</v>
      </c>
      <c r="G488" s="63" t="s">
        <v>3658</v>
      </c>
      <c r="H488" s="63" t="s">
        <v>1747</v>
      </c>
      <c r="I488" s="63" t="s">
        <v>3471</v>
      </c>
      <c r="J488" s="63">
        <v>2023</v>
      </c>
      <c r="K488" s="59" t="s">
        <v>17</v>
      </c>
      <c r="L488" s="59" t="s">
        <v>3661</v>
      </c>
      <c r="M488" s="58" t="s">
        <v>234</v>
      </c>
      <c r="N488" s="58" t="s">
        <v>1734</v>
      </c>
      <c r="O488" s="58" t="s">
        <v>3473</v>
      </c>
      <c r="P488" s="58" t="s">
        <v>17</v>
      </c>
    </row>
    <row r="489" spans="1:17" ht="12.5" x14ac:dyDescent="0.25">
      <c r="A489" s="63" t="str">
        <f t="shared" si="1"/>
        <v>031/2023/084.175.114-58</v>
      </c>
      <c r="B489" s="63" t="s">
        <v>3662</v>
      </c>
      <c r="C489" s="65">
        <v>45482.639698148152</v>
      </c>
      <c r="D489" s="63" t="s">
        <v>3663</v>
      </c>
      <c r="E489" s="63"/>
      <c r="F489" s="63" t="s">
        <v>3664</v>
      </c>
      <c r="G489" s="63" t="s">
        <v>3662</v>
      </c>
      <c r="H489" s="63" t="s">
        <v>1747</v>
      </c>
      <c r="I489" s="63" t="s">
        <v>3350</v>
      </c>
      <c r="J489" s="63">
        <v>2023</v>
      </c>
      <c r="K489" s="59" t="s">
        <v>16</v>
      </c>
      <c r="L489" s="59" t="s">
        <v>3665</v>
      </c>
      <c r="M489" s="58" t="s">
        <v>234</v>
      </c>
      <c r="N489" s="58" t="s">
        <v>1734</v>
      </c>
      <c r="O489" s="58" t="s">
        <v>3352</v>
      </c>
      <c r="P489" s="58" t="s">
        <v>16</v>
      </c>
    </row>
    <row r="490" spans="1:17" ht="12.5" x14ac:dyDescent="0.25">
      <c r="A490" s="63" t="str">
        <f t="shared" si="1"/>
        <v>001/2024/076.123.274-57</v>
      </c>
      <c r="B490" s="63" t="s">
        <v>3666</v>
      </c>
      <c r="C490" s="65">
        <v>45482.878677916669</v>
      </c>
      <c r="D490" s="63" t="s">
        <v>3667</v>
      </c>
      <c r="E490" s="63"/>
      <c r="F490" s="63" t="s">
        <v>3668</v>
      </c>
      <c r="G490" s="63" t="s">
        <v>3666</v>
      </c>
      <c r="H490" s="63" t="s">
        <v>1747</v>
      </c>
      <c r="I490" s="63" t="s">
        <v>2279</v>
      </c>
      <c r="J490" s="63">
        <v>2024</v>
      </c>
      <c r="K490" s="59" t="s">
        <v>17</v>
      </c>
      <c r="L490" s="59" t="s">
        <v>3669</v>
      </c>
      <c r="M490" s="58" t="s">
        <v>234</v>
      </c>
      <c r="N490" s="58" t="s">
        <v>1734</v>
      </c>
      <c r="O490" s="58" t="s">
        <v>3653</v>
      </c>
      <c r="P490" s="58" t="s">
        <v>17</v>
      </c>
    </row>
    <row r="491" spans="1:17" ht="12.5" x14ac:dyDescent="0.25">
      <c r="A491" s="63" t="str">
        <f t="shared" si="1"/>
        <v>003/2024/041.071.894-73</v>
      </c>
      <c r="B491" s="63" t="s">
        <v>3670</v>
      </c>
      <c r="C491" s="65">
        <v>45490.452749918986</v>
      </c>
      <c r="D491" s="63" t="s">
        <v>3671</v>
      </c>
      <c r="E491" s="63"/>
      <c r="F491" s="63" t="s">
        <v>3672</v>
      </c>
      <c r="G491" s="63" t="s">
        <v>3670</v>
      </c>
      <c r="H491" s="63" t="s">
        <v>1747</v>
      </c>
      <c r="I491" s="63" t="s">
        <v>3636</v>
      </c>
      <c r="J491" s="63">
        <v>2024</v>
      </c>
      <c r="K491" s="59" t="s">
        <v>16</v>
      </c>
      <c r="L491" s="59" t="s">
        <v>3673</v>
      </c>
      <c r="M491" s="58" t="s">
        <v>234</v>
      </c>
      <c r="N491" s="58" t="s">
        <v>1734</v>
      </c>
      <c r="O491" s="58" t="s">
        <v>3638</v>
      </c>
      <c r="P491" s="58" t="s">
        <v>16</v>
      </c>
    </row>
    <row r="492" spans="1:17" ht="12.5" x14ac:dyDescent="0.25">
      <c r="A492" s="63" t="str">
        <f t="shared" si="1"/>
        <v>031/2023/055.272.274-09</v>
      </c>
      <c r="B492" s="63" t="s">
        <v>3674</v>
      </c>
      <c r="C492" s="65">
        <v>45491.651331574074</v>
      </c>
      <c r="D492" s="63" t="s">
        <v>3675</v>
      </c>
      <c r="E492" s="63"/>
      <c r="F492" s="63" t="s">
        <v>3676</v>
      </c>
      <c r="G492" s="63" t="s">
        <v>3674</v>
      </c>
      <c r="H492" s="63" t="s">
        <v>1747</v>
      </c>
      <c r="I492" s="63" t="s">
        <v>3350</v>
      </c>
      <c r="J492" s="63">
        <v>2023</v>
      </c>
      <c r="K492" s="59" t="s">
        <v>16</v>
      </c>
      <c r="L492" s="59" t="s">
        <v>3677</v>
      </c>
      <c r="M492" s="58" t="s">
        <v>234</v>
      </c>
      <c r="N492" s="58" t="s">
        <v>1734</v>
      </c>
      <c r="O492" s="58" t="s">
        <v>3352</v>
      </c>
      <c r="P492" s="58" t="s">
        <v>16</v>
      </c>
    </row>
    <row r="493" spans="1:17" ht="12.5" x14ac:dyDescent="0.25">
      <c r="A493" s="63" t="str">
        <f t="shared" si="1"/>
        <v>015/2023/075.013.884-07</v>
      </c>
      <c r="B493" s="63" t="s">
        <v>3678</v>
      </c>
      <c r="C493" s="65">
        <v>45492.439216192128</v>
      </c>
      <c r="D493" s="63" t="s">
        <v>3679</v>
      </c>
      <c r="E493" s="63"/>
      <c r="F493" s="63" t="s">
        <v>3680</v>
      </c>
      <c r="G493" s="63" t="s">
        <v>3678</v>
      </c>
      <c r="H493" s="63" t="s">
        <v>1747</v>
      </c>
      <c r="I493" s="63" t="s">
        <v>2509</v>
      </c>
      <c r="J493" s="63">
        <v>2023</v>
      </c>
      <c r="K493" s="59" t="s">
        <v>16</v>
      </c>
      <c r="L493" s="59" t="s">
        <v>3681</v>
      </c>
      <c r="M493" s="58" t="s">
        <v>234</v>
      </c>
      <c r="N493" s="58" t="s">
        <v>1734</v>
      </c>
      <c r="O493" s="58" t="s">
        <v>3190</v>
      </c>
      <c r="P493" s="58" t="s">
        <v>16</v>
      </c>
    </row>
    <row r="494" spans="1:17" ht="12.5" x14ac:dyDescent="0.25">
      <c r="A494" s="63" t="str">
        <f t="shared" si="1"/>
        <v>030/2023/031.185.864-35</v>
      </c>
      <c r="B494" s="63" t="s">
        <v>3682</v>
      </c>
      <c r="C494" s="65">
        <v>45492.616773483795</v>
      </c>
      <c r="D494" s="63" t="s">
        <v>3683</v>
      </c>
      <c r="E494" s="63"/>
      <c r="F494" s="63" t="s">
        <v>3684</v>
      </c>
      <c r="G494" s="63" t="s">
        <v>3682</v>
      </c>
      <c r="H494" s="63" t="s">
        <v>1747</v>
      </c>
      <c r="I494" s="63" t="s">
        <v>3542</v>
      </c>
      <c r="J494" s="63">
        <v>2023</v>
      </c>
      <c r="K494" s="59" t="s">
        <v>17</v>
      </c>
      <c r="L494" s="59" t="s">
        <v>3685</v>
      </c>
      <c r="M494" s="58" t="s">
        <v>234</v>
      </c>
      <c r="N494" s="58" t="s">
        <v>1734</v>
      </c>
      <c r="O494" s="58" t="s">
        <v>3544</v>
      </c>
      <c r="P494" s="58" t="s">
        <v>17</v>
      </c>
    </row>
    <row r="495" spans="1:17" ht="12.5" x14ac:dyDescent="0.25">
      <c r="A495" s="63" t="str">
        <f t="shared" si="1"/>
        <v>054/2022/067.366.204-73</v>
      </c>
      <c r="B495" s="63" t="s">
        <v>3686</v>
      </c>
      <c r="C495" s="65">
        <v>45495.420756458334</v>
      </c>
      <c r="D495" s="63" t="s">
        <v>3687</v>
      </c>
      <c r="E495" s="63"/>
      <c r="F495" s="63" t="s">
        <v>3688</v>
      </c>
      <c r="G495" s="63" t="s">
        <v>3686</v>
      </c>
      <c r="H495" s="63" t="s">
        <v>1747</v>
      </c>
      <c r="I495" s="63" t="s">
        <v>3023</v>
      </c>
      <c r="J495" s="63">
        <v>2022</v>
      </c>
      <c r="K495" s="59" t="s">
        <v>16</v>
      </c>
      <c r="L495" s="59" t="s">
        <v>3689</v>
      </c>
      <c r="M495" s="58" t="s">
        <v>234</v>
      </c>
      <c r="N495" s="58" t="s">
        <v>1734</v>
      </c>
      <c r="O495" s="58" t="s">
        <v>3025</v>
      </c>
      <c r="P495" s="58" t="s">
        <v>16</v>
      </c>
    </row>
    <row r="496" spans="1:17" ht="12.5" x14ac:dyDescent="0.25">
      <c r="A496" s="63" t="str">
        <f t="shared" si="1"/>
        <v>016/2023/060.681.394-25</v>
      </c>
      <c r="B496" s="63" t="s">
        <v>3389</v>
      </c>
      <c r="C496" s="65">
        <v>45496.383294594911</v>
      </c>
      <c r="D496" s="63" t="s">
        <v>3690</v>
      </c>
      <c r="E496" s="63"/>
      <c r="F496" s="63" t="s">
        <v>3388</v>
      </c>
      <c r="G496" s="63" t="s">
        <v>3389</v>
      </c>
      <c r="H496" s="63" t="s">
        <v>1747</v>
      </c>
      <c r="I496" s="63" t="s">
        <v>3471</v>
      </c>
      <c r="J496" s="63">
        <v>2023</v>
      </c>
      <c r="K496" s="59" t="s">
        <v>17</v>
      </c>
      <c r="L496" s="59" t="s">
        <v>3691</v>
      </c>
      <c r="M496" s="58" t="s">
        <v>234</v>
      </c>
      <c r="N496" s="58" t="s">
        <v>1734</v>
      </c>
      <c r="O496" s="58" t="s">
        <v>3473</v>
      </c>
      <c r="P496" s="58" t="s">
        <v>17</v>
      </c>
    </row>
    <row r="497" spans="1:16" ht="12.5" x14ac:dyDescent="0.25">
      <c r="A497" s="63" t="str">
        <f t="shared" si="1"/>
        <v>016/2023/089.330.684-30</v>
      </c>
      <c r="B497" s="63" t="s">
        <v>3692</v>
      </c>
      <c r="C497" s="65">
        <v>45496.650650532407</v>
      </c>
      <c r="D497" s="63" t="s">
        <v>3693</v>
      </c>
      <c r="E497" s="63"/>
      <c r="F497" s="63" t="s">
        <v>3694</v>
      </c>
      <c r="G497" s="63" t="s">
        <v>3692</v>
      </c>
      <c r="H497" s="63" t="s">
        <v>1747</v>
      </c>
      <c r="I497" s="63" t="s">
        <v>3471</v>
      </c>
      <c r="J497" s="63">
        <v>2023</v>
      </c>
      <c r="K497" s="59" t="s">
        <v>17</v>
      </c>
      <c r="L497" s="59" t="s">
        <v>3695</v>
      </c>
      <c r="M497" s="58" t="s">
        <v>234</v>
      </c>
      <c r="N497" s="58" t="s">
        <v>1734</v>
      </c>
      <c r="O497" s="58" t="s">
        <v>3473</v>
      </c>
      <c r="P497" s="58" t="s">
        <v>17</v>
      </c>
    </row>
    <row r="498" spans="1:16" ht="12.5" x14ac:dyDescent="0.25">
      <c r="A498" s="63" t="str">
        <f t="shared" si="1"/>
        <v>031/2023/097.513.794-82</v>
      </c>
      <c r="B498" s="63" t="s">
        <v>3696</v>
      </c>
      <c r="C498" s="65">
        <v>45504.731918055557</v>
      </c>
      <c r="D498" s="63" t="s">
        <v>3697</v>
      </c>
      <c r="E498" s="63"/>
      <c r="F498" s="63" t="s">
        <v>3698</v>
      </c>
      <c r="G498" s="63" t="s">
        <v>3696</v>
      </c>
      <c r="H498" s="63" t="s">
        <v>1747</v>
      </c>
      <c r="I498" s="63" t="s">
        <v>3350</v>
      </c>
      <c r="J498" s="63">
        <v>2023</v>
      </c>
      <c r="K498" s="59" t="s">
        <v>16</v>
      </c>
      <c r="L498" s="59" t="s">
        <v>3699</v>
      </c>
      <c r="M498" s="58" t="s">
        <v>234</v>
      </c>
      <c r="N498" s="58" t="s">
        <v>1734</v>
      </c>
      <c r="O498" s="58" t="s">
        <v>3352</v>
      </c>
      <c r="P498" s="58" t="s">
        <v>16</v>
      </c>
    </row>
    <row r="499" spans="1:16" ht="12.5" x14ac:dyDescent="0.25">
      <c r="A499" s="63" t="str">
        <f t="shared" si="1"/>
        <v>055/2022/087.014.574-62</v>
      </c>
      <c r="B499" s="63" t="s">
        <v>3700</v>
      </c>
      <c r="C499" s="65">
        <v>45504.910565740742</v>
      </c>
      <c r="D499" s="63" t="s">
        <v>3701</v>
      </c>
      <c r="E499" s="63"/>
      <c r="F499" s="63" t="s">
        <v>3702</v>
      </c>
      <c r="G499" s="63" t="s">
        <v>3700</v>
      </c>
      <c r="H499" s="63" t="s">
        <v>1747</v>
      </c>
      <c r="I499" s="63" t="s">
        <v>3011</v>
      </c>
      <c r="J499" s="63">
        <v>2022</v>
      </c>
      <c r="K499" s="59" t="s">
        <v>17</v>
      </c>
      <c r="L499" s="59" t="s">
        <v>3703</v>
      </c>
      <c r="M499" s="58" t="s">
        <v>234</v>
      </c>
      <c r="N499" s="58" t="s">
        <v>1734</v>
      </c>
      <c r="O499" s="58" t="s">
        <v>3013</v>
      </c>
      <c r="P499" s="58" t="s">
        <v>17</v>
      </c>
    </row>
    <row r="500" spans="1:16" ht="12.5" x14ac:dyDescent="0.25">
      <c r="A500" s="63" t="str">
        <f t="shared" si="1"/>
        <v>055/2022/102.221.004-19</v>
      </c>
      <c r="B500" s="63" t="s">
        <v>3704</v>
      </c>
      <c r="C500" s="65">
        <v>45506.419372893521</v>
      </c>
      <c r="D500" s="63" t="s">
        <v>3705</v>
      </c>
      <c r="E500" s="63"/>
      <c r="F500" s="63" t="s">
        <v>3706</v>
      </c>
      <c r="G500" s="63" t="s">
        <v>3704</v>
      </c>
      <c r="H500" s="63" t="s">
        <v>1747</v>
      </c>
      <c r="I500" s="63" t="s">
        <v>3011</v>
      </c>
      <c r="J500" s="63">
        <v>2022</v>
      </c>
      <c r="K500" s="59" t="s">
        <v>17</v>
      </c>
      <c r="L500" s="59" t="s">
        <v>3707</v>
      </c>
      <c r="M500" s="58" t="s">
        <v>234</v>
      </c>
      <c r="N500" s="58" t="s">
        <v>1734</v>
      </c>
      <c r="O500" s="58" t="s">
        <v>3013</v>
      </c>
      <c r="P500" s="58" t="s">
        <v>17</v>
      </c>
    </row>
    <row r="501" spans="1:16" ht="12.5" x14ac:dyDescent="0.25">
      <c r="A501" s="63" t="str">
        <f t="shared" si="1"/>
        <v>015/2023/076.675.414-69</v>
      </c>
      <c r="B501" s="63" t="s">
        <v>3708</v>
      </c>
      <c r="C501" s="65">
        <v>45516.61714934028</v>
      </c>
      <c r="D501" s="63" t="s">
        <v>3709</v>
      </c>
      <c r="E501" s="63"/>
      <c r="F501" s="63" t="s">
        <v>3710</v>
      </c>
      <c r="G501" s="63" t="s">
        <v>3708</v>
      </c>
      <c r="H501" s="63" t="s">
        <v>1747</v>
      </c>
      <c r="I501" s="63" t="s">
        <v>2509</v>
      </c>
      <c r="J501" s="63">
        <v>2023</v>
      </c>
      <c r="K501" s="59" t="s">
        <v>16</v>
      </c>
      <c r="L501" s="59" t="s">
        <v>3711</v>
      </c>
      <c r="M501" s="58" t="s">
        <v>234</v>
      </c>
      <c r="N501" s="58" t="s">
        <v>1734</v>
      </c>
      <c r="O501" s="58" t="s">
        <v>3190</v>
      </c>
      <c r="P501" s="58" t="s">
        <v>16</v>
      </c>
    </row>
    <row r="502" spans="1:16" ht="12.5" x14ac:dyDescent="0.25">
      <c r="A502" s="63" t="str">
        <f t="shared" si="1"/>
        <v>015/2023/082.551.894-67</v>
      </c>
      <c r="B502" s="63" t="s">
        <v>3712</v>
      </c>
      <c r="C502" s="65">
        <v>45520.658749270835</v>
      </c>
      <c r="D502" s="63" t="s">
        <v>3713</v>
      </c>
      <c r="E502" s="63"/>
      <c r="F502" s="63" t="s">
        <v>3714</v>
      </c>
      <c r="G502" s="63" t="s">
        <v>3712</v>
      </c>
      <c r="H502" s="63" t="s">
        <v>1747</v>
      </c>
      <c r="I502" s="63" t="s">
        <v>2509</v>
      </c>
      <c r="J502" s="63">
        <v>2023</v>
      </c>
      <c r="K502" s="59" t="s">
        <v>16</v>
      </c>
      <c r="L502" s="59" t="s">
        <v>3715</v>
      </c>
      <c r="M502" s="58" t="s">
        <v>234</v>
      </c>
      <c r="N502" s="58" t="s">
        <v>1734</v>
      </c>
      <c r="O502" s="58" t="s">
        <v>3190</v>
      </c>
      <c r="P502" s="58" t="s">
        <v>16</v>
      </c>
    </row>
    <row r="503" spans="1:16" ht="12.5" x14ac:dyDescent="0.25">
      <c r="A503" s="63" t="str">
        <f t="shared" si="1"/>
        <v>015/2023/061.680.244-76</v>
      </c>
      <c r="B503" s="63" t="s">
        <v>3716</v>
      </c>
      <c r="C503" s="65">
        <v>45523.482598263887</v>
      </c>
      <c r="D503" s="63" t="s">
        <v>3717</v>
      </c>
      <c r="E503" s="63"/>
      <c r="F503" s="63" t="s">
        <v>3718</v>
      </c>
      <c r="G503" s="63" t="s">
        <v>3716</v>
      </c>
      <c r="H503" s="63" t="s">
        <v>1747</v>
      </c>
      <c r="I503" s="63" t="s">
        <v>2509</v>
      </c>
      <c r="J503" s="63">
        <v>2023</v>
      </c>
      <c r="K503" s="59" t="s">
        <v>16</v>
      </c>
      <c r="L503" s="59" t="s">
        <v>3719</v>
      </c>
      <c r="M503" s="58" t="s">
        <v>234</v>
      </c>
      <c r="N503" s="58" t="s">
        <v>1734</v>
      </c>
      <c r="O503" s="58" t="s">
        <v>3190</v>
      </c>
      <c r="P503" s="58" t="s">
        <v>16</v>
      </c>
    </row>
    <row r="504" spans="1:16" ht="12.5" x14ac:dyDescent="0.25">
      <c r="A504" s="63" t="str">
        <f t="shared" si="1"/>
        <v>015/2023/061.680.244-76</v>
      </c>
      <c r="B504" s="63" t="s">
        <v>3716</v>
      </c>
      <c r="C504" s="65">
        <v>45523.610664236112</v>
      </c>
      <c r="D504" s="63" t="s">
        <v>3717</v>
      </c>
      <c r="E504" s="63"/>
      <c r="F504" s="63" t="s">
        <v>3718</v>
      </c>
      <c r="G504" s="63" t="s">
        <v>3716</v>
      </c>
      <c r="H504" s="63" t="s">
        <v>1747</v>
      </c>
      <c r="I504" s="63" t="s">
        <v>2509</v>
      </c>
      <c r="J504" s="63">
        <v>2023</v>
      </c>
      <c r="K504" s="59" t="s">
        <v>16</v>
      </c>
      <c r="L504" s="59" t="s">
        <v>3720</v>
      </c>
      <c r="M504" s="58" t="s">
        <v>234</v>
      </c>
      <c r="N504" s="58" t="s">
        <v>1734</v>
      </c>
      <c r="O504" s="58" t="s">
        <v>3190</v>
      </c>
      <c r="P504" s="58" t="s">
        <v>16</v>
      </c>
    </row>
    <row r="505" spans="1:16" ht="12.5" x14ac:dyDescent="0.25">
      <c r="A505" s="63" t="str">
        <f t="shared" si="1"/>
        <v>055/2022/036.279.144-90</v>
      </c>
      <c r="B505" s="63" t="s">
        <v>3721</v>
      </c>
      <c r="C505" s="65">
        <v>45539.758316273146</v>
      </c>
      <c r="D505" s="63" t="s">
        <v>3722</v>
      </c>
      <c r="E505" s="63"/>
      <c r="F505" s="63" t="s">
        <v>3723</v>
      </c>
      <c r="G505" s="63" t="s">
        <v>3721</v>
      </c>
      <c r="H505" s="63" t="s">
        <v>1747</v>
      </c>
      <c r="I505" s="63" t="s">
        <v>3011</v>
      </c>
      <c r="J505" s="63">
        <v>2022</v>
      </c>
      <c r="K505" s="59" t="s">
        <v>17</v>
      </c>
      <c r="L505" s="59" t="s">
        <v>3724</v>
      </c>
      <c r="M505" s="58" t="s">
        <v>234</v>
      </c>
      <c r="N505" s="58" t="s">
        <v>1734</v>
      </c>
      <c r="O505" s="58" t="s">
        <v>3013</v>
      </c>
      <c r="P505" s="58" t="s">
        <v>17</v>
      </c>
    </row>
    <row r="506" spans="1:16" ht="12.5" x14ac:dyDescent="0.25">
      <c r="A506" s="63" t="str">
        <f t="shared" si="1"/>
        <v>0002/2024/467.939.254-15</v>
      </c>
      <c r="B506" s="63" t="s">
        <v>3725</v>
      </c>
      <c r="C506" s="65">
        <v>45544.761342986109</v>
      </c>
      <c r="D506" s="63" t="s">
        <v>3726</v>
      </c>
      <c r="E506" s="63" t="s">
        <v>3727</v>
      </c>
      <c r="F506" s="63" t="s">
        <v>3726</v>
      </c>
      <c r="G506" s="63" t="s">
        <v>3725</v>
      </c>
      <c r="H506" s="63" t="s">
        <v>1740</v>
      </c>
      <c r="I506" s="66" t="s">
        <v>3728</v>
      </c>
      <c r="J506" s="63">
        <v>2024</v>
      </c>
      <c r="K506" s="59" t="s">
        <v>232</v>
      </c>
      <c r="L506" s="59" t="s">
        <v>3729</v>
      </c>
      <c r="M506" s="58" t="s">
        <v>234</v>
      </c>
      <c r="N506" s="58" t="s">
        <v>1734</v>
      </c>
      <c r="O506" s="58" t="s">
        <v>3730</v>
      </c>
      <c r="P506" s="58" t="s">
        <v>3731</v>
      </c>
    </row>
    <row r="507" spans="1:16" ht="12.5" x14ac:dyDescent="0.25">
      <c r="A507" s="63" t="str">
        <f t="shared" si="1"/>
        <v>003/2024/126.718.044-74</v>
      </c>
      <c r="B507" s="63" t="s">
        <v>2768</v>
      </c>
      <c r="C507" s="65">
        <v>45545.437418981484</v>
      </c>
      <c r="D507" s="63" t="s">
        <v>2769</v>
      </c>
      <c r="E507" s="63"/>
      <c r="F507" s="63" t="s">
        <v>2770</v>
      </c>
      <c r="G507" s="63" t="s">
        <v>2768</v>
      </c>
      <c r="H507" s="63" t="s">
        <v>1747</v>
      </c>
      <c r="I507" s="63" t="s">
        <v>3636</v>
      </c>
      <c r="J507" s="63">
        <v>2024</v>
      </c>
      <c r="K507" s="59" t="s">
        <v>16</v>
      </c>
      <c r="L507" s="59" t="s">
        <v>3732</v>
      </c>
      <c r="M507" s="58" t="s">
        <v>234</v>
      </c>
      <c r="N507" s="58" t="s">
        <v>1734</v>
      </c>
      <c r="O507" s="58" t="s">
        <v>3733</v>
      </c>
      <c r="P507" s="58" t="s">
        <v>16</v>
      </c>
    </row>
    <row r="508" spans="1:16" ht="12.5" x14ac:dyDescent="0.25">
      <c r="A508" s="63" t="str">
        <f t="shared" si="1"/>
        <v>019/2023/101.832.557-39</v>
      </c>
      <c r="B508" s="63" t="s">
        <v>3734</v>
      </c>
      <c r="C508" s="65">
        <v>45551.660074930551</v>
      </c>
      <c r="D508" s="63" t="s">
        <v>3735</v>
      </c>
      <c r="E508" s="63"/>
      <c r="F508" s="63" t="s">
        <v>3736</v>
      </c>
      <c r="G508" s="63" t="s">
        <v>3734</v>
      </c>
      <c r="H508" s="63" t="s">
        <v>1747</v>
      </c>
      <c r="I508" s="63" t="s">
        <v>2256</v>
      </c>
      <c r="J508" s="63">
        <v>2023</v>
      </c>
      <c r="K508" s="59" t="s">
        <v>16</v>
      </c>
      <c r="L508" s="59" t="s">
        <v>3737</v>
      </c>
      <c r="M508" s="58" t="s">
        <v>234</v>
      </c>
      <c r="N508" s="58" t="s">
        <v>1734</v>
      </c>
      <c r="O508" s="58" t="s">
        <v>3226</v>
      </c>
      <c r="P508" s="58" t="s">
        <v>16</v>
      </c>
    </row>
    <row r="509" spans="1:16" ht="12.5" x14ac:dyDescent="0.25">
      <c r="A509" s="63" t="str">
        <f t="shared" si="1"/>
        <v>054/2022/108.181.824-74</v>
      </c>
      <c r="B509" s="63" t="s">
        <v>3014</v>
      </c>
      <c r="C509" s="65">
        <v>45613.932508090278</v>
      </c>
      <c r="D509" s="63" t="s">
        <v>3738</v>
      </c>
      <c r="E509" s="63"/>
      <c r="F509" s="63" t="s">
        <v>3739</v>
      </c>
      <c r="G509" s="63" t="s">
        <v>3014</v>
      </c>
      <c r="H509" s="63" t="s">
        <v>1747</v>
      </c>
      <c r="I509" s="63" t="s">
        <v>3023</v>
      </c>
      <c r="J509" s="63">
        <v>2022</v>
      </c>
      <c r="K509" s="59" t="s">
        <v>16</v>
      </c>
      <c r="L509" s="59" t="s">
        <v>3740</v>
      </c>
      <c r="M509" s="58" t="s">
        <v>234</v>
      </c>
      <c r="N509" s="58" t="s">
        <v>1734</v>
      </c>
      <c r="O509" s="58" t="s">
        <v>3025</v>
      </c>
      <c r="P509" s="58" t="s">
        <v>16</v>
      </c>
    </row>
    <row r="510" spans="1:16" ht="12.5" x14ac:dyDescent="0.25">
      <c r="A510" s="63" t="str">
        <f t="shared" si="1"/>
        <v>016/2024/075.970.594-18</v>
      </c>
      <c r="B510" s="63" t="s">
        <v>3741</v>
      </c>
      <c r="C510" s="65">
        <v>45649.417088101851</v>
      </c>
      <c r="D510" s="63" t="s">
        <v>3742</v>
      </c>
      <c r="E510" s="63"/>
      <c r="F510" s="63" t="s">
        <v>3743</v>
      </c>
      <c r="G510" s="63" t="s">
        <v>3741</v>
      </c>
      <c r="H510" s="63" t="s">
        <v>1747</v>
      </c>
      <c r="I510" s="63" t="s">
        <v>3471</v>
      </c>
      <c r="J510" s="63">
        <v>2024</v>
      </c>
      <c r="K510" s="59" t="s">
        <v>16</v>
      </c>
      <c r="L510" s="59" t="s">
        <v>3744</v>
      </c>
      <c r="M510" s="58" t="s">
        <v>234</v>
      </c>
      <c r="N510" s="58" t="s">
        <v>1734</v>
      </c>
      <c r="O510" s="58" t="s">
        <v>3745</v>
      </c>
      <c r="P510" s="58" t="s">
        <v>16</v>
      </c>
    </row>
    <row r="511" spans="1:16" ht="12.5" x14ac:dyDescent="0.25">
      <c r="A511" s="63" t="str">
        <f t="shared" si="1"/>
        <v>016/2024/323.529.564-04</v>
      </c>
      <c r="B511" s="63" t="s">
        <v>3746</v>
      </c>
      <c r="C511" s="65">
        <v>45649.439489780096</v>
      </c>
      <c r="D511" s="63" t="s">
        <v>3747</v>
      </c>
      <c r="E511" s="63"/>
      <c r="F511" s="63" t="s">
        <v>3748</v>
      </c>
      <c r="G511" s="63" t="s">
        <v>3746</v>
      </c>
      <c r="H511" s="63" t="s">
        <v>1747</v>
      </c>
      <c r="I511" s="63" t="s">
        <v>3471</v>
      </c>
      <c r="J511" s="63">
        <v>2024</v>
      </c>
      <c r="K511" s="59" t="s">
        <v>16</v>
      </c>
      <c r="L511" s="59" t="s">
        <v>3749</v>
      </c>
      <c r="M511" s="58" t="s">
        <v>234</v>
      </c>
      <c r="N511" s="58" t="s">
        <v>1734</v>
      </c>
      <c r="O511" s="58" t="s">
        <v>3745</v>
      </c>
      <c r="P511" s="58" t="s">
        <v>16</v>
      </c>
    </row>
    <row r="512" spans="1:16" ht="12.5" x14ac:dyDescent="0.25">
      <c r="A512" s="63" t="str">
        <f t="shared" si="1"/>
        <v>016/2024/082.618.674-20</v>
      </c>
      <c r="B512" s="63" t="s">
        <v>3750</v>
      </c>
      <c r="C512" s="65">
        <v>45649.461426956019</v>
      </c>
      <c r="D512" s="63" t="s">
        <v>3751</v>
      </c>
      <c r="E512" s="63"/>
      <c r="F512" s="63" t="s">
        <v>3752</v>
      </c>
      <c r="G512" s="63" t="s">
        <v>3750</v>
      </c>
      <c r="H512" s="63" t="s">
        <v>1747</v>
      </c>
      <c r="I512" s="63" t="s">
        <v>3471</v>
      </c>
      <c r="J512" s="63">
        <v>2024</v>
      </c>
      <c r="K512" s="59" t="s">
        <v>16</v>
      </c>
      <c r="L512" s="59" t="s">
        <v>3753</v>
      </c>
      <c r="M512" s="58" t="s">
        <v>234</v>
      </c>
      <c r="N512" s="58" t="s">
        <v>1734</v>
      </c>
      <c r="O512" s="58" t="s">
        <v>3745</v>
      </c>
      <c r="P512" s="58" t="s">
        <v>16</v>
      </c>
    </row>
    <row r="513" spans="1:17" ht="12.5" x14ac:dyDescent="0.25">
      <c r="A513" s="63" t="str">
        <f t="shared" si="1"/>
        <v>016/2024/228.276.908-29</v>
      </c>
      <c r="B513" s="63" t="s">
        <v>3754</v>
      </c>
      <c r="C513" s="65">
        <v>45650.29845829861</v>
      </c>
      <c r="D513" s="63" t="s">
        <v>3755</v>
      </c>
      <c r="E513" s="63"/>
      <c r="F513" s="63" t="s">
        <v>3756</v>
      </c>
      <c r="G513" s="63" t="s">
        <v>3754</v>
      </c>
      <c r="H513" s="63" t="s">
        <v>1747</v>
      </c>
      <c r="I513" s="63" t="s">
        <v>3471</v>
      </c>
      <c r="J513" s="63">
        <v>2024</v>
      </c>
      <c r="K513" s="59" t="s">
        <v>16</v>
      </c>
      <c r="L513" s="59" t="s">
        <v>3757</v>
      </c>
      <c r="M513" s="58" t="s">
        <v>234</v>
      </c>
      <c r="N513" s="58" t="s">
        <v>1734</v>
      </c>
      <c r="O513" s="58" t="s">
        <v>3745</v>
      </c>
      <c r="P513" s="58" t="s">
        <v>16</v>
      </c>
    </row>
    <row r="514" spans="1:17" ht="12.5" x14ac:dyDescent="0.25">
      <c r="A514" s="63" t="str">
        <f t="shared" si="1"/>
        <v>016/2024/109.023.854-10</v>
      </c>
      <c r="B514" s="63" t="s">
        <v>3758</v>
      </c>
      <c r="C514" s="65">
        <v>45651.57005944445</v>
      </c>
      <c r="D514" s="63" t="s">
        <v>3759</v>
      </c>
      <c r="E514" s="63"/>
      <c r="F514" s="63" t="s">
        <v>3760</v>
      </c>
      <c r="G514" s="63" t="s">
        <v>3758</v>
      </c>
      <c r="H514" s="63" t="s">
        <v>1747</v>
      </c>
      <c r="I514" s="63" t="s">
        <v>3471</v>
      </c>
      <c r="J514" s="63">
        <v>2024</v>
      </c>
      <c r="K514" s="59" t="s">
        <v>16</v>
      </c>
      <c r="L514" s="59" t="s">
        <v>3761</v>
      </c>
      <c r="M514" s="58" t="s">
        <v>234</v>
      </c>
      <c r="N514" s="58" t="s">
        <v>1734</v>
      </c>
      <c r="O514" s="58" t="s">
        <v>3745</v>
      </c>
      <c r="P514" s="58" t="s">
        <v>16</v>
      </c>
    </row>
    <row r="515" spans="1:17" ht="12.5" x14ac:dyDescent="0.25">
      <c r="A515" s="63" t="str">
        <f t="shared" si="1"/>
        <v>016/2024/059.429.914-48</v>
      </c>
      <c r="B515" s="63" t="s">
        <v>1977</v>
      </c>
      <c r="C515" s="65">
        <v>45652.479223125003</v>
      </c>
      <c r="D515" s="63" t="s">
        <v>1978</v>
      </c>
      <c r="E515" s="63"/>
      <c r="F515" s="63" t="s">
        <v>3762</v>
      </c>
      <c r="G515" s="63" t="s">
        <v>1977</v>
      </c>
      <c r="H515" s="63" t="s">
        <v>1747</v>
      </c>
      <c r="I515" s="63" t="s">
        <v>3471</v>
      </c>
      <c r="J515" s="63">
        <v>2024</v>
      </c>
      <c r="K515" s="59" t="s">
        <v>16</v>
      </c>
      <c r="L515" s="59" t="s">
        <v>3763</v>
      </c>
      <c r="M515" s="58" t="s">
        <v>234</v>
      </c>
      <c r="N515" s="58" t="s">
        <v>1734</v>
      </c>
      <c r="O515" s="58" t="s">
        <v>3745</v>
      </c>
      <c r="P515" s="58" t="s">
        <v>16</v>
      </c>
    </row>
    <row r="516" spans="1:17" ht="12.5" x14ac:dyDescent="0.25">
      <c r="A516" s="63" t="str">
        <f t="shared" si="1"/>
        <v>016/2024/753.773.064-49</v>
      </c>
      <c r="B516" s="63" t="s">
        <v>3764</v>
      </c>
      <c r="C516" s="65">
        <v>45659.692926840275</v>
      </c>
      <c r="D516" s="63" t="s">
        <v>3765</v>
      </c>
      <c r="E516" s="63"/>
      <c r="F516" s="63" t="s">
        <v>3766</v>
      </c>
      <c r="G516" s="63" t="s">
        <v>3764</v>
      </c>
      <c r="H516" s="63" t="s">
        <v>1747</v>
      </c>
      <c r="I516" s="63" t="s">
        <v>3471</v>
      </c>
      <c r="J516" s="63">
        <v>2024</v>
      </c>
      <c r="K516" s="59" t="s">
        <v>16</v>
      </c>
      <c r="L516" s="59" t="s">
        <v>3767</v>
      </c>
      <c r="M516" s="58" t="s">
        <v>234</v>
      </c>
      <c r="N516" s="58" t="s">
        <v>1734</v>
      </c>
      <c r="O516" s="58" t="s">
        <v>3745</v>
      </c>
      <c r="P516" s="58" t="s">
        <v>16</v>
      </c>
    </row>
    <row r="517" spans="1:17" ht="12.5" x14ac:dyDescent="0.25">
      <c r="A517" s="63" t="str">
        <f t="shared" si="1"/>
        <v>016/2024/441.786.204-44</v>
      </c>
      <c r="B517" s="63" t="s">
        <v>3768</v>
      </c>
      <c r="C517" s="65">
        <v>45663.876185069443</v>
      </c>
      <c r="D517" s="63" t="s">
        <v>3769</v>
      </c>
      <c r="E517" s="63"/>
      <c r="F517" s="63" t="s">
        <v>3770</v>
      </c>
      <c r="G517" s="63" t="s">
        <v>3768</v>
      </c>
      <c r="H517" s="63" t="s">
        <v>1747</v>
      </c>
      <c r="I517" s="63" t="s">
        <v>3471</v>
      </c>
      <c r="J517" s="63">
        <v>2024</v>
      </c>
      <c r="K517" s="59" t="s">
        <v>16</v>
      </c>
      <c r="L517" s="59" t="s">
        <v>3771</v>
      </c>
      <c r="M517" s="58" t="s">
        <v>234</v>
      </c>
      <c r="N517" s="58" t="s">
        <v>1734</v>
      </c>
      <c r="O517" s="58" t="s">
        <v>3745</v>
      </c>
      <c r="P517" s="58" t="s">
        <v>16</v>
      </c>
    </row>
    <row r="518" spans="1:17" ht="12.5" x14ac:dyDescent="0.25">
      <c r="A518" s="63" t="str">
        <f t="shared" si="1"/>
        <v>016/2024/086.931.154-99</v>
      </c>
      <c r="B518" s="63" t="s">
        <v>3772</v>
      </c>
      <c r="C518" s="65">
        <v>45666.473576087963</v>
      </c>
      <c r="D518" s="63" t="s">
        <v>3773</v>
      </c>
      <c r="E518" s="63"/>
      <c r="F518" s="63" t="s">
        <v>3774</v>
      </c>
      <c r="G518" s="63" t="s">
        <v>3772</v>
      </c>
      <c r="H518" s="63" t="s">
        <v>1747</v>
      </c>
      <c r="I518" s="63" t="s">
        <v>3471</v>
      </c>
      <c r="J518" s="63">
        <v>2024</v>
      </c>
      <c r="K518" s="59" t="s">
        <v>16</v>
      </c>
      <c r="L518" s="59" t="s">
        <v>3775</v>
      </c>
      <c r="M518" s="58" t="s">
        <v>234</v>
      </c>
      <c r="N518" s="58" t="s">
        <v>1734</v>
      </c>
      <c r="O518" s="58" t="s">
        <v>3745</v>
      </c>
      <c r="P518" s="58" t="s">
        <v>16</v>
      </c>
    </row>
    <row r="519" spans="1:17" ht="12.5" x14ac:dyDescent="0.25">
      <c r="A519" s="63" t="str">
        <f t="shared" si="1"/>
        <v>016/2024/012.458.553-10</v>
      </c>
      <c r="B519" s="63" t="s">
        <v>3776</v>
      </c>
      <c r="C519" s="65">
        <v>45670.39326513889</v>
      </c>
      <c r="D519" s="63" t="s">
        <v>3777</v>
      </c>
      <c r="E519" s="63"/>
      <c r="F519" s="63" t="s">
        <v>3778</v>
      </c>
      <c r="G519" s="63" t="s">
        <v>3776</v>
      </c>
      <c r="H519" s="63" t="s">
        <v>1747</v>
      </c>
      <c r="I519" s="63" t="s">
        <v>3471</v>
      </c>
      <c r="J519" s="63">
        <v>2024</v>
      </c>
      <c r="K519" s="59" t="s">
        <v>16</v>
      </c>
      <c r="L519" s="59" t="s">
        <v>3779</v>
      </c>
      <c r="M519" s="58" t="s">
        <v>234</v>
      </c>
      <c r="N519" s="58" t="s">
        <v>1734</v>
      </c>
      <c r="O519" s="58" t="s">
        <v>3745</v>
      </c>
      <c r="P519" s="58" t="s">
        <v>16</v>
      </c>
    </row>
    <row r="520" spans="1:17" ht="12.5" x14ac:dyDescent="0.25">
      <c r="A520" s="63" t="str">
        <f t="shared" si="1"/>
        <v>016/2024/095.189.364-55</v>
      </c>
      <c r="B520" s="63" t="s">
        <v>3780</v>
      </c>
      <c r="C520" s="65">
        <v>45670.413183287033</v>
      </c>
      <c r="D520" s="63" t="s">
        <v>3781</v>
      </c>
      <c r="E520" s="63"/>
      <c r="F520" s="63" t="s">
        <v>3782</v>
      </c>
      <c r="G520" s="63" t="s">
        <v>3780</v>
      </c>
      <c r="H520" s="63" t="s">
        <v>1747</v>
      </c>
      <c r="I520" s="63" t="s">
        <v>3471</v>
      </c>
      <c r="J520" s="63">
        <v>2024</v>
      </c>
      <c r="K520" s="59" t="s">
        <v>16</v>
      </c>
      <c r="L520" s="59" t="s">
        <v>3783</v>
      </c>
      <c r="M520" s="58" t="s">
        <v>234</v>
      </c>
      <c r="N520" s="58" t="s">
        <v>1734</v>
      </c>
      <c r="O520" s="58" t="s">
        <v>3745</v>
      </c>
      <c r="P520" s="58" t="s">
        <v>16</v>
      </c>
    </row>
    <row r="521" spans="1:17" ht="12.5" x14ac:dyDescent="0.25">
      <c r="A521" s="63" t="str">
        <f t="shared" si="1"/>
        <v>016/2024/096.724.814-03</v>
      </c>
      <c r="B521" s="63" t="s">
        <v>3784</v>
      </c>
      <c r="C521" s="65">
        <v>45670.483516435183</v>
      </c>
      <c r="D521" s="63" t="s">
        <v>3785</v>
      </c>
      <c r="E521" s="63"/>
      <c r="F521" s="63" t="s">
        <v>3786</v>
      </c>
      <c r="G521" s="63" t="s">
        <v>3784</v>
      </c>
      <c r="H521" s="63" t="s">
        <v>1747</v>
      </c>
      <c r="I521" s="63" t="s">
        <v>3471</v>
      </c>
      <c r="J521" s="63">
        <v>2024</v>
      </c>
      <c r="K521" s="59" t="s">
        <v>17</v>
      </c>
      <c r="L521" s="59" t="s">
        <v>3787</v>
      </c>
      <c r="M521" s="58" t="s">
        <v>234</v>
      </c>
      <c r="N521" s="58" t="s">
        <v>1734</v>
      </c>
      <c r="O521" s="58" t="s">
        <v>3745</v>
      </c>
      <c r="P521" s="58" t="s">
        <v>17</v>
      </c>
    </row>
    <row r="522" spans="1:17" ht="12.5" x14ac:dyDescent="0.25">
      <c r="A522" s="63" t="str">
        <f t="shared" si="1"/>
        <v>016/2024/084.694.544-47</v>
      </c>
      <c r="B522" s="63" t="s">
        <v>3788</v>
      </c>
      <c r="C522" s="65">
        <v>45670.554521076388</v>
      </c>
      <c r="D522" s="63" t="s">
        <v>3789</v>
      </c>
      <c r="E522" s="63"/>
      <c r="F522" s="63" t="s">
        <v>3790</v>
      </c>
      <c r="G522" s="63" t="s">
        <v>3788</v>
      </c>
      <c r="H522" s="63" t="s">
        <v>1747</v>
      </c>
      <c r="I522" s="63" t="s">
        <v>3471</v>
      </c>
      <c r="J522" s="63">
        <v>2024</v>
      </c>
      <c r="K522" s="59" t="s">
        <v>17</v>
      </c>
      <c r="L522" s="59" t="s">
        <v>3791</v>
      </c>
      <c r="M522" s="58" t="s">
        <v>234</v>
      </c>
      <c r="N522" s="58" t="s">
        <v>1734</v>
      </c>
      <c r="O522" s="58" t="s">
        <v>3745</v>
      </c>
      <c r="P522" s="58" t="s">
        <v>17</v>
      </c>
    </row>
    <row r="523" spans="1:17" ht="12.5" x14ac:dyDescent="0.25">
      <c r="A523" s="63" t="str">
        <f t="shared" si="1"/>
        <v>016/2024/078.805.824-01</v>
      </c>
      <c r="B523" s="63" t="s">
        <v>3792</v>
      </c>
      <c r="C523" s="65">
        <v>45670.663839687499</v>
      </c>
      <c r="D523" s="63" t="s">
        <v>3793</v>
      </c>
      <c r="E523" s="63"/>
      <c r="F523" s="63" t="s">
        <v>3794</v>
      </c>
      <c r="G523" s="63" t="s">
        <v>3792</v>
      </c>
      <c r="H523" s="63" t="s">
        <v>1747</v>
      </c>
      <c r="I523" s="63" t="s">
        <v>3471</v>
      </c>
      <c r="J523" s="63">
        <v>2024</v>
      </c>
      <c r="K523" s="59" t="s">
        <v>17</v>
      </c>
      <c r="L523" s="59" t="s">
        <v>3795</v>
      </c>
      <c r="M523" s="58" t="s">
        <v>234</v>
      </c>
      <c r="N523" s="58" t="s">
        <v>1734</v>
      </c>
      <c r="O523" s="58" t="s">
        <v>3745</v>
      </c>
      <c r="P523" s="58" t="s">
        <v>17</v>
      </c>
    </row>
    <row r="524" spans="1:17" ht="12.5" x14ac:dyDescent="0.25">
      <c r="A524" s="63" t="str">
        <f t="shared" si="1"/>
        <v>016/2024/057.790.164-88</v>
      </c>
      <c r="B524" s="63" t="s">
        <v>3796</v>
      </c>
      <c r="C524" s="65">
        <v>45671.435901365738</v>
      </c>
      <c r="D524" s="63" t="s">
        <v>3797</v>
      </c>
      <c r="E524" s="63" t="s">
        <v>3798</v>
      </c>
      <c r="F524" s="63" t="s">
        <v>3798</v>
      </c>
      <c r="G524" s="63" t="s">
        <v>3796</v>
      </c>
      <c r="H524" s="63" t="s">
        <v>1740</v>
      </c>
      <c r="I524" s="63" t="s">
        <v>3471</v>
      </c>
      <c r="J524" s="63">
        <v>2024</v>
      </c>
      <c r="K524" s="59" t="s">
        <v>17</v>
      </c>
      <c r="L524" s="59" t="s">
        <v>3799</v>
      </c>
      <c r="M524" s="58" t="s">
        <v>234</v>
      </c>
      <c r="N524" s="58" t="s">
        <v>1734</v>
      </c>
      <c r="O524" s="58" t="s">
        <v>3745</v>
      </c>
      <c r="P524" s="58" t="s">
        <v>17</v>
      </c>
    </row>
    <row r="525" spans="1:17" ht="12.5" x14ac:dyDescent="0.25">
      <c r="A525" s="63" t="str">
        <f t="shared" si="1"/>
        <v>016/2024/041.417.104-74</v>
      </c>
      <c r="B525" s="63" t="s">
        <v>3800</v>
      </c>
      <c r="C525" s="65">
        <v>45673.946080891204</v>
      </c>
      <c r="D525" s="63" t="s">
        <v>3801</v>
      </c>
      <c r="E525" s="63"/>
      <c r="F525" s="63" t="s">
        <v>3802</v>
      </c>
      <c r="G525" s="63" t="s">
        <v>3800</v>
      </c>
      <c r="H525" s="63" t="s">
        <v>1747</v>
      </c>
      <c r="I525" s="63" t="s">
        <v>3471</v>
      </c>
      <c r="J525" s="63">
        <v>2024</v>
      </c>
      <c r="K525" s="59" t="s">
        <v>16</v>
      </c>
      <c r="L525" s="59" t="s">
        <v>3803</v>
      </c>
      <c r="M525" s="58" t="s">
        <v>234</v>
      </c>
      <c r="N525" s="58" t="s">
        <v>1734</v>
      </c>
      <c r="O525" s="58" t="s">
        <v>3745</v>
      </c>
      <c r="P525" s="58" t="s">
        <v>16</v>
      </c>
    </row>
    <row r="526" spans="1:17" ht="12.5" x14ac:dyDescent="0.25">
      <c r="A526" s="63" t="str">
        <f t="shared" si="1"/>
        <v>016/2024/072.852.604-28</v>
      </c>
      <c r="B526" s="63" t="s">
        <v>2168</v>
      </c>
      <c r="C526" s="65">
        <v>45674.776670069448</v>
      </c>
      <c r="D526" s="63" t="s">
        <v>3804</v>
      </c>
      <c r="E526" s="63"/>
      <c r="F526" s="63" t="s">
        <v>3805</v>
      </c>
      <c r="G526" s="63" t="s">
        <v>2168</v>
      </c>
      <c r="H526" s="63" t="s">
        <v>1747</v>
      </c>
      <c r="I526" s="63" t="s">
        <v>3471</v>
      </c>
      <c r="J526" s="63">
        <v>2024</v>
      </c>
      <c r="K526" s="59" t="s">
        <v>16</v>
      </c>
      <c r="L526" s="59" t="s">
        <v>3806</v>
      </c>
      <c r="M526" s="58" t="s">
        <v>234</v>
      </c>
      <c r="N526" s="58" t="s">
        <v>1734</v>
      </c>
      <c r="O526" s="58" t="s">
        <v>3745</v>
      </c>
      <c r="P526" s="58" t="s">
        <v>16</v>
      </c>
    </row>
    <row r="527" spans="1:17" ht="12.5" x14ac:dyDescent="0.25">
      <c r="A527" s="63" t="str">
        <f t="shared" si="1"/>
        <v>016/2024/025.378.913-33</v>
      </c>
      <c r="B527" s="63" t="s">
        <v>3807</v>
      </c>
      <c r="C527" s="65">
        <v>45677.352574999997</v>
      </c>
      <c r="D527" s="63" t="s">
        <v>3808</v>
      </c>
      <c r="E527" s="63"/>
      <c r="F527" s="63" t="s">
        <v>3809</v>
      </c>
      <c r="G527" s="63" t="s">
        <v>3807</v>
      </c>
      <c r="H527" s="63" t="s">
        <v>1747</v>
      </c>
      <c r="I527" s="63" t="s">
        <v>3471</v>
      </c>
      <c r="J527" s="63">
        <v>2024</v>
      </c>
      <c r="K527" s="59" t="s">
        <v>16</v>
      </c>
      <c r="L527" s="59" t="s">
        <v>3810</v>
      </c>
      <c r="M527" s="58" t="s">
        <v>2776</v>
      </c>
      <c r="N527" s="58" t="s">
        <v>1734</v>
      </c>
      <c r="O527" s="58" t="s">
        <v>3745</v>
      </c>
      <c r="P527" s="58" t="s">
        <v>16</v>
      </c>
      <c r="Q527" s="58" t="s">
        <v>3811</v>
      </c>
    </row>
    <row r="528" spans="1:17" ht="12.5" x14ac:dyDescent="0.25">
      <c r="A528" s="63" t="str">
        <f t="shared" si="1"/>
        <v>016/2024/025.378.913-33</v>
      </c>
      <c r="B528" s="63" t="s">
        <v>3807</v>
      </c>
      <c r="C528" s="65">
        <v>45678.377633553246</v>
      </c>
      <c r="D528" s="63" t="s">
        <v>3808</v>
      </c>
      <c r="E528" s="63"/>
      <c r="F528" s="63" t="s">
        <v>3809</v>
      </c>
      <c r="G528" s="63" t="s">
        <v>3807</v>
      </c>
      <c r="H528" s="63" t="s">
        <v>1747</v>
      </c>
      <c r="I528" s="63" t="s">
        <v>3471</v>
      </c>
      <c r="J528" s="63">
        <v>2024</v>
      </c>
      <c r="K528" s="59" t="s">
        <v>16</v>
      </c>
      <c r="L528" s="59" t="s">
        <v>3812</v>
      </c>
      <c r="M528" s="58" t="s">
        <v>234</v>
      </c>
      <c r="N528" s="58" t="s">
        <v>1734</v>
      </c>
      <c r="O528" s="58" t="s">
        <v>3745</v>
      </c>
      <c r="P528" s="58" t="s">
        <v>16</v>
      </c>
    </row>
    <row r="529" spans="1:16" ht="12.5" x14ac:dyDescent="0.25">
      <c r="A529" s="63" t="str">
        <f t="shared" si="1"/>
        <v>016/2024/083.184.444-26</v>
      </c>
      <c r="B529" s="63" t="s">
        <v>3813</v>
      </c>
      <c r="C529" s="65">
        <v>45678.390076655094</v>
      </c>
      <c r="D529" s="63" t="s">
        <v>3814</v>
      </c>
      <c r="E529" s="63"/>
      <c r="F529" s="63" t="s">
        <v>3815</v>
      </c>
      <c r="G529" s="63" t="s">
        <v>3813</v>
      </c>
      <c r="H529" s="63" t="s">
        <v>1747</v>
      </c>
      <c r="I529" s="63" t="s">
        <v>3471</v>
      </c>
      <c r="J529" s="63">
        <v>2024</v>
      </c>
      <c r="K529" s="59" t="s">
        <v>16</v>
      </c>
      <c r="L529" s="59" t="s">
        <v>3816</v>
      </c>
      <c r="M529" s="58" t="s">
        <v>234</v>
      </c>
      <c r="N529" s="58" t="s">
        <v>1734</v>
      </c>
      <c r="O529" s="58" t="s">
        <v>3745</v>
      </c>
      <c r="P529" s="58" t="s">
        <v>16</v>
      </c>
    </row>
    <row r="530" spans="1:16" ht="12.5" x14ac:dyDescent="0.25">
      <c r="A530" s="63" t="str">
        <f t="shared" si="1"/>
        <v>016/2024/094.511.394-35</v>
      </c>
      <c r="B530" s="63" t="s">
        <v>3817</v>
      </c>
      <c r="C530" s="65">
        <v>45678.621020995372</v>
      </c>
      <c r="D530" s="63" t="s">
        <v>3818</v>
      </c>
      <c r="E530" s="63"/>
      <c r="F530" s="63" t="s">
        <v>3819</v>
      </c>
      <c r="G530" s="63" t="s">
        <v>3817</v>
      </c>
      <c r="H530" s="63" t="s">
        <v>1747</v>
      </c>
      <c r="I530" s="63" t="s">
        <v>3471</v>
      </c>
      <c r="J530" s="63">
        <v>2024</v>
      </c>
      <c r="K530" s="59" t="s">
        <v>16</v>
      </c>
      <c r="L530" s="59" t="s">
        <v>3820</v>
      </c>
      <c r="M530" s="58" t="s">
        <v>234</v>
      </c>
      <c r="N530" s="58" t="s">
        <v>1734</v>
      </c>
      <c r="O530" s="58" t="s">
        <v>3745</v>
      </c>
      <c r="P530" s="58" t="s">
        <v>16</v>
      </c>
    </row>
    <row r="531" spans="1:16" ht="12.5" x14ac:dyDescent="0.25">
      <c r="A531" s="63" t="str">
        <f t="shared" si="1"/>
        <v>016/2024/088.978.534-12</v>
      </c>
      <c r="B531" s="63" t="s">
        <v>3821</v>
      </c>
      <c r="C531" s="65">
        <v>45679.438822361109</v>
      </c>
      <c r="D531" s="63" t="s">
        <v>3822</v>
      </c>
      <c r="E531" s="63"/>
      <c r="F531" s="63" t="s">
        <v>3823</v>
      </c>
      <c r="G531" s="63" t="s">
        <v>3821</v>
      </c>
      <c r="H531" s="63" t="s">
        <v>1747</v>
      </c>
      <c r="I531" s="63" t="s">
        <v>3471</v>
      </c>
      <c r="J531" s="63">
        <v>2024</v>
      </c>
      <c r="K531" s="59" t="s">
        <v>17</v>
      </c>
      <c r="L531" s="59" t="s">
        <v>3824</v>
      </c>
      <c r="M531" s="58" t="s">
        <v>234</v>
      </c>
      <c r="N531" s="58" t="s">
        <v>1734</v>
      </c>
      <c r="O531" s="58" t="s">
        <v>3745</v>
      </c>
      <c r="P531" s="58" t="s">
        <v>17</v>
      </c>
    </row>
    <row r="532" spans="1:16" ht="12.5" x14ac:dyDescent="0.25">
      <c r="A532" s="63" t="str">
        <f t="shared" si="1"/>
        <v>016/2024/085.073.714-18</v>
      </c>
      <c r="B532" s="63" t="s">
        <v>3825</v>
      </c>
      <c r="C532" s="65">
        <v>45680.646576041661</v>
      </c>
      <c r="D532" s="63" t="s">
        <v>3826</v>
      </c>
      <c r="E532" s="63"/>
      <c r="F532" s="63" t="s">
        <v>3827</v>
      </c>
      <c r="G532" s="63" t="s">
        <v>3825</v>
      </c>
      <c r="H532" s="63" t="s">
        <v>1747</v>
      </c>
      <c r="I532" s="63" t="s">
        <v>3471</v>
      </c>
      <c r="J532" s="63">
        <v>2024</v>
      </c>
      <c r="K532" s="59" t="s">
        <v>16</v>
      </c>
      <c r="L532" s="59" t="s">
        <v>3828</v>
      </c>
      <c r="M532" s="58" t="s">
        <v>234</v>
      </c>
      <c r="N532" s="58" t="s">
        <v>1734</v>
      </c>
      <c r="O532" s="58" t="s">
        <v>3745</v>
      </c>
      <c r="P532" s="58" t="s">
        <v>16</v>
      </c>
    </row>
    <row r="533" spans="1:16" ht="12.5" x14ac:dyDescent="0.25">
      <c r="A533" s="63" t="str">
        <f t="shared" si="1"/>
        <v>016/2024/055.429.214-93</v>
      </c>
      <c r="B533" s="63" t="s">
        <v>3829</v>
      </c>
      <c r="C533" s="65">
        <v>45684.578390439812</v>
      </c>
      <c r="D533" s="63" t="s">
        <v>3830</v>
      </c>
      <c r="E533" s="63"/>
      <c r="F533" s="63" t="s">
        <v>3831</v>
      </c>
      <c r="G533" s="63" t="s">
        <v>3829</v>
      </c>
      <c r="H533" s="63" t="s">
        <v>1747</v>
      </c>
      <c r="I533" s="63" t="s">
        <v>3471</v>
      </c>
      <c r="J533" s="63">
        <v>2024</v>
      </c>
      <c r="K533" s="59" t="s">
        <v>17</v>
      </c>
      <c r="L533" s="59" t="s">
        <v>3832</v>
      </c>
      <c r="M533" s="58" t="s">
        <v>234</v>
      </c>
      <c r="N533" s="58" t="s">
        <v>1734</v>
      </c>
      <c r="O533" s="58" t="s">
        <v>3745</v>
      </c>
      <c r="P533" s="58" t="s">
        <v>17</v>
      </c>
    </row>
    <row r="534" spans="1:16" ht="12.5" x14ac:dyDescent="0.25">
      <c r="A534" s="63" t="str">
        <f t="shared" si="1"/>
        <v>016/2024/096.369.144-94</v>
      </c>
      <c r="B534" s="63" t="s">
        <v>3658</v>
      </c>
      <c r="C534" s="65">
        <v>45685.420658888892</v>
      </c>
      <c r="D534" s="63" t="s">
        <v>3659</v>
      </c>
      <c r="E534" s="63"/>
      <c r="F534" s="63" t="s">
        <v>3660</v>
      </c>
      <c r="G534" s="63" t="s">
        <v>3658</v>
      </c>
      <c r="H534" s="63" t="s">
        <v>1747</v>
      </c>
      <c r="I534" s="63" t="s">
        <v>3471</v>
      </c>
      <c r="J534" s="63">
        <v>2024</v>
      </c>
      <c r="K534" s="59" t="s">
        <v>16</v>
      </c>
      <c r="L534" s="59" t="s">
        <v>3833</v>
      </c>
      <c r="M534" s="58" t="s">
        <v>234</v>
      </c>
      <c r="N534" s="58" t="s">
        <v>1734</v>
      </c>
      <c r="O534" s="58" t="s">
        <v>3745</v>
      </c>
      <c r="P534" s="58" t="s">
        <v>16</v>
      </c>
    </row>
    <row r="535" spans="1:16" ht="12.5" x14ac:dyDescent="0.25">
      <c r="A535" s="63" t="str">
        <f t="shared" si="1"/>
        <v>016/2024/038.678.244-01</v>
      </c>
      <c r="B535" s="63" t="s">
        <v>3834</v>
      </c>
      <c r="C535" s="65">
        <v>45685.757661574069</v>
      </c>
      <c r="D535" s="63" t="s">
        <v>3835</v>
      </c>
      <c r="E535" s="63"/>
      <c r="F535" s="63" t="s">
        <v>3836</v>
      </c>
      <c r="G535" s="63" t="s">
        <v>3834</v>
      </c>
      <c r="H535" s="63" t="s">
        <v>1747</v>
      </c>
      <c r="I535" s="63" t="s">
        <v>3471</v>
      </c>
      <c r="J535" s="63">
        <v>2024</v>
      </c>
      <c r="K535" s="59" t="s">
        <v>16</v>
      </c>
      <c r="L535" s="59" t="s">
        <v>3837</v>
      </c>
      <c r="M535" s="58" t="s">
        <v>234</v>
      </c>
      <c r="N535" s="58" t="s">
        <v>1734</v>
      </c>
      <c r="O535" s="58" t="s">
        <v>3745</v>
      </c>
      <c r="P535" s="58" t="s">
        <v>16</v>
      </c>
    </row>
    <row r="536" spans="1:16" ht="12.5" x14ac:dyDescent="0.25">
      <c r="A536" s="63" t="str">
        <f t="shared" si="1"/>
        <v>016/2024/111.018.644-43</v>
      </c>
      <c r="B536" s="63" t="s">
        <v>3838</v>
      </c>
      <c r="C536" s="65">
        <v>45686.835474398147</v>
      </c>
      <c r="D536" s="63" t="s">
        <v>3839</v>
      </c>
      <c r="E536" s="63"/>
      <c r="F536" s="63" t="s">
        <v>3840</v>
      </c>
      <c r="G536" s="63" t="s">
        <v>3838</v>
      </c>
      <c r="H536" s="63" t="s">
        <v>1747</v>
      </c>
      <c r="I536" s="63" t="s">
        <v>3471</v>
      </c>
      <c r="J536" s="63">
        <v>2024</v>
      </c>
      <c r="K536" s="59" t="s">
        <v>16</v>
      </c>
      <c r="L536" s="59" t="s">
        <v>3841</v>
      </c>
      <c r="M536" s="58" t="s">
        <v>234</v>
      </c>
      <c r="N536" s="58" t="s">
        <v>1734</v>
      </c>
      <c r="O536" s="58" t="s">
        <v>3745</v>
      </c>
      <c r="P536" s="58" t="s">
        <v>16</v>
      </c>
    </row>
    <row r="537" spans="1:16" ht="12.5" x14ac:dyDescent="0.25">
      <c r="A537" s="63" t="str">
        <f t="shared" si="1"/>
        <v>016/2024/113.673.824-08</v>
      </c>
      <c r="B537" s="63" t="s">
        <v>3842</v>
      </c>
      <c r="C537" s="65">
        <v>45686.841707187501</v>
      </c>
      <c r="D537" s="63" t="s">
        <v>3843</v>
      </c>
      <c r="E537" s="63"/>
      <c r="F537" s="63" t="s">
        <v>3844</v>
      </c>
      <c r="G537" s="63" t="s">
        <v>3842</v>
      </c>
      <c r="H537" s="63" t="s">
        <v>1747</v>
      </c>
      <c r="I537" s="63" t="s">
        <v>3471</v>
      </c>
      <c r="J537" s="63">
        <v>2024</v>
      </c>
      <c r="K537" s="59" t="s">
        <v>16</v>
      </c>
      <c r="L537" s="59" t="s">
        <v>3845</v>
      </c>
      <c r="M537" s="58" t="s">
        <v>2776</v>
      </c>
      <c r="N537" s="58" t="s">
        <v>1734</v>
      </c>
      <c r="O537" s="58" t="s">
        <v>3745</v>
      </c>
      <c r="P537" s="58" t="s">
        <v>16</v>
      </c>
    </row>
    <row r="538" spans="1:16" ht="12.5" x14ac:dyDescent="0.25">
      <c r="A538" s="63" t="str">
        <f t="shared" si="1"/>
        <v>016/2024/111.018.644-43</v>
      </c>
      <c r="B538" s="63" t="s">
        <v>3838</v>
      </c>
      <c r="C538" s="65">
        <v>45687.395368888887</v>
      </c>
      <c r="D538" s="63" t="s">
        <v>3839</v>
      </c>
      <c r="E538" s="63"/>
      <c r="F538" s="63" t="s">
        <v>3840</v>
      </c>
      <c r="G538" s="63" t="s">
        <v>3838</v>
      </c>
      <c r="H538" s="63" t="s">
        <v>1747</v>
      </c>
      <c r="I538" s="63" t="s">
        <v>3471</v>
      </c>
      <c r="J538" s="63">
        <v>2024</v>
      </c>
      <c r="K538" s="59" t="s">
        <v>16</v>
      </c>
      <c r="L538" s="59" t="s">
        <v>3846</v>
      </c>
      <c r="M538" s="58" t="s">
        <v>234</v>
      </c>
      <c r="N538" s="58" t="s">
        <v>1734</v>
      </c>
      <c r="O538" s="58" t="s">
        <v>3745</v>
      </c>
      <c r="P538" s="58" t="s">
        <v>16</v>
      </c>
    </row>
    <row r="539" spans="1:16" ht="12.5" x14ac:dyDescent="0.25">
      <c r="A539" s="63" t="str">
        <f t="shared" si="1"/>
        <v>016/2024/078.374.434-03</v>
      </c>
      <c r="B539" s="63" t="s">
        <v>3847</v>
      </c>
      <c r="C539" s="65">
        <v>45687.95365924768</v>
      </c>
      <c r="D539" s="63" t="s">
        <v>3848</v>
      </c>
      <c r="E539" s="63"/>
      <c r="F539" s="63" t="s">
        <v>3849</v>
      </c>
      <c r="G539" s="63" t="s">
        <v>3847</v>
      </c>
      <c r="H539" s="63" t="s">
        <v>1747</v>
      </c>
      <c r="I539" s="63" t="s">
        <v>3471</v>
      </c>
      <c r="J539" s="63">
        <v>2024</v>
      </c>
      <c r="K539" s="59" t="s">
        <v>16</v>
      </c>
      <c r="L539" s="59" t="s">
        <v>3850</v>
      </c>
      <c r="M539" s="58" t="s">
        <v>234</v>
      </c>
      <c r="N539" s="58" t="s">
        <v>1734</v>
      </c>
      <c r="O539" s="58" t="s">
        <v>3745</v>
      </c>
      <c r="P539" s="58" t="s">
        <v>16</v>
      </c>
    </row>
    <row r="540" spans="1:16" ht="12.5" x14ac:dyDescent="0.25">
      <c r="A540" s="63" t="str">
        <f t="shared" si="1"/>
        <v>016/2024/093.787.874-01</v>
      </c>
      <c r="B540" s="63" t="s">
        <v>3851</v>
      </c>
      <c r="C540" s="65">
        <v>45688.450791805561</v>
      </c>
      <c r="D540" s="63" t="s">
        <v>3852</v>
      </c>
      <c r="E540" s="63"/>
      <c r="F540" s="63" t="s">
        <v>3853</v>
      </c>
      <c r="G540" s="63" t="s">
        <v>3851</v>
      </c>
      <c r="H540" s="63" t="s">
        <v>1747</v>
      </c>
      <c r="I540" s="63" t="s">
        <v>3471</v>
      </c>
      <c r="J540" s="63">
        <v>2024</v>
      </c>
      <c r="K540" s="59" t="s">
        <v>16</v>
      </c>
      <c r="L540" s="59" t="s">
        <v>3854</v>
      </c>
      <c r="M540" s="58" t="s">
        <v>234</v>
      </c>
      <c r="N540" s="58" t="s">
        <v>1734</v>
      </c>
      <c r="O540" s="58" t="s">
        <v>3745</v>
      </c>
      <c r="P540" s="58" t="s">
        <v>16</v>
      </c>
    </row>
    <row r="541" spans="1:16" ht="12.5" x14ac:dyDescent="0.25">
      <c r="A541" s="63" t="str">
        <f t="shared" si="1"/>
        <v>016/2024/016.121.184-45</v>
      </c>
      <c r="B541" s="63" t="s">
        <v>3855</v>
      </c>
      <c r="C541" s="65">
        <v>45688.470747835643</v>
      </c>
      <c r="D541" s="63" t="s">
        <v>3856</v>
      </c>
      <c r="E541" s="63"/>
      <c r="F541" s="63" t="s">
        <v>3857</v>
      </c>
      <c r="G541" s="63" t="s">
        <v>3855</v>
      </c>
      <c r="H541" s="63" t="s">
        <v>1747</v>
      </c>
      <c r="I541" s="63" t="s">
        <v>3471</v>
      </c>
      <c r="J541" s="63">
        <v>2024</v>
      </c>
      <c r="K541" s="59" t="s">
        <v>17</v>
      </c>
      <c r="L541" s="59" t="s">
        <v>3858</v>
      </c>
      <c r="M541" s="58" t="s">
        <v>234</v>
      </c>
      <c r="N541" s="58" t="s">
        <v>1734</v>
      </c>
      <c r="O541" s="58" t="s">
        <v>3745</v>
      </c>
      <c r="P541" s="58" t="s">
        <v>16</v>
      </c>
    </row>
    <row r="542" spans="1:16" ht="12.5" x14ac:dyDescent="0.25">
      <c r="A542" s="63" t="str">
        <f t="shared" si="1"/>
        <v>016/2024/054.734.234-93</v>
      </c>
      <c r="B542" s="63" t="s">
        <v>3859</v>
      </c>
      <c r="C542" s="65">
        <v>45688.688141087958</v>
      </c>
      <c r="D542" s="63" t="s">
        <v>3860</v>
      </c>
      <c r="E542" s="63"/>
      <c r="F542" s="63" t="s">
        <v>3861</v>
      </c>
      <c r="G542" s="63" t="s">
        <v>3859</v>
      </c>
      <c r="H542" s="63" t="s">
        <v>1747</v>
      </c>
      <c r="I542" s="63" t="s">
        <v>3471</v>
      </c>
      <c r="J542" s="63">
        <v>2024</v>
      </c>
      <c r="K542" s="59" t="s">
        <v>16</v>
      </c>
      <c r="L542" s="59" t="s">
        <v>3862</v>
      </c>
      <c r="M542" s="58" t="s">
        <v>234</v>
      </c>
      <c r="N542" s="58" t="s">
        <v>1734</v>
      </c>
      <c r="O542" s="58" t="s">
        <v>3745</v>
      </c>
      <c r="P542" s="58" t="s">
        <v>16</v>
      </c>
    </row>
    <row r="543" spans="1:16" ht="12.5" x14ac:dyDescent="0.25">
      <c r="A543" s="63" t="str">
        <f t="shared" si="1"/>
        <v>016/2024/011.306.214-13</v>
      </c>
      <c r="B543" s="63" t="s">
        <v>3863</v>
      </c>
      <c r="C543" s="65">
        <v>45691.34491738426</v>
      </c>
      <c r="D543" s="63" t="s">
        <v>3864</v>
      </c>
      <c r="E543" s="63"/>
      <c r="F543" s="63" t="s">
        <v>3865</v>
      </c>
      <c r="G543" s="63" t="s">
        <v>3863</v>
      </c>
      <c r="H543" s="63" t="s">
        <v>1747</v>
      </c>
      <c r="I543" s="63" t="s">
        <v>3471</v>
      </c>
      <c r="J543" s="63">
        <v>2024</v>
      </c>
      <c r="K543" s="59" t="s">
        <v>16</v>
      </c>
      <c r="L543" s="59" t="s">
        <v>3866</v>
      </c>
      <c r="M543" s="58" t="s">
        <v>234</v>
      </c>
      <c r="N543" s="58" t="s">
        <v>1734</v>
      </c>
      <c r="O543" s="58" t="s">
        <v>3745</v>
      </c>
      <c r="P543" s="58" t="s">
        <v>16</v>
      </c>
    </row>
    <row r="544" spans="1:16" ht="12.5" x14ac:dyDescent="0.25">
      <c r="A544" s="63" t="str">
        <f t="shared" si="1"/>
        <v>016/2024/108.428.714-54</v>
      </c>
      <c r="B544" s="63" t="s">
        <v>3867</v>
      </c>
      <c r="C544" s="65">
        <v>45692.388669849533</v>
      </c>
      <c r="D544" s="63" t="s">
        <v>3868</v>
      </c>
      <c r="E544" s="63"/>
      <c r="F544" s="63" t="s">
        <v>3869</v>
      </c>
      <c r="G544" s="63" t="s">
        <v>3867</v>
      </c>
      <c r="H544" s="63" t="s">
        <v>1747</v>
      </c>
      <c r="I544" s="63" t="s">
        <v>3471</v>
      </c>
      <c r="J544" s="63">
        <v>2024</v>
      </c>
      <c r="K544" s="59" t="s">
        <v>16</v>
      </c>
      <c r="L544" s="59" t="s">
        <v>3870</v>
      </c>
      <c r="M544" s="58" t="s">
        <v>234</v>
      </c>
      <c r="N544" s="58" t="s">
        <v>1734</v>
      </c>
      <c r="O544" s="58" t="s">
        <v>3745</v>
      </c>
      <c r="P544" s="58" t="s">
        <v>16</v>
      </c>
    </row>
    <row r="545" spans="1:16" ht="12.5" x14ac:dyDescent="0.25">
      <c r="A545" s="63" t="str">
        <f t="shared" si="1"/>
        <v>016/2024/055.881.194-95</v>
      </c>
      <c r="B545" s="63" t="s">
        <v>3871</v>
      </c>
      <c r="C545" s="65">
        <v>45692.501063912037</v>
      </c>
      <c r="D545" s="63" t="s">
        <v>3872</v>
      </c>
      <c r="E545" s="63"/>
      <c r="F545" s="63" t="s">
        <v>3873</v>
      </c>
      <c r="G545" s="63" t="s">
        <v>3871</v>
      </c>
      <c r="H545" s="63" t="s">
        <v>1747</v>
      </c>
      <c r="I545" s="63" t="s">
        <v>3471</v>
      </c>
      <c r="J545" s="63">
        <v>2024</v>
      </c>
      <c r="K545" s="59" t="s">
        <v>16</v>
      </c>
      <c r="L545" s="59" t="s">
        <v>3874</v>
      </c>
      <c r="M545" s="58" t="s">
        <v>234</v>
      </c>
      <c r="N545" s="58" t="s">
        <v>1734</v>
      </c>
      <c r="O545" s="58" t="s">
        <v>3745</v>
      </c>
      <c r="P545" s="58" t="s">
        <v>16</v>
      </c>
    </row>
    <row r="546" spans="1:16" ht="12.5" x14ac:dyDescent="0.25">
      <c r="A546" s="63" t="str">
        <f t="shared" si="1"/>
        <v>016/2024/884.298.144-34</v>
      </c>
      <c r="B546" s="63" t="s">
        <v>3875</v>
      </c>
      <c r="C546" s="65">
        <v>45693.475840393519</v>
      </c>
      <c r="D546" s="63" t="s">
        <v>3876</v>
      </c>
      <c r="E546" s="63"/>
      <c r="F546" s="63" t="s">
        <v>3877</v>
      </c>
      <c r="G546" s="63" t="s">
        <v>3875</v>
      </c>
      <c r="H546" s="63" t="s">
        <v>1747</v>
      </c>
      <c r="I546" s="63" t="s">
        <v>3471</v>
      </c>
      <c r="J546" s="63">
        <v>2024</v>
      </c>
      <c r="K546" s="59" t="s">
        <v>16</v>
      </c>
      <c r="L546" s="59" t="s">
        <v>3878</v>
      </c>
      <c r="M546" s="58" t="s">
        <v>234</v>
      </c>
      <c r="N546" s="58" t="s">
        <v>1734</v>
      </c>
      <c r="O546" s="58" t="s">
        <v>3745</v>
      </c>
      <c r="P546" s="58" t="s">
        <v>16</v>
      </c>
    </row>
    <row r="547" spans="1:16" ht="12.5" x14ac:dyDescent="0.25">
      <c r="A547" s="63" t="str">
        <f t="shared" si="1"/>
        <v>016/2024/701.168.094-26</v>
      </c>
      <c r="B547" s="63" t="s">
        <v>3879</v>
      </c>
      <c r="C547" s="65">
        <v>45694.538586516202</v>
      </c>
      <c r="D547" s="63" t="s">
        <v>3880</v>
      </c>
      <c r="E547" s="63"/>
      <c r="F547" s="63" t="s">
        <v>3881</v>
      </c>
      <c r="G547" s="63" t="s">
        <v>3879</v>
      </c>
      <c r="H547" s="63" t="s">
        <v>1747</v>
      </c>
      <c r="I547" s="63" t="s">
        <v>3471</v>
      </c>
      <c r="J547" s="63">
        <v>2024</v>
      </c>
      <c r="K547" s="59" t="s">
        <v>16</v>
      </c>
      <c r="L547" s="59" t="s">
        <v>3882</v>
      </c>
      <c r="M547" s="58" t="s">
        <v>234</v>
      </c>
      <c r="N547" s="58" t="s">
        <v>1734</v>
      </c>
      <c r="O547" s="58" t="s">
        <v>3745</v>
      </c>
      <c r="P547" s="58" t="s">
        <v>16</v>
      </c>
    </row>
    <row r="548" spans="1:16" ht="12.5" x14ac:dyDescent="0.25">
      <c r="A548" s="63" t="str">
        <f t="shared" si="1"/>
        <v>016/2024/023.673.794-59</v>
      </c>
      <c r="B548" s="63" t="s">
        <v>3883</v>
      </c>
      <c r="C548" s="65">
        <v>45695.377674930554</v>
      </c>
      <c r="D548" s="63" t="s">
        <v>3884</v>
      </c>
      <c r="E548" s="63"/>
      <c r="F548" s="63" t="s">
        <v>3885</v>
      </c>
      <c r="G548" s="63" t="s">
        <v>3883</v>
      </c>
      <c r="H548" s="63" t="s">
        <v>1747</v>
      </c>
      <c r="I548" s="63" t="s">
        <v>3471</v>
      </c>
      <c r="J548" s="63">
        <v>2024</v>
      </c>
      <c r="K548" s="59" t="s">
        <v>16</v>
      </c>
      <c r="L548" s="59" t="s">
        <v>3886</v>
      </c>
      <c r="M548" s="58" t="s">
        <v>234</v>
      </c>
      <c r="N548" s="58" t="s">
        <v>1734</v>
      </c>
      <c r="O548" s="58" t="s">
        <v>3745</v>
      </c>
      <c r="P548" s="58" t="s">
        <v>16</v>
      </c>
    </row>
    <row r="549" spans="1:16" ht="12.5" x14ac:dyDescent="0.25">
      <c r="A549" s="63" t="str">
        <f t="shared" si="1"/>
        <v>016/2024/084.160.224-70</v>
      </c>
      <c r="B549" s="63" t="s">
        <v>3887</v>
      </c>
      <c r="C549" s="65">
        <v>45695.67187554398</v>
      </c>
      <c r="D549" s="63" t="s">
        <v>3888</v>
      </c>
      <c r="E549" s="63" t="s">
        <v>3889</v>
      </c>
      <c r="F549" s="63" t="s">
        <v>3889</v>
      </c>
      <c r="G549" s="63" t="s">
        <v>3887</v>
      </c>
      <c r="H549" s="63" t="s">
        <v>1740</v>
      </c>
      <c r="I549" s="63" t="s">
        <v>3471</v>
      </c>
      <c r="J549" s="63">
        <v>2024</v>
      </c>
      <c r="K549" s="59" t="s">
        <v>16</v>
      </c>
      <c r="L549" s="59" t="s">
        <v>3890</v>
      </c>
      <c r="M549" s="58" t="s">
        <v>234</v>
      </c>
      <c r="N549" s="58" t="s">
        <v>1734</v>
      </c>
      <c r="O549" s="58" t="s">
        <v>3745</v>
      </c>
      <c r="P549" s="58" t="s">
        <v>16</v>
      </c>
    </row>
    <row r="550" spans="1:16" ht="12.5" x14ac:dyDescent="0.25">
      <c r="A550" s="63" t="str">
        <f t="shared" si="1"/>
        <v>016/2024/011.025.273-00</v>
      </c>
      <c r="B550" s="63" t="s">
        <v>3891</v>
      </c>
      <c r="C550" s="65">
        <v>45696.62517673611</v>
      </c>
      <c r="D550" s="63" t="s">
        <v>3892</v>
      </c>
      <c r="E550" s="63"/>
      <c r="F550" s="63" t="s">
        <v>3893</v>
      </c>
      <c r="G550" s="63" t="s">
        <v>3891</v>
      </c>
      <c r="H550" s="63" t="s">
        <v>1747</v>
      </c>
      <c r="I550" s="63" t="s">
        <v>3471</v>
      </c>
      <c r="J550" s="63">
        <v>2024</v>
      </c>
      <c r="K550" s="59" t="s">
        <v>16</v>
      </c>
      <c r="L550" s="59" t="s">
        <v>3894</v>
      </c>
      <c r="M550" s="58" t="s">
        <v>234</v>
      </c>
      <c r="N550" s="58" t="s">
        <v>1734</v>
      </c>
      <c r="O550" s="58" t="s">
        <v>3745</v>
      </c>
      <c r="P550" s="58" t="s">
        <v>16</v>
      </c>
    </row>
    <row r="551" spans="1:16" ht="12.5" x14ac:dyDescent="0.25">
      <c r="A551" s="63" t="str">
        <f t="shared" si="1"/>
        <v>016/2024/966.039.684-87</v>
      </c>
      <c r="B551" s="63" t="s">
        <v>3895</v>
      </c>
      <c r="C551" s="65">
        <v>45698.352532673613</v>
      </c>
      <c r="D551" s="63" t="s">
        <v>3896</v>
      </c>
      <c r="E551" s="63" t="s">
        <v>3897</v>
      </c>
      <c r="F551" s="63" t="s">
        <v>3898</v>
      </c>
      <c r="G551" s="63" t="s">
        <v>3899</v>
      </c>
      <c r="H551" s="63" t="s">
        <v>1740</v>
      </c>
      <c r="I551" s="63" t="s">
        <v>3471</v>
      </c>
      <c r="J551" s="63">
        <v>2024</v>
      </c>
      <c r="K551" s="59" t="s">
        <v>16</v>
      </c>
      <c r="L551" s="59" t="s">
        <v>3900</v>
      </c>
      <c r="M551" s="58" t="s">
        <v>234</v>
      </c>
      <c r="N551" s="58" t="s">
        <v>1734</v>
      </c>
      <c r="O551" s="58" t="s">
        <v>3745</v>
      </c>
      <c r="P551" s="58" t="s">
        <v>16</v>
      </c>
    </row>
    <row r="552" spans="1:16" ht="12.5" x14ac:dyDescent="0.25">
      <c r="A552" s="63" t="str">
        <f t="shared" si="1"/>
        <v>016/2024/064.826.384-30</v>
      </c>
      <c r="B552" s="63" t="s">
        <v>3895</v>
      </c>
      <c r="C552" s="65">
        <v>45698.356889050927</v>
      </c>
      <c r="D552" s="63" t="s">
        <v>3896</v>
      </c>
      <c r="E552" s="63" t="s">
        <v>3897</v>
      </c>
      <c r="F552" s="63" t="s">
        <v>3901</v>
      </c>
      <c r="G552" s="63" t="s">
        <v>3902</v>
      </c>
      <c r="H552" s="63" t="s">
        <v>1740</v>
      </c>
      <c r="I552" s="63" t="s">
        <v>3471</v>
      </c>
      <c r="J552" s="63">
        <v>2024</v>
      </c>
      <c r="K552" s="59" t="s">
        <v>16</v>
      </c>
      <c r="L552" s="59" t="s">
        <v>3903</v>
      </c>
      <c r="M552" s="58" t="s">
        <v>234</v>
      </c>
      <c r="N552" s="58" t="s">
        <v>1734</v>
      </c>
      <c r="O552" s="58" t="s">
        <v>3745</v>
      </c>
      <c r="P552" s="58" t="s">
        <v>16</v>
      </c>
    </row>
    <row r="553" spans="1:16" ht="12.5" x14ac:dyDescent="0.25">
      <c r="A553" s="63" t="str">
        <f t="shared" si="1"/>
        <v>016/2024/064.826.384-30</v>
      </c>
      <c r="B553" s="63" t="s">
        <v>3895</v>
      </c>
      <c r="C553" s="65">
        <v>45698.360021319444</v>
      </c>
      <c r="D553" s="63" t="s">
        <v>3896</v>
      </c>
      <c r="E553" s="63" t="s">
        <v>3897</v>
      </c>
      <c r="F553" s="63" t="s">
        <v>3904</v>
      </c>
      <c r="G553" s="63" t="s">
        <v>3902</v>
      </c>
      <c r="H553" s="63" t="s">
        <v>1740</v>
      </c>
      <c r="I553" s="63" t="s">
        <v>3471</v>
      </c>
      <c r="J553" s="63">
        <v>2024</v>
      </c>
      <c r="K553" s="59" t="s">
        <v>16</v>
      </c>
      <c r="L553" s="59" t="s">
        <v>3905</v>
      </c>
      <c r="M553" s="58" t="s">
        <v>234</v>
      </c>
      <c r="N553" s="58" t="s">
        <v>1734</v>
      </c>
      <c r="O553" s="58" t="s">
        <v>3745</v>
      </c>
      <c r="P553" s="58" t="s">
        <v>16</v>
      </c>
    </row>
    <row r="554" spans="1:16" ht="12.5" x14ac:dyDescent="0.25">
      <c r="A554" s="63" t="str">
        <f t="shared" si="1"/>
        <v>016/2024/063.832.534-09</v>
      </c>
      <c r="B554" s="63" t="s">
        <v>3895</v>
      </c>
      <c r="C554" s="65">
        <v>45698.365014571755</v>
      </c>
      <c r="D554" s="63" t="s">
        <v>3896</v>
      </c>
      <c r="E554" s="63" t="s">
        <v>3897</v>
      </c>
      <c r="F554" s="63" t="s">
        <v>3906</v>
      </c>
      <c r="G554" s="63" t="s">
        <v>3907</v>
      </c>
      <c r="H554" s="63" t="s">
        <v>1740</v>
      </c>
      <c r="I554" s="63" t="s">
        <v>3471</v>
      </c>
      <c r="J554" s="63">
        <v>2024</v>
      </c>
      <c r="K554" s="59" t="s">
        <v>16</v>
      </c>
      <c r="L554" s="59" t="s">
        <v>3908</v>
      </c>
      <c r="M554" s="58" t="s">
        <v>234</v>
      </c>
      <c r="N554" s="58" t="s">
        <v>1734</v>
      </c>
      <c r="O554" s="58" t="s">
        <v>3745</v>
      </c>
      <c r="P554" s="58" t="s">
        <v>16</v>
      </c>
    </row>
    <row r="555" spans="1:16" ht="12.5" x14ac:dyDescent="0.25">
      <c r="A555" s="63" t="str">
        <f t="shared" si="1"/>
        <v>016/2024/011.931.704-43</v>
      </c>
      <c r="B555" s="63" t="s">
        <v>3895</v>
      </c>
      <c r="C555" s="65">
        <v>45698.367302928236</v>
      </c>
      <c r="D555" s="63" t="s">
        <v>3896</v>
      </c>
      <c r="E555" s="63" t="s">
        <v>3897</v>
      </c>
      <c r="F555" s="63" t="s">
        <v>3909</v>
      </c>
      <c r="G555" s="63" t="s">
        <v>3910</v>
      </c>
      <c r="H555" s="63" t="s">
        <v>1740</v>
      </c>
      <c r="I555" s="63" t="s">
        <v>3471</v>
      </c>
      <c r="J555" s="63">
        <v>2024</v>
      </c>
      <c r="K555" s="59" t="s">
        <v>16</v>
      </c>
      <c r="L555" s="59" t="s">
        <v>3911</v>
      </c>
      <c r="M555" s="58" t="s">
        <v>234</v>
      </c>
      <c r="N555" s="58" t="s">
        <v>1734</v>
      </c>
      <c r="O555" s="58" t="s">
        <v>3745</v>
      </c>
      <c r="P555" s="58" t="s">
        <v>16</v>
      </c>
    </row>
    <row r="556" spans="1:16" ht="12.5" x14ac:dyDescent="0.25">
      <c r="A556" s="63" t="str">
        <f t="shared" si="1"/>
        <v>016/2024/011.025.273-00</v>
      </c>
      <c r="B556" s="63" t="s">
        <v>3895</v>
      </c>
      <c r="C556" s="65">
        <v>45698.370328275458</v>
      </c>
      <c r="D556" s="63" t="s">
        <v>3896</v>
      </c>
      <c r="E556" s="63" t="s">
        <v>3897</v>
      </c>
      <c r="F556" s="63" t="s">
        <v>3893</v>
      </c>
      <c r="G556" s="63" t="s">
        <v>3891</v>
      </c>
      <c r="H556" s="63" t="s">
        <v>1740</v>
      </c>
      <c r="I556" s="63" t="s">
        <v>3471</v>
      </c>
      <c r="J556" s="63">
        <v>2024</v>
      </c>
      <c r="K556" s="59" t="s">
        <v>16</v>
      </c>
      <c r="L556" s="59" t="s">
        <v>3912</v>
      </c>
      <c r="M556" s="58" t="s">
        <v>234</v>
      </c>
      <c r="N556" s="58" t="s">
        <v>1734</v>
      </c>
      <c r="O556" s="58" t="s">
        <v>3745</v>
      </c>
      <c r="P556" s="58" t="s">
        <v>16</v>
      </c>
    </row>
    <row r="557" spans="1:16" ht="12.5" x14ac:dyDescent="0.25">
      <c r="A557" s="63" t="str">
        <f t="shared" si="1"/>
        <v>016/2024/069.270.784-01</v>
      </c>
      <c r="B557" s="63" t="s">
        <v>3895</v>
      </c>
      <c r="C557" s="65">
        <v>45698.460273969904</v>
      </c>
      <c r="D557" s="63" t="s">
        <v>3896</v>
      </c>
      <c r="E557" s="63" t="s">
        <v>3897</v>
      </c>
      <c r="F557" s="63" t="s">
        <v>3913</v>
      </c>
      <c r="G557" s="63" t="s">
        <v>3914</v>
      </c>
      <c r="H557" s="63" t="s">
        <v>1740</v>
      </c>
      <c r="I557" s="63" t="s">
        <v>3471</v>
      </c>
      <c r="J557" s="63">
        <v>2024</v>
      </c>
      <c r="K557" s="59" t="s">
        <v>16</v>
      </c>
      <c r="L557" s="59" t="s">
        <v>3915</v>
      </c>
      <c r="M557" s="58" t="s">
        <v>234</v>
      </c>
      <c r="N557" s="58" t="s">
        <v>1734</v>
      </c>
      <c r="O557" s="58" t="s">
        <v>3745</v>
      </c>
      <c r="P557" s="58" t="s">
        <v>16</v>
      </c>
    </row>
    <row r="558" spans="1:16" ht="12.5" x14ac:dyDescent="0.25">
      <c r="A558" s="63" t="str">
        <f t="shared" si="1"/>
        <v>016/2024/023.673.794-59</v>
      </c>
      <c r="B558" s="63" t="s">
        <v>3883</v>
      </c>
      <c r="C558" s="65">
        <v>45698.550419189814</v>
      </c>
      <c r="D558" s="63" t="s">
        <v>3884</v>
      </c>
      <c r="E558" s="63"/>
      <c r="F558" s="63" t="s">
        <v>3916</v>
      </c>
      <c r="G558" s="63" t="s">
        <v>3883</v>
      </c>
      <c r="H558" s="63" t="s">
        <v>1747</v>
      </c>
      <c r="I558" s="63" t="s">
        <v>3471</v>
      </c>
      <c r="J558" s="63">
        <v>2024</v>
      </c>
      <c r="K558" s="59" t="s">
        <v>16</v>
      </c>
      <c r="L558" s="59" t="s">
        <v>3917</v>
      </c>
      <c r="M558" s="58" t="s">
        <v>234</v>
      </c>
      <c r="N558" s="58" t="s">
        <v>1734</v>
      </c>
      <c r="O558" s="58" t="s">
        <v>3745</v>
      </c>
      <c r="P558" s="58" t="s">
        <v>16</v>
      </c>
    </row>
    <row r="559" spans="1:16" ht="12.5" x14ac:dyDescent="0.25">
      <c r="A559" s="63" t="str">
        <f t="shared" si="1"/>
        <v>016/2024/100.617.664-02</v>
      </c>
      <c r="B559" s="63" t="s">
        <v>3918</v>
      </c>
      <c r="C559" s="65">
        <v>45698.686917881947</v>
      </c>
      <c r="D559" s="63" t="s">
        <v>3919</v>
      </c>
      <c r="E559" s="63"/>
      <c r="F559" s="63" t="s">
        <v>3920</v>
      </c>
      <c r="G559" s="63" t="s">
        <v>3918</v>
      </c>
      <c r="H559" s="63" t="s">
        <v>1747</v>
      </c>
      <c r="I559" s="63" t="s">
        <v>3471</v>
      </c>
      <c r="J559" s="63">
        <v>2024</v>
      </c>
      <c r="K559" s="59" t="s">
        <v>16</v>
      </c>
      <c r="L559" s="59" t="s">
        <v>3921</v>
      </c>
      <c r="M559" s="58" t="s">
        <v>234</v>
      </c>
      <c r="N559" s="58" t="s">
        <v>1734</v>
      </c>
      <c r="O559" s="58" t="s">
        <v>3745</v>
      </c>
      <c r="P559" s="58" t="s">
        <v>16</v>
      </c>
    </row>
    <row r="560" spans="1:16" ht="12.5" x14ac:dyDescent="0.25">
      <c r="A560" s="63" t="str">
        <f t="shared" si="1"/>
        <v>016/2024/054.923.964-20</v>
      </c>
      <c r="B560" s="63" t="s">
        <v>3922</v>
      </c>
      <c r="C560" s="65">
        <v>45700.341572060184</v>
      </c>
      <c r="D560" s="63" t="s">
        <v>3923</v>
      </c>
      <c r="E560" s="63"/>
      <c r="F560" s="63" t="s">
        <v>3924</v>
      </c>
      <c r="G560" s="63" t="s">
        <v>3922</v>
      </c>
      <c r="H560" s="63" t="s">
        <v>1747</v>
      </c>
      <c r="I560" s="63" t="s">
        <v>3471</v>
      </c>
      <c r="J560" s="63">
        <v>2024</v>
      </c>
      <c r="K560" s="59" t="s">
        <v>17</v>
      </c>
      <c r="L560" s="59" t="s">
        <v>3925</v>
      </c>
      <c r="M560" s="58" t="s">
        <v>234</v>
      </c>
      <c r="N560" s="58" t="s">
        <v>1734</v>
      </c>
      <c r="O560" s="58" t="s">
        <v>3745</v>
      </c>
      <c r="P560" s="58" t="s">
        <v>17</v>
      </c>
    </row>
    <row r="561" spans="1:18" ht="12.5" x14ac:dyDescent="0.25">
      <c r="A561" s="63" t="str">
        <f t="shared" si="1"/>
        <v>016/2024/119.544.954-20</v>
      </c>
      <c r="B561" s="63" t="s">
        <v>3926</v>
      </c>
      <c r="C561" s="65">
        <v>45700.591252546292</v>
      </c>
      <c r="D561" s="63" t="s">
        <v>3927</v>
      </c>
      <c r="E561" s="63"/>
      <c r="F561" s="63" t="s">
        <v>3928</v>
      </c>
      <c r="G561" s="63" t="s">
        <v>3926</v>
      </c>
      <c r="H561" s="63" t="s">
        <v>1747</v>
      </c>
      <c r="I561" s="63" t="s">
        <v>3471</v>
      </c>
      <c r="J561" s="63">
        <v>2024</v>
      </c>
      <c r="K561" s="59" t="s">
        <v>16</v>
      </c>
      <c r="L561" s="59" t="s">
        <v>3929</v>
      </c>
      <c r="M561" s="58" t="s">
        <v>234</v>
      </c>
      <c r="N561" s="58" t="s">
        <v>1734</v>
      </c>
      <c r="O561" s="58" t="s">
        <v>3745</v>
      </c>
      <c r="P561" s="58" t="s">
        <v>16</v>
      </c>
    </row>
    <row r="562" spans="1:18" ht="12.5" x14ac:dyDescent="0.25">
      <c r="A562" s="63" t="str">
        <f t="shared" si="1"/>
        <v>016/2024/109.006.574-48</v>
      </c>
      <c r="B562" s="63" t="s">
        <v>3930</v>
      </c>
      <c r="C562" s="65">
        <v>45700.628577291667</v>
      </c>
      <c r="D562" s="63" t="s">
        <v>3931</v>
      </c>
      <c r="E562" s="63"/>
      <c r="F562" s="63" t="s">
        <v>3932</v>
      </c>
      <c r="G562" s="63" t="s">
        <v>3930</v>
      </c>
      <c r="H562" s="63" t="s">
        <v>1747</v>
      </c>
      <c r="I562" s="63" t="s">
        <v>3471</v>
      </c>
      <c r="J562" s="63">
        <v>2024</v>
      </c>
      <c r="K562" s="59" t="s">
        <v>16</v>
      </c>
      <c r="L562" s="59" t="s">
        <v>3933</v>
      </c>
      <c r="M562" s="58" t="s">
        <v>234</v>
      </c>
      <c r="N562" s="58" t="s">
        <v>1734</v>
      </c>
      <c r="O562" s="58" t="s">
        <v>3745</v>
      </c>
      <c r="P562" s="58" t="s">
        <v>16</v>
      </c>
    </row>
    <row r="563" spans="1:18" ht="12.5" x14ac:dyDescent="0.25">
      <c r="A563" s="63" t="str">
        <f t="shared" si="1"/>
        <v/>
      </c>
      <c r="B563" s="63"/>
      <c r="C563" s="63"/>
      <c r="D563" s="63"/>
      <c r="E563" s="63"/>
      <c r="F563" s="63"/>
      <c r="G563" s="63"/>
      <c r="H563" s="63"/>
      <c r="I563" s="63"/>
      <c r="J563" s="63"/>
      <c r="K563" s="59"/>
      <c r="L563" s="59"/>
    </row>
    <row r="564" spans="1:18" ht="12.5" x14ac:dyDescent="0.25">
      <c r="A564" s="67" t="str">
        <f t="shared" ca="1" si="1"/>
        <v>NÚMERO DO EDITAL E ANO:/Drescreva o motivo:/NÚMERO DO CPF:</v>
      </c>
      <c r="B564" s="67" t="str">
        <f ca="1">IFERROR(__xludf.DUMMYFUNCTION("IMPORTRANGE(""https://docs.google.com/spreadsheets/d/1jtCLWj9BLtlV4pZx-Q8UIwqwDEnhD6dkWww0z-SY85o/edit?resourcekey=&amp;gid=410193202#gid=410193202"",""desligamentos!B1:L"")"),"NÚMERO DO CPF:")</f>
        <v>NÚMERO DO CPF:</v>
      </c>
      <c r="C564" s="68" t="str">
        <f ca="1">IFERROR(__xludf.DUMMYFUNCTION("""COMPUTED_VALUE"""),"Carimbo de data/hora")</f>
        <v>Carimbo de data/hora</v>
      </c>
      <c r="D564" s="67" t="str">
        <f ca="1">IFERROR(__xludf.DUMMYFUNCTION("""COMPUTED_VALUE"""),"Endereço de e-mail")</f>
        <v>Endereço de e-mail</v>
      </c>
      <c r="E564" s="67" t="str">
        <f ca="1">IFERROR(__xludf.DUMMYFUNCTION("""COMPUTED_VALUE"""),"IDENTIFICAÇÃO DO ENVIO DO TERMO DESISTÊNCIA   ")</f>
        <v xml:space="preserve">IDENTIFICAÇÃO DO ENVIO DO TERMO DESISTÊNCIA   </v>
      </c>
      <c r="F564" s="67" t="str">
        <f ca="1">IFERROR(__xludf.DUMMYFUNCTION("""COMPUTED_VALUE"""),"NOME COMPLETO:")</f>
        <v>NOME COMPLETO:</v>
      </c>
      <c r="G564" s="67" t="str">
        <f ca="1">IFERROR(__xludf.DUMMYFUNCTION("""COMPUTED_VALUE"""),"NÚMERO DO CPF:")</f>
        <v>NÚMERO DO CPF:</v>
      </c>
      <c r="H564" s="67" t="str">
        <f ca="1">IFERROR(__xludf.DUMMYFUNCTION("""COMPUTED_VALUE"""),"NOME COMPLETO:")</f>
        <v>NOME COMPLETO:</v>
      </c>
      <c r="I564" s="67" t="str">
        <f ca="1">IFERROR(__xludf.DUMMYFUNCTION("""COMPUTED_VALUE"""),"NÚMERO DO EDITAL E ANO:")</f>
        <v>NÚMERO DO EDITAL E ANO:</v>
      </c>
      <c r="J564" s="67" t="str">
        <f ca="1">IFERROR(__xludf.DUMMYFUNCTION("""COMPUTED_VALUE"""),"Drescreva o motivo:")</f>
        <v>Drescreva o motivo:</v>
      </c>
      <c r="K564" s="69" t="str">
        <f ca="1">IFERROR(__xludf.DUMMYFUNCTION("""COMPUTED_VALUE"""),"ACEITE DA DESISTÊNCIA:")</f>
        <v>ACEITE DA DESISTÊNCIA:</v>
      </c>
      <c r="L564" s="69" t="str">
        <f ca="1">IFERROR(__xludf.DUMMYFUNCTION("""COMPUTED_VALUE"""),"Documento de comprovação")</f>
        <v>Documento de comprovação</v>
      </c>
      <c r="M564" s="70"/>
      <c r="N564" s="70"/>
      <c r="O564" s="70"/>
      <c r="P564" s="70"/>
      <c r="Q564" s="70"/>
      <c r="R564" s="70"/>
    </row>
    <row r="565" spans="1:18" ht="12.5" x14ac:dyDescent="0.25">
      <c r="A565" s="63" t="str">
        <f t="shared" ref="A565:A1001" ca="1" si="2">IF(C565="","",I565&amp;"/"&amp;B565)</f>
        <v>000/0000/000.000.000-00</v>
      </c>
      <c r="B565" s="63" t="str">
        <f ca="1">IFERROR(__xludf.DUMMYFUNCTION("""COMPUTED_VALUE"""),"000.000.000-00")</f>
        <v>000.000.000-00</v>
      </c>
      <c r="C565" s="66" t="str">
        <f ca="1">IFERROR(__xludf.DUMMYFUNCTION("""COMPUTED_VALUE"""),"13/02/2025 16:06:38")</f>
        <v>13/02/2025 16:06:38</v>
      </c>
      <c r="D565" s="63" t="str">
        <f ca="1">IFERROR(__xludf.DUMMYFUNCTION("""COMPUTED_VALUE"""),"sibelle@see.pb.gov.br")</f>
        <v>sibelle@see.pb.gov.br</v>
      </c>
      <c r="E565" s="63" t="str">
        <f ca="1">IFERROR(__xludf.DUMMYFUNCTION("""COMPUTED_VALUE"""),"Sou o Bolsista Desistente")</f>
        <v>Sou o Bolsista Desistente</v>
      </c>
      <c r="F565" s="63"/>
      <c r="G565" s="63"/>
      <c r="H565" s="63" t="str">
        <f ca="1">IFERROR(__xludf.DUMMYFUNCTION("""COMPUTED_VALUE"""),"teste")</f>
        <v>teste</v>
      </c>
      <c r="I565" s="63" t="str">
        <f ca="1">IFERROR(__xludf.DUMMYFUNCTION("""COMPUTED_VALUE"""),"000/0000")</f>
        <v>000/0000</v>
      </c>
      <c r="J565" s="63" t="str">
        <f ca="1">IFERROR(__xludf.DUMMYFUNCTION("""COMPUTED_VALUE"""),"teste")</f>
        <v>teste</v>
      </c>
      <c r="K565"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65" s="59"/>
      <c r="N565" s="58" t="str">
        <f t="shared" ref="N565:N1001" ca="1" si="3">IF(A565="","","DESISTIU")</f>
        <v>DESISTIU</v>
      </c>
    </row>
    <row r="566" spans="1:18" ht="12.5" x14ac:dyDescent="0.25">
      <c r="A566" s="63" t="str">
        <f t="shared" ca="1" si="2"/>
        <v>000/0000/000.000.000-00</v>
      </c>
      <c r="B566" s="63" t="str">
        <f ca="1">IFERROR(__xludf.DUMMYFUNCTION("""COMPUTED_VALUE"""),"000.000.000-00")</f>
        <v>000.000.000-00</v>
      </c>
      <c r="C566" s="66" t="str">
        <f ca="1">IFERROR(__xludf.DUMMYFUNCTION("""COMPUTED_VALUE"""),"14/02/2025 09:31:03")</f>
        <v>14/02/2025 09:31:03</v>
      </c>
      <c r="D566" s="63" t="str">
        <f ca="1">IFERROR(__xludf.DUMMYFUNCTION("""COMPUTED_VALUE"""),"sibelle@see.pb.gov.br")</f>
        <v>sibelle@see.pb.gov.br</v>
      </c>
      <c r="E566" s="63" t="str">
        <f ca="1">IFERROR(__xludf.DUMMYFUNCTION("""COMPUTED_VALUE"""),"Faço Parte da Equipe Técnica Local ou  da Equipe da SEDE")</f>
        <v>Faço Parte da Equipe Técnica Local ou  da Equipe da SEDE</v>
      </c>
      <c r="F566" s="63" t="str">
        <f ca="1">IFERROR(__xludf.DUMMYFUNCTION("""COMPUTED_VALUE"""),"teste")</f>
        <v>teste</v>
      </c>
      <c r="G566" s="63" t="str">
        <f ca="1">IFERROR(__xludf.DUMMYFUNCTION("""COMPUTED_VALUE"""),"000.000.000-00")</f>
        <v>000.000.000-00</v>
      </c>
      <c r="H566" s="63" t="str">
        <f ca="1">IFERROR(__xludf.DUMMYFUNCTION("""COMPUTED_VALUE"""),"teste")</f>
        <v>teste</v>
      </c>
      <c r="I566" s="63" t="str">
        <f ca="1">IFERROR(__xludf.DUMMYFUNCTION("""COMPUTED_VALUE"""),"000/0000")</f>
        <v>000/0000</v>
      </c>
      <c r="J566" s="63" t="str">
        <f ca="1">IFERROR(__xludf.DUMMYFUNCTION("""COMPUTED_VALUE"""),"teste")</f>
        <v>teste</v>
      </c>
      <c r="K566"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66" s="71" t="str">
        <f ca="1">IFERROR(__xludf.DUMMYFUNCTION("""COMPUTED_VALUE"""),"https://drive.google.com/open?id=1kwTF2Lud5y0325VmUE4fF_cBkGsr_Amh")</f>
        <v>https://drive.google.com/open?id=1kwTF2Lud5y0325VmUE4fF_cBkGsr_Amh</v>
      </c>
      <c r="N566" s="58" t="str">
        <f t="shared" ca="1" si="3"/>
        <v>DESISTIU</v>
      </c>
    </row>
    <row r="567" spans="1:18" ht="12.5" x14ac:dyDescent="0.25">
      <c r="A567" s="63" t="str">
        <f t="shared" ca="1" si="2"/>
        <v>016/2024/099.084.594-06</v>
      </c>
      <c r="B567" s="63" t="str">
        <f ca="1">IFERROR(__xludf.DUMMYFUNCTION("""COMPUTED_VALUE"""),"099.084.594-06")</f>
        <v>099.084.594-06</v>
      </c>
      <c r="C567" s="66" t="str">
        <f ca="1">IFERROR(__xludf.DUMMYFUNCTION("""COMPUTED_VALUE"""),"14/02/2025 12:01:31")</f>
        <v>14/02/2025 12:01:31</v>
      </c>
      <c r="D567" s="63" t="str">
        <f ca="1">IFERROR(__xludf.DUMMYFUNCTION("""COMPUTED_VALUE"""),"felipebatistasilva.fbs@gmail.com")</f>
        <v>felipebatistasilva.fbs@gmail.com</v>
      </c>
      <c r="E567" s="63" t="str">
        <f ca="1">IFERROR(__xludf.DUMMYFUNCTION("""COMPUTED_VALUE"""),"Sou o Bolsista Desistente")</f>
        <v>Sou o Bolsista Desistente</v>
      </c>
      <c r="F567" s="63"/>
      <c r="G567" s="63"/>
      <c r="H567" s="63" t="str">
        <f ca="1">IFERROR(__xludf.DUMMYFUNCTION("""COMPUTED_VALUE"""),"FELIPE BATISTA DA SILVA")</f>
        <v>FELIPE BATISTA DA SILVA</v>
      </c>
      <c r="I567" s="63" t="str">
        <f ca="1">IFERROR(__xludf.DUMMYFUNCTION("""COMPUTED_VALUE"""),"016/2024")</f>
        <v>016/2024</v>
      </c>
      <c r="J567" s="63" t="str">
        <f ca="1">IFERROR(__xludf.DUMMYFUNCTION("""COMPUTED_VALUE"""),"Infelizmente, não poderei prosseguir com o projeto devido a projetos pessoais.")</f>
        <v>Infelizmente, não poderei prosseguir com o projeto devido a projetos pessoais.</v>
      </c>
      <c r="K567"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67" s="59"/>
      <c r="N567" s="58" t="str">
        <f t="shared" ca="1" si="3"/>
        <v>DESISTIU</v>
      </c>
    </row>
    <row r="568" spans="1:18" ht="12.5" x14ac:dyDescent="0.25">
      <c r="A568" s="63" t="str">
        <f t="shared" ca="1" si="2"/>
        <v>016/2024/755.465.404-78</v>
      </c>
      <c r="B568" s="63" t="str">
        <f ca="1">IFERROR(__xludf.DUMMYFUNCTION("""COMPUTED_VALUE"""),"755.465.404-78")</f>
        <v>755.465.404-78</v>
      </c>
      <c r="C568" s="66" t="str">
        <f ca="1">IFERROR(__xludf.DUMMYFUNCTION("""COMPUTED_VALUE"""),"14/02/2025 15:06:33")</f>
        <v>14/02/2025 15:06:33</v>
      </c>
      <c r="D568" s="63" t="str">
        <f ca="1">IFERROR(__xludf.DUMMYFUNCTION("""COMPUTED_VALUE"""),"leonardo.pessoa@see.pb.gov.br")</f>
        <v>leonardo.pessoa@see.pb.gov.br</v>
      </c>
      <c r="E568" s="63" t="str">
        <f ca="1">IFERROR(__xludf.DUMMYFUNCTION("""COMPUTED_VALUE"""),"Faço Parte da Equipe Técnica Local ou  da Equipe da SEDE")</f>
        <v>Faço Parte da Equipe Técnica Local ou  da Equipe da SEDE</v>
      </c>
      <c r="F568" s="63" t="str">
        <f ca="1">IFERROR(__xludf.DUMMYFUNCTION("""COMPUTED_VALUE"""),"JOSÉ LEONARDO PAIVA PESSOA")</f>
        <v>JOSÉ LEONARDO PAIVA PESSOA</v>
      </c>
      <c r="G568" s="63" t="str">
        <f ca="1">IFERROR(__xludf.DUMMYFUNCTION("""COMPUTED_VALUE"""),"928.960.064-00")</f>
        <v>928.960.064-00</v>
      </c>
      <c r="H568" s="63" t="str">
        <f ca="1">IFERROR(__xludf.DUMMYFUNCTION("""COMPUTED_VALUE"""),"LUCIA DE FATIMA DE ALMEIDA BARBOSA")</f>
        <v>LUCIA DE FATIMA DE ALMEIDA BARBOSA</v>
      </c>
      <c r="I568" s="63" t="str">
        <f ca="1">IFERROR(__xludf.DUMMYFUNCTION("""COMPUTED_VALUE"""),"016/2024")</f>
        <v>016/2024</v>
      </c>
      <c r="J568" s="63" t="str">
        <f ca="1">IFERROR(__xludf.DUMMYFUNCTION("""COMPUTED_VALUE"""),"Motivos Pessoais")</f>
        <v>Motivos Pessoais</v>
      </c>
      <c r="K568"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68" s="71" t="str">
        <f ca="1">IFERROR(__xludf.DUMMYFUNCTION("""COMPUTED_VALUE"""),"https://drive.google.com/open?id=1J7MigpvSAmiUxk7KyCozo_AfMoFGY3j_")</f>
        <v>https://drive.google.com/open?id=1J7MigpvSAmiUxk7KyCozo_AfMoFGY3j_</v>
      </c>
      <c r="N568" s="58" t="str">
        <f t="shared" ca="1" si="3"/>
        <v>DESISTIU</v>
      </c>
    </row>
    <row r="569" spans="1:18" ht="12.5" x14ac:dyDescent="0.25">
      <c r="A569" s="63" t="str">
        <f t="shared" ca="1" si="2"/>
        <v>016/2024/008.538.664-22</v>
      </c>
      <c r="B569" s="63" t="str">
        <f ca="1">IFERROR(__xludf.DUMMYFUNCTION("""COMPUTED_VALUE"""),"008.538.664-22")</f>
        <v>008.538.664-22</v>
      </c>
      <c r="C569" s="66" t="str">
        <f ca="1">IFERROR(__xludf.DUMMYFUNCTION("""COMPUTED_VALUE"""),"14/02/2025 19:16:59")</f>
        <v>14/02/2025 19:16:59</v>
      </c>
      <c r="D569" s="63" t="str">
        <f ca="1">IFERROR(__xludf.DUMMYFUNCTION("""COMPUTED_VALUE"""),"chicorialima@gmail.com")</f>
        <v>chicorialima@gmail.com</v>
      </c>
      <c r="E569" s="63" t="str">
        <f ca="1">IFERROR(__xludf.DUMMYFUNCTION("""COMPUTED_VALUE"""),"Sou o Bolsista Desistente")</f>
        <v>Sou o Bolsista Desistente</v>
      </c>
      <c r="F569" s="63"/>
      <c r="G569" s="63"/>
      <c r="H569" s="63" t="str">
        <f ca="1">IFERROR(__xludf.DUMMYFUNCTION("""COMPUTED_VALUE"""),"FRANCISCO DAS CHAGAS DE LIMA")</f>
        <v>FRANCISCO DAS CHAGAS DE LIMA</v>
      </c>
      <c r="I569" s="63" t="str">
        <f ca="1">IFERROR(__xludf.DUMMYFUNCTION("""COMPUTED_VALUE"""),"016/2024")</f>
        <v>016/2024</v>
      </c>
      <c r="J569" s="63" t="str">
        <f ca="1">IFERROR(__xludf.DUMMYFUNCTION("""COMPUTED_VALUE"""),"INCOMPATIBILIDADE DE HORÁRIOS")</f>
        <v>INCOMPATIBILIDADE DE HORÁRIOS</v>
      </c>
      <c r="K569"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69" s="59"/>
      <c r="N569" s="58" t="str">
        <f t="shared" ca="1" si="3"/>
        <v>DESISTIU</v>
      </c>
    </row>
    <row r="570" spans="1:18" ht="12.5" x14ac:dyDescent="0.25">
      <c r="A570" s="63" t="str">
        <f t="shared" ca="1" si="2"/>
        <v>016/2024/797.087.304-91</v>
      </c>
      <c r="B570" s="63" t="str">
        <f ca="1">IFERROR(__xludf.DUMMYFUNCTION("""COMPUTED_VALUE"""),"797.087.304-91")</f>
        <v>797.087.304-91</v>
      </c>
      <c r="C570" s="66" t="str">
        <f ca="1">IFERROR(__xludf.DUMMYFUNCTION("""COMPUTED_VALUE"""),"14/02/2025 19:17:11")</f>
        <v>14/02/2025 19:17:11</v>
      </c>
      <c r="D570" s="63" t="str">
        <f ca="1">IFERROR(__xludf.DUMMYFUNCTION("""COMPUTED_VALUE"""),"claudetepatricio19@gmail.com")</f>
        <v>claudetepatricio19@gmail.com</v>
      </c>
      <c r="E570" s="63" t="str">
        <f ca="1">IFERROR(__xludf.DUMMYFUNCTION("""COMPUTED_VALUE"""),"Sou o Bolsista Desistente")</f>
        <v>Sou o Bolsista Desistente</v>
      </c>
      <c r="F570" s="63"/>
      <c r="G570" s="63"/>
      <c r="H570" s="63" t="str">
        <f ca="1">IFERROR(__xludf.DUMMYFUNCTION("""COMPUTED_VALUE"""),"Claudete Patricio Alves Monteiro")</f>
        <v>Claudete Patricio Alves Monteiro</v>
      </c>
      <c r="I570" s="63" t="str">
        <f ca="1">IFERROR(__xludf.DUMMYFUNCTION("""COMPUTED_VALUE"""),"016/2024")</f>
        <v>016/2024</v>
      </c>
      <c r="J570" s="63" t="str">
        <f ca="1">IFERROR(__xludf.DUMMYFUNCTION("""COMPUTED_VALUE"""),"O professor desistiu de ministrar o curso, e eu não posso continuar nessa incerteza, por esse motivo decidi não mais continuar.")</f>
        <v>O professor desistiu de ministrar o curso, e eu não posso continuar nessa incerteza, por esse motivo decidi não mais continuar.</v>
      </c>
      <c r="K570"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70" s="59"/>
      <c r="N570" s="58" t="str">
        <f t="shared" ca="1" si="3"/>
        <v>DESISTIU</v>
      </c>
    </row>
    <row r="571" spans="1:18" ht="12.5" x14ac:dyDescent="0.25">
      <c r="A571" s="63" t="str">
        <f t="shared" ca="1" si="2"/>
        <v>016/2024/083.665.694-62</v>
      </c>
      <c r="B571" s="63" t="str">
        <f ca="1">IFERROR(__xludf.DUMMYFUNCTION("""COMPUTED_VALUE"""),"083.665.694-62")</f>
        <v>083.665.694-62</v>
      </c>
      <c r="C571" s="66" t="str">
        <f ca="1">IFERROR(__xludf.DUMMYFUNCTION("""COMPUTED_VALUE"""),"17/02/2025 08:03:01")</f>
        <v>17/02/2025 08:03:01</v>
      </c>
      <c r="D571" s="63" t="str">
        <f ca="1">IFERROR(__xludf.DUMMYFUNCTION("""COMPUTED_VALUE"""),"terezinharamalho61@gmail.com")</f>
        <v>terezinharamalho61@gmail.com</v>
      </c>
      <c r="E571" s="63" t="str">
        <f ca="1">IFERROR(__xludf.DUMMYFUNCTION("""COMPUTED_VALUE"""),"Sou o Bolsista Desistente")</f>
        <v>Sou o Bolsista Desistente</v>
      </c>
      <c r="F571" s="63"/>
      <c r="G571" s="63"/>
      <c r="H571" s="63" t="str">
        <f ca="1">IFERROR(__xludf.DUMMYFUNCTION("""COMPUTED_VALUE"""),"INGRID RAMALHO MARQUES")</f>
        <v>INGRID RAMALHO MARQUES</v>
      </c>
      <c r="I571" s="63" t="str">
        <f ca="1">IFERROR(__xludf.DUMMYFUNCTION("""COMPUTED_VALUE"""),"016/2024")</f>
        <v>016/2024</v>
      </c>
      <c r="J571" s="63" t="str">
        <f ca="1">IFERROR(__xludf.DUMMYFUNCTION("""COMPUTED_VALUE"""),"Venho por meio deste, apresentar minha justificativa de desistência da atividade de professora do PARAÍBATEC que vinha sendo desenvolvida com dedicação e empenho.
Infelizmente, devido a circunstâncias alheias à minha vontade, fui compelido a reavaliar min"&amp;"ha disponibilidade para continuar com essa atividade. No início do ano presente, houve uma mudança na chefia da instituição a qual trabalho em outra cidade, o que resultou em uma reorganização dos horários e prioridades.
Infelizmente, a nova chefia não co"&amp;"nseguiu conciliar o horário previamente estabelecido para essa atividade com as novas demandas e prioridades da instituição. Em contraste com o anterior chefe, que havia concebido e aprovado o horário inicialmente estabelecido, a nova liderança não pôde g"&amp;"arantir a continuidade desse arranjo.
Diante dessa situação, e considerando a importância de honrar meus compromissos e responsabilidades, fui obrigado a tomar a difícil decisão de desistir da atividade. Lamento qualquer inconveniente que essa decisão pos"&amp;"sa causar e agradeço a oportunidade de ter participado dessa iniciativa.
Agradeço desde já a compreensão e apoio nesse momento.
Atenciosamente,
Ingrid Ramalho Marques
")</f>
        <v xml:space="preserve">Venho por meio deste, apresentar minha justificativa de desistência da atividade de professora do PARAÍBATEC que vinha sendo desenvolvida com dedicação e empenho.
Infelizmente, devido a circunstâncias alheias à minha vontade, fui compelido a reavaliar minha disponibilidade para continuar com essa atividade. No início do ano presente, houve uma mudança na chefia da instituição a qual trabalho em outra cidade, o que resultou em uma reorganização dos horários e prioridades.
Infelizmente, a nova chefia não conseguiu conciliar o horário previamente estabelecido para essa atividade com as novas demandas e prioridades da instituição. Em contraste com o anterior chefe, que havia concebido e aprovado o horário inicialmente estabelecido, a nova liderança não pôde garantir a continuidade desse arranjo.
Diante dessa situação, e considerando a importância de honrar meus compromissos e responsabilidades, fui obrigado a tomar a difícil decisão de desistir da atividade. Lamento qualquer inconveniente que essa decisão possa causar e agradeço a oportunidade de ter participado dessa iniciativa.
Agradeço desde já a compreensão e apoio nesse momento.
Atenciosamente,
Ingrid Ramalho Marques
</v>
      </c>
      <c r="K571"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71" s="59"/>
      <c r="N571" s="58" t="str">
        <f t="shared" ca="1" si="3"/>
        <v>DESISTIU</v>
      </c>
    </row>
    <row r="572" spans="1:18" ht="12.5" x14ac:dyDescent="0.25">
      <c r="A572" s="63" t="str">
        <f t="shared" ca="1" si="2"/>
        <v>016/2024/078.775.494-31</v>
      </c>
      <c r="B572" s="63" t="str">
        <f ca="1">IFERROR(__xludf.DUMMYFUNCTION("""COMPUTED_VALUE"""),"078.775.494-31")</f>
        <v>078.775.494-31</v>
      </c>
      <c r="C572" s="66" t="str">
        <f ca="1">IFERROR(__xludf.DUMMYFUNCTION("""COMPUTED_VALUE"""),"17/02/2025 14:17:03")</f>
        <v>17/02/2025 14:17:03</v>
      </c>
      <c r="D572" s="63" t="str">
        <f ca="1">IFERROR(__xludf.DUMMYFUNCTION("""COMPUTED_VALUE"""),"renatovazzabele@gmail.com")</f>
        <v>renatovazzabele@gmail.com</v>
      </c>
      <c r="E572" s="63" t="str">
        <f ca="1">IFERROR(__xludf.DUMMYFUNCTION("""COMPUTED_VALUE"""),"Sou o Bolsista Desistente")</f>
        <v>Sou o Bolsista Desistente</v>
      </c>
      <c r="F572" s="63"/>
      <c r="G572" s="63"/>
      <c r="H572" s="63" t="str">
        <f ca="1">IFERROR(__xludf.DUMMYFUNCTION("""COMPUTED_VALUE"""),"Renato Vaz Alves ")</f>
        <v xml:space="preserve">Renato Vaz Alves </v>
      </c>
      <c r="I572" s="63" t="str">
        <f ca="1">IFERROR(__xludf.DUMMYFUNCTION("""COMPUTED_VALUE"""),"016/2024")</f>
        <v>016/2024</v>
      </c>
      <c r="J572" s="63" t="str">
        <f ca="1">IFERROR(__xludf.DUMMYFUNCTION("""COMPUTED_VALUE"""),"A turma demorou para formar e eu consegui outro emprego ")</f>
        <v xml:space="preserve">A turma demorou para formar e eu consegui outro emprego </v>
      </c>
      <c r="K572"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72" s="59"/>
      <c r="N572" s="58" t="str">
        <f t="shared" ca="1" si="3"/>
        <v>DESISTIU</v>
      </c>
    </row>
    <row r="573" spans="1:18" ht="12.5" x14ac:dyDescent="0.25">
      <c r="A573" s="63" t="str">
        <f t="shared" ca="1" si="2"/>
        <v>016/2024/100.728.054-98</v>
      </c>
      <c r="B573" s="63" t="str">
        <f ca="1">IFERROR(__xludf.DUMMYFUNCTION("""COMPUTED_VALUE"""),"100.728.054-98")</f>
        <v>100.728.054-98</v>
      </c>
      <c r="C573" s="66" t="str">
        <f ca="1">IFERROR(__xludf.DUMMYFUNCTION("""COMPUTED_VALUE"""),"17/02/2025 14:20:06")</f>
        <v>17/02/2025 14:20:06</v>
      </c>
      <c r="D573" s="63" t="str">
        <f ca="1">IFERROR(__xludf.DUMMYFUNCTION("""COMPUTED_VALUE"""),"pereirajaedson21@gmail.com")</f>
        <v>pereirajaedson21@gmail.com</v>
      </c>
      <c r="E573" s="63" t="str">
        <f ca="1">IFERROR(__xludf.DUMMYFUNCTION("""COMPUTED_VALUE"""),"Sou o Bolsista Desistente")</f>
        <v>Sou o Bolsista Desistente</v>
      </c>
      <c r="F573" s="63"/>
      <c r="G573" s="63"/>
      <c r="H573" s="63" t="str">
        <f ca="1">IFERROR(__xludf.DUMMYFUNCTION("""COMPUTED_VALUE"""),"Jaedson dos Santos Pereira ")</f>
        <v xml:space="preserve">Jaedson dos Santos Pereira </v>
      </c>
      <c r="I573" s="63" t="str">
        <f ca="1">IFERROR(__xludf.DUMMYFUNCTION("""COMPUTED_VALUE"""),"016/2024")</f>
        <v>016/2024</v>
      </c>
      <c r="J573" s="63" t="str">
        <f ca="1">IFERROR(__xludf.DUMMYFUNCTION("""COMPUTED_VALUE"""),"Falta de tempo ")</f>
        <v xml:space="preserve">Falta de tempo </v>
      </c>
      <c r="K573"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73" s="59"/>
      <c r="N573" s="58" t="str">
        <f t="shared" ca="1" si="3"/>
        <v>DESISTIU</v>
      </c>
    </row>
    <row r="574" spans="1:18" ht="12.5" x14ac:dyDescent="0.25">
      <c r="A574" s="63" t="str">
        <f t="shared" si="2"/>
        <v/>
      </c>
      <c r="B574" s="63"/>
      <c r="C574" s="63"/>
      <c r="D574" s="63"/>
      <c r="E574" s="63"/>
      <c r="F574" s="63"/>
      <c r="G574" s="63"/>
      <c r="H574" s="63"/>
      <c r="I574" s="63"/>
      <c r="J574" s="63"/>
      <c r="K574" s="59"/>
      <c r="L574" s="59"/>
      <c r="N574" s="58" t="str">
        <f t="shared" si="3"/>
        <v/>
      </c>
    </row>
    <row r="575" spans="1:18" ht="12.5" x14ac:dyDescent="0.25">
      <c r="A575" s="63" t="str">
        <f t="shared" ca="1" si="2"/>
        <v>016/2024/061.058.094-92</v>
      </c>
      <c r="B575" s="63" t="str">
        <f ca="1">IFERROR(__xludf.DUMMYFUNCTION("""COMPUTED_VALUE"""),"061.058.094-92")</f>
        <v>061.058.094-92</v>
      </c>
      <c r="C575" s="66" t="str">
        <f ca="1">IFERROR(__xludf.DUMMYFUNCTION("""COMPUTED_VALUE"""),"20/02/2025 01:24:43")</f>
        <v>20/02/2025 01:24:43</v>
      </c>
      <c r="D575" s="63" t="str">
        <f ca="1">IFERROR(__xludf.DUMMYFUNCTION("""COMPUTED_VALUE"""),"glicerinaldo.gomes@professor.pb.gov.br")</f>
        <v>glicerinaldo.gomes@professor.pb.gov.br</v>
      </c>
      <c r="E575" s="63" t="str">
        <f ca="1">IFERROR(__xludf.DUMMYFUNCTION("""COMPUTED_VALUE"""),"Sou o Bolsista Desistente")</f>
        <v>Sou o Bolsista Desistente</v>
      </c>
      <c r="F575" s="63"/>
      <c r="G575" s="63"/>
      <c r="H575" s="63" t="str">
        <f ca="1">IFERROR(__xludf.DUMMYFUNCTION("""COMPUTED_VALUE"""),"GLICERINALDO DE SOUSA GOMES")</f>
        <v>GLICERINALDO DE SOUSA GOMES</v>
      </c>
      <c r="I575" s="63" t="str">
        <f ca="1">IFERROR(__xludf.DUMMYFUNCTION("""COMPUTED_VALUE"""),"016/2024")</f>
        <v>016/2024</v>
      </c>
      <c r="J575" s="63" t="str">
        <f ca="1">IFERROR(__xludf.DUMMYFUNCTION("""COMPUTED_VALUE"""),"Problemas com deslocamento que impedem o bom desenvolvimento das funções no programa, tendo em vista residir em outro município. ")</f>
        <v xml:space="preserve">Problemas com deslocamento que impedem o bom desenvolvimento das funções no programa, tendo em vista residir em outro município. </v>
      </c>
      <c r="K575"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75" s="59"/>
      <c r="N575" s="58" t="str">
        <f t="shared" ca="1" si="3"/>
        <v>DESISTIU</v>
      </c>
    </row>
    <row r="576" spans="1:18" ht="12.5" x14ac:dyDescent="0.25">
      <c r="A576" s="63" t="str">
        <f t="shared" ca="1" si="2"/>
        <v>016/2024/494.183.943-91</v>
      </c>
      <c r="B576" s="63" t="str">
        <f ca="1">IFERROR(__xludf.DUMMYFUNCTION("""COMPUTED_VALUE"""),"494.183.943-91")</f>
        <v>494.183.943-91</v>
      </c>
      <c r="C576" s="66" t="str">
        <f ca="1">IFERROR(__xludf.DUMMYFUNCTION("""COMPUTED_VALUE"""),"25/02/2025 10:36:27")</f>
        <v>25/02/2025 10:36:27</v>
      </c>
      <c r="D576" s="63" t="str">
        <f ca="1">IFERROR(__xludf.DUMMYFUNCTION("""COMPUTED_VALUE"""),"anasilviauned@gmail.com")</f>
        <v>anasilviauned@gmail.com</v>
      </c>
      <c r="E576" s="63" t="str">
        <f ca="1">IFERROR(__xludf.DUMMYFUNCTION("""COMPUTED_VALUE"""),"Sou o Bolsista Desistente")</f>
        <v>Sou o Bolsista Desistente</v>
      </c>
      <c r="F576" s="63"/>
      <c r="G576" s="63"/>
      <c r="H576" s="63" t="str">
        <f ca="1">IFERROR(__xludf.DUMMYFUNCTION("""COMPUTED_VALUE"""),"Ana Silvia Guimarães Machado ")</f>
        <v xml:space="preserve">Ana Silvia Guimarães Machado </v>
      </c>
      <c r="I576" s="63" t="str">
        <f ca="1">IFERROR(__xludf.DUMMYFUNCTION("""COMPUTED_VALUE"""),"016/2024")</f>
        <v>016/2024</v>
      </c>
      <c r="J576" s="63" t="str">
        <f ca="1">IFERROR(__xludf.DUMMYFUNCTION("""COMPUTED_VALUE"""),"Minha família e eu mudaremos de cidade. ")</f>
        <v xml:space="preserve">Minha família e eu mudaremos de cidade. </v>
      </c>
      <c r="K576"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76" s="59"/>
      <c r="N576" s="58" t="str">
        <f t="shared" ca="1" si="3"/>
        <v>DESISTIU</v>
      </c>
    </row>
    <row r="577" spans="1:14" ht="12.5" x14ac:dyDescent="0.25">
      <c r="A577" s="63" t="str">
        <f t="shared" ca="1" si="2"/>
        <v>016/2024/070.012.194-36</v>
      </c>
      <c r="B577" s="63" t="str">
        <f ca="1">IFERROR(__xludf.DUMMYFUNCTION("""COMPUTED_VALUE"""),"070.012.194-36")</f>
        <v>070.012.194-36</v>
      </c>
      <c r="C577" s="66" t="str">
        <f ca="1">IFERROR(__xludf.DUMMYFUNCTION("""COMPUTED_VALUE"""),"25/02/2025 14:27:16")</f>
        <v>25/02/2025 14:27:16</v>
      </c>
      <c r="D577" s="63" t="str">
        <f ca="1">IFERROR(__xludf.DUMMYFUNCTION("""COMPUTED_VALUE"""),"prof.douglas934@gmail.com")</f>
        <v>prof.douglas934@gmail.com</v>
      </c>
      <c r="E577" s="63" t="str">
        <f ca="1">IFERROR(__xludf.DUMMYFUNCTION("""COMPUTED_VALUE"""),"Faço Parte da Equipe Técnica Local ou  da Equipe da SEDE")</f>
        <v>Faço Parte da Equipe Técnica Local ou  da Equipe da SEDE</v>
      </c>
      <c r="F577" s="63" t="str">
        <f ca="1">IFERROR(__xludf.DUMMYFUNCTION("""COMPUTED_VALUE"""),"DOUGLAS WILLIAM QUIRINO PEREIRA")</f>
        <v>DOUGLAS WILLIAM QUIRINO PEREIRA</v>
      </c>
      <c r="G577" s="63" t="str">
        <f ca="1">IFERROR(__xludf.DUMMYFUNCTION("""COMPUTED_VALUE"""),"070.012.194-36")</f>
        <v>070.012.194-36</v>
      </c>
      <c r="H577" s="63" t="str">
        <f ca="1">IFERROR(__xludf.DUMMYFUNCTION("""COMPUTED_VALUE"""),"DOUGLAS WILLIAM QUIRINO PEREIRA")</f>
        <v>DOUGLAS WILLIAM QUIRINO PEREIRA</v>
      </c>
      <c r="I577" s="63" t="str">
        <f ca="1">IFERROR(__xludf.DUMMYFUNCTION("""COMPUTED_VALUE"""),"016/2024")</f>
        <v>016/2024</v>
      </c>
      <c r="J577" s="63" t="str">
        <f ca="1">IFERROR(__xludf.DUMMYFUNCTION("""COMPUTED_VALUE"""),"POSSE VALILDADA NO EDITAL 029/2024")</f>
        <v>POSSE VALILDADA NO EDITAL 029/2024</v>
      </c>
      <c r="K577"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77" s="71" t="str">
        <f ca="1">IFERROR(__xludf.DUMMYFUNCTION("""COMPUTED_VALUE"""),"https://drive.google.com/open?id=1h0JIEkLI3AIQPlPVic4i657JGr1sT7Ho")</f>
        <v>https://drive.google.com/open?id=1h0JIEkLI3AIQPlPVic4i657JGr1sT7Ho</v>
      </c>
      <c r="N577" s="58" t="str">
        <f t="shared" ca="1" si="3"/>
        <v>DESISTIU</v>
      </c>
    </row>
    <row r="578" spans="1:14" ht="12.5" x14ac:dyDescent="0.25">
      <c r="A578" s="63" t="str">
        <f t="shared" ca="1" si="2"/>
        <v>029/2024/090.124.974-26</v>
      </c>
      <c r="B578" s="63" t="str">
        <f ca="1">IFERROR(__xludf.DUMMYFUNCTION("""COMPUTED_VALUE"""),"090.124.974-26")</f>
        <v>090.124.974-26</v>
      </c>
      <c r="C578" s="66" t="str">
        <f ca="1">IFERROR(__xludf.DUMMYFUNCTION("""COMPUTED_VALUE"""),"27/02/2025 17:23:58")</f>
        <v>27/02/2025 17:23:58</v>
      </c>
      <c r="D578" s="63" t="str">
        <f ca="1">IFERROR(__xludf.DUMMYFUNCTION("""COMPUTED_VALUE"""),"debiled8@gmail.com")</f>
        <v>debiled8@gmail.com</v>
      </c>
      <c r="E578" s="63" t="str">
        <f ca="1">IFERROR(__xludf.DUMMYFUNCTION("""COMPUTED_VALUE"""),"Sou o Bolsista Desistente")</f>
        <v>Sou o Bolsista Desistente</v>
      </c>
      <c r="F578" s="63"/>
      <c r="G578" s="63"/>
      <c r="H578" s="63" t="str">
        <f ca="1">IFERROR(__xludf.DUMMYFUNCTION("""COMPUTED_VALUE"""),"Déborah Maria da Cunha Lima")</f>
        <v>Déborah Maria da Cunha Lima</v>
      </c>
      <c r="I578" s="63" t="str">
        <f ca="1">IFERROR(__xludf.DUMMYFUNCTION("""COMPUTED_VALUE"""),"029/2024")</f>
        <v>029/2024</v>
      </c>
      <c r="J578" s="63" t="str">
        <f ca="1">IFERROR(__xludf.DUMMYFUNCTION("""COMPUTED_VALUE"""),"Eu passei em  outro edital do Paraiba tec 27/2024 lotada na minha cidade, então fica melhor para mim")</f>
        <v>Eu passei em  outro edital do Paraiba tec 27/2024 lotada na minha cidade, então fica melhor para mim</v>
      </c>
      <c r="K578"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78" s="59"/>
      <c r="N578" s="58" t="str">
        <f t="shared" ca="1" si="3"/>
        <v>DESISTIU</v>
      </c>
    </row>
    <row r="579" spans="1:14" ht="12.5" x14ac:dyDescent="0.25">
      <c r="A579" s="63" t="str">
        <f t="shared" ca="1" si="2"/>
        <v>016/2024/100.156.624-62</v>
      </c>
      <c r="B579" s="63" t="str">
        <f ca="1">IFERROR(__xludf.DUMMYFUNCTION("""COMPUTED_VALUE"""),"100.156.624-62")</f>
        <v>100.156.624-62</v>
      </c>
      <c r="C579" s="66" t="str">
        <f ca="1">IFERROR(__xludf.DUMMYFUNCTION("""COMPUTED_VALUE"""),"27/02/2025 22:34:18")</f>
        <v>27/02/2025 22:34:18</v>
      </c>
      <c r="D579" s="63" t="str">
        <f ca="1">IFERROR(__xludf.DUMMYFUNCTION("""COMPUTED_VALUE"""),"professorjoaobrito@gmail.com")</f>
        <v>professorjoaobrito@gmail.com</v>
      </c>
      <c r="E579" s="63" t="str">
        <f ca="1">IFERROR(__xludf.DUMMYFUNCTION("""COMPUTED_VALUE"""),"Sou o Bolsista Desistente")</f>
        <v>Sou o Bolsista Desistente</v>
      </c>
      <c r="F579" s="63"/>
      <c r="G579" s="63"/>
      <c r="H579" s="63" t="str">
        <f ca="1">IFERROR(__xludf.DUMMYFUNCTION("""COMPUTED_VALUE"""),"João Paulo Brito Lima ")</f>
        <v xml:space="preserve">João Paulo Brito Lima </v>
      </c>
      <c r="I579" s="63" t="str">
        <f ca="1">IFERROR(__xludf.DUMMYFUNCTION("""COMPUTED_VALUE"""),"016/2024")</f>
        <v>016/2024</v>
      </c>
      <c r="J579" s="63" t="str">
        <f ca="1">IFERROR(__xludf.DUMMYFUNCTION("""COMPUTED_VALUE"""),"O horário disponível para exercer o trabalho é incompatível com minha disponibilidade ")</f>
        <v xml:space="preserve">O horário disponível para exercer o trabalho é incompatível com minha disponibilidade </v>
      </c>
      <c r="K579"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79" s="59"/>
      <c r="N579" s="58" t="str">
        <f t="shared" ca="1" si="3"/>
        <v>DESISTIU</v>
      </c>
    </row>
    <row r="580" spans="1:14" ht="12.5" x14ac:dyDescent="0.25">
      <c r="A580" s="63" t="str">
        <f t="shared" ca="1" si="2"/>
        <v>027/2024/033.687.074-42</v>
      </c>
      <c r="B580" s="63" t="str">
        <f ca="1">IFERROR(__xludf.DUMMYFUNCTION("""COMPUTED_VALUE"""),"033.687.074-42")</f>
        <v>033.687.074-42</v>
      </c>
      <c r="C580" s="66" t="str">
        <f ca="1">IFERROR(__xludf.DUMMYFUNCTION("""COMPUTED_VALUE"""),"28/02/2025 12:51:52")</f>
        <v>28/02/2025 12:51:52</v>
      </c>
      <c r="D580" s="63" t="str">
        <f ca="1">IFERROR(__xludf.DUMMYFUNCTION("""COMPUTED_VALUE"""),"carneirovida@gmail.com")</f>
        <v>carneirovida@gmail.com</v>
      </c>
      <c r="E580" s="63" t="str">
        <f ca="1">IFERROR(__xludf.DUMMYFUNCTION("""COMPUTED_VALUE"""),"Sou o Bolsista Desistente")</f>
        <v>Sou o Bolsista Desistente</v>
      </c>
      <c r="F580" s="63"/>
      <c r="G580" s="63"/>
      <c r="H580" s="63" t="str">
        <f ca="1">IFERROR(__xludf.DUMMYFUNCTION("""COMPUTED_VALUE"""),"Luciane Carneiro de Souza ")</f>
        <v xml:space="preserve">Luciane Carneiro de Souza </v>
      </c>
      <c r="I580" s="63" t="str">
        <f ca="1">IFERROR(__xludf.DUMMYFUNCTION("""COMPUTED_VALUE"""),"027/2024")</f>
        <v>027/2024</v>
      </c>
      <c r="J580" s="63" t="str">
        <f ca="1">IFERROR(__xludf.DUMMYFUNCTION("""COMPUTED_VALUE"""),"Fui a aprovada e estou já trabalhando no curso técnico auxiliar pedagógico,  como professora. Do paraiba Tec. ")</f>
        <v xml:space="preserve">Fui a aprovada e estou já trabalhando no curso técnico auxiliar pedagógico,  como professora. Do paraiba Tec. </v>
      </c>
      <c r="K580"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80" s="59"/>
      <c r="N580" s="58" t="str">
        <f t="shared" ca="1" si="3"/>
        <v>DESISTIU</v>
      </c>
    </row>
    <row r="581" spans="1:14" ht="12.5" x14ac:dyDescent="0.25">
      <c r="A581" s="63" t="str">
        <f t="shared" ca="1" si="2"/>
        <v>016/2024/063.134.354-78</v>
      </c>
      <c r="B581" s="63" t="str">
        <f ca="1">IFERROR(__xludf.DUMMYFUNCTION("""COMPUTED_VALUE"""),"063.134.354-78")</f>
        <v>063.134.354-78</v>
      </c>
      <c r="C581" s="66" t="str">
        <f ca="1">IFERROR(__xludf.DUMMYFUNCTION("""COMPUTED_VALUE"""),"28/02/2025 12:56:42")</f>
        <v>28/02/2025 12:56:42</v>
      </c>
      <c r="D581" s="63" t="str">
        <f ca="1">IFERROR(__xludf.DUMMYFUNCTION("""COMPUTED_VALUE"""),"danillosilvaguimaraes@gmail.com")</f>
        <v>danillosilvaguimaraes@gmail.com</v>
      </c>
      <c r="E581" s="63" t="str">
        <f ca="1">IFERROR(__xludf.DUMMYFUNCTION("""COMPUTED_VALUE"""),"Sou o Bolsista Desistente")</f>
        <v>Sou o Bolsista Desistente</v>
      </c>
      <c r="F581" s="63"/>
      <c r="G581" s="63"/>
      <c r="H581" s="63" t="str">
        <f ca="1">IFERROR(__xludf.DUMMYFUNCTION("""COMPUTED_VALUE"""),"Danillo Silva Guimarães ")</f>
        <v xml:space="preserve">Danillo Silva Guimarães </v>
      </c>
      <c r="I581" s="63" t="str">
        <f ca="1">IFERROR(__xludf.DUMMYFUNCTION("""COMPUTED_VALUE"""),"016/2024")</f>
        <v>016/2024</v>
      </c>
      <c r="J581" s="63" t="str">
        <f ca="1">IFERROR(__xludf.DUMMYFUNCTION("""COMPUTED_VALUE"""),"O Motivo para meu desligados foi minha nomeação como professor de língua espanhola no Município de Pocinhos e na Cidade de Esperança comumente com início imediato. ")</f>
        <v xml:space="preserve">O Motivo para meu desligados foi minha nomeação como professor de língua espanhola no Município de Pocinhos e na Cidade de Esperança comumente com início imediato. </v>
      </c>
      <c r="K581"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81" s="59"/>
      <c r="N581" s="58" t="str">
        <f t="shared" ca="1" si="3"/>
        <v>DESISTIU</v>
      </c>
    </row>
    <row r="582" spans="1:14" ht="12.5" x14ac:dyDescent="0.25">
      <c r="A582" s="63" t="str">
        <f t="shared" ca="1" si="2"/>
        <v>029/2024/073.472.414-48</v>
      </c>
      <c r="B582" s="63" t="str">
        <f ca="1">IFERROR(__xludf.DUMMYFUNCTION("""COMPUTED_VALUE"""),"073.472.414-48")</f>
        <v>073.472.414-48</v>
      </c>
      <c r="C582" s="66" t="str">
        <f ca="1">IFERROR(__xludf.DUMMYFUNCTION("""COMPUTED_VALUE"""),"28/02/2025 14:25:11")</f>
        <v>28/02/2025 14:25:11</v>
      </c>
      <c r="D582" s="63" t="str">
        <f ca="1">IFERROR(__xludf.DUMMYFUNCTION("""COMPUTED_VALUE"""),"flaviano.pereira.0748.pbtec23@escola.pb.gov.br")</f>
        <v>flaviano.pereira.0748.pbtec23@escola.pb.gov.br</v>
      </c>
      <c r="E582" s="63" t="str">
        <f ca="1">IFERROR(__xludf.DUMMYFUNCTION("""COMPUTED_VALUE"""),"Sou o Bolsista Desistente")</f>
        <v>Sou o Bolsista Desistente</v>
      </c>
      <c r="F582" s="63"/>
      <c r="G582" s="63"/>
      <c r="H582" s="63" t="str">
        <f ca="1">IFERROR(__xludf.DUMMYFUNCTION("""COMPUTED_VALUE"""),"FLAVIANO MOURA PEREIRA ")</f>
        <v xml:space="preserve">FLAVIANO MOURA PEREIRA </v>
      </c>
      <c r="I582" s="63" t="str">
        <f ca="1">IFERROR(__xludf.DUMMYFUNCTION("""COMPUTED_VALUE"""),"029/2024")</f>
        <v>029/2024</v>
      </c>
      <c r="J582" s="63" t="str">
        <f ca="1">IFERROR(__xludf.DUMMYFUNCTION("""COMPUTED_VALUE"""),"Estou desistindo porque o programa exige a presença na cidade de João Pessoa para o trabalho e moro na cidade de Paulista-PB no sertão da Paraíba. ")</f>
        <v xml:space="preserve">Estou desistindo porque o programa exige a presença na cidade de João Pessoa para o trabalho e moro na cidade de Paulista-PB no sertão da Paraíba. </v>
      </c>
      <c r="K582"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82" s="59"/>
      <c r="N582" s="58" t="str">
        <f t="shared" ca="1" si="3"/>
        <v>DESISTIU</v>
      </c>
    </row>
    <row r="583" spans="1:14" ht="12.5" x14ac:dyDescent="0.25">
      <c r="A583" s="63" t="str">
        <f t="shared" ca="1" si="2"/>
        <v>027/2024/108.795.654-46</v>
      </c>
      <c r="B583" s="63" t="str">
        <f ca="1">IFERROR(__xludf.DUMMYFUNCTION("""COMPUTED_VALUE"""),"108.795.654-46")</f>
        <v>108.795.654-46</v>
      </c>
      <c r="C583" s="66" t="str">
        <f ca="1">IFERROR(__xludf.DUMMYFUNCTION("""COMPUTED_VALUE"""),"28/02/2025 18:56:14")</f>
        <v>28/02/2025 18:56:14</v>
      </c>
      <c r="D583" s="63" t="str">
        <f ca="1">IFERROR(__xludf.DUMMYFUNCTION("""COMPUTED_VALUE"""),"danieres.sousa@professor.pb.gov.br")</f>
        <v>danieres.sousa@professor.pb.gov.br</v>
      </c>
      <c r="E583" s="63" t="str">
        <f ca="1">IFERROR(__xludf.DUMMYFUNCTION("""COMPUTED_VALUE"""),"Sou o Bolsista Desistente")</f>
        <v>Sou o Bolsista Desistente</v>
      </c>
      <c r="F583" s="63"/>
      <c r="G583" s="63"/>
      <c r="H583" s="63" t="str">
        <f ca="1">IFERROR(__xludf.DUMMYFUNCTION("""COMPUTED_VALUE"""),"Danieres Francisco de Sousa ")</f>
        <v xml:space="preserve">Danieres Francisco de Sousa </v>
      </c>
      <c r="I583" s="63" t="str">
        <f ca="1">IFERROR(__xludf.DUMMYFUNCTION("""COMPUTED_VALUE"""),"027/2024")</f>
        <v>027/2024</v>
      </c>
      <c r="J583" s="63" t="str">
        <f ca="1">IFERROR(__xludf.DUMMYFUNCTION("""COMPUTED_VALUE"""),"Incompatibilidade de horários ")</f>
        <v xml:space="preserve">Incompatibilidade de horários </v>
      </c>
      <c r="K583"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83" s="59"/>
      <c r="N583" s="58" t="str">
        <f t="shared" ca="1" si="3"/>
        <v>DESISTIU</v>
      </c>
    </row>
    <row r="584" spans="1:14" ht="12.5" x14ac:dyDescent="0.25">
      <c r="A584" s="63" t="str">
        <f t="shared" ca="1" si="2"/>
        <v>016/2024/118.953.324-35</v>
      </c>
      <c r="B584" s="63" t="str">
        <f ca="1">IFERROR(__xludf.DUMMYFUNCTION("""COMPUTED_VALUE"""),"118.953.324-35")</f>
        <v>118.953.324-35</v>
      </c>
      <c r="C584" s="66" t="str">
        <f ca="1">IFERROR(__xludf.DUMMYFUNCTION("""COMPUTED_VALUE"""),"01/03/2025 17:19:51")</f>
        <v>01/03/2025 17:19:51</v>
      </c>
      <c r="D584" s="63" t="str">
        <f ca="1">IFERROR(__xludf.DUMMYFUNCTION("""COMPUTED_VALUE"""),"renalyeduardo.admtec@gmail.com")</f>
        <v>renalyeduardo.admtec@gmail.com</v>
      </c>
      <c r="E584" s="63" t="str">
        <f ca="1">IFERROR(__xludf.DUMMYFUNCTION("""COMPUTED_VALUE"""),"Sou o Bolsista Desistente")</f>
        <v>Sou o Bolsista Desistente</v>
      </c>
      <c r="F584" s="63"/>
      <c r="G584" s="63"/>
      <c r="H584" s="63" t="str">
        <f ca="1">IFERROR(__xludf.DUMMYFUNCTION("""COMPUTED_VALUE"""),"Renaly Eduardo dos Santos ")</f>
        <v xml:space="preserve">Renaly Eduardo dos Santos </v>
      </c>
      <c r="I584" s="63" t="str">
        <f ca="1">IFERROR(__xludf.DUMMYFUNCTION("""COMPUTED_VALUE"""),"016/2024")</f>
        <v>016/2024</v>
      </c>
      <c r="J584" s="63" t="str">
        <f ca="1">IFERROR(__xludf.DUMMYFUNCTION("""COMPUTED_VALUE"""),"Estou gestante a espera do nascimento da minha bebê.")</f>
        <v>Estou gestante a espera do nascimento da minha bebê.</v>
      </c>
      <c r="K584"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84" s="59"/>
      <c r="N584" s="58" t="str">
        <f t="shared" ca="1" si="3"/>
        <v>DESISTIU</v>
      </c>
    </row>
    <row r="585" spans="1:14" ht="12.5" x14ac:dyDescent="0.25">
      <c r="A585" s="63" t="str">
        <f t="shared" ca="1" si="2"/>
        <v>016/2024/000.921.904-80</v>
      </c>
      <c r="B585" s="63" t="str">
        <f ca="1">IFERROR(__xludf.DUMMYFUNCTION("""COMPUTED_VALUE"""),"000.921.904-80")</f>
        <v>000.921.904-80</v>
      </c>
      <c r="C585" s="66" t="str">
        <f ca="1">IFERROR(__xludf.DUMMYFUNCTION("""COMPUTED_VALUE"""),"03/03/2025 17:23:14")</f>
        <v>03/03/2025 17:23:14</v>
      </c>
      <c r="D585" s="63" t="str">
        <f ca="1">IFERROR(__xludf.DUMMYFUNCTION("""COMPUTED_VALUE"""),"edarleidemelo@gmail.com")</f>
        <v>edarleidemelo@gmail.com</v>
      </c>
      <c r="E585" s="63" t="str">
        <f ca="1">IFERROR(__xludf.DUMMYFUNCTION("""COMPUTED_VALUE"""),"Sou o Bolsista Desistente")</f>
        <v>Sou o Bolsista Desistente</v>
      </c>
      <c r="F585" s="63"/>
      <c r="G585" s="63"/>
      <c r="H585" s="63" t="str">
        <f ca="1">IFERROR(__xludf.DUMMYFUNCTION("""COMPUTED_VALUE"""),"Edarleide Maria de Melo Nogueira ")</f>
        <v xml:space="preserve">Edarleide Maria de Melo Nogueira </v>
      </c>
      <c r="I585" s="63" t="str">
        <f ca="1">IFERROR(__xludf.DUMMYFUNCTION("""COMPUTED_VALUE"""),"016/2024")</f>
        <v>016/2024</v>
      </c>
      <c r="J585" s="63" t="str">
        <f ca="1">IFERROR(__xludf.DUMMYFUNCTION("""COMPUTED_VALUE"""),"Vou morar em outro Estado, e não poderei assumir as aulas.")</f>
        <v>Vou morar em outro Estado, e não poderei assumir as aulas.</v>
      </c>
      <c r="K585"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85" s="59"/>
      <c r="N585" s="58" t="str">
        <f t="shared" ca="1" si="3"/>
        <v>DESISTIU</v>
      </c>
    </row>
    <row r="586" spans="1:14" ht="12.5" x14ac:dyDescent="0.25">
      <c r="A586" s="63" t="str">
        <f t="shared" ca="1" si="2"/>
        <v>016/2024/280.838.618-47</v>
      </c>
      <c r="B586" s="63" t="str">
        <f ca="1">IFERROR(__xludf.DUMMYFUNCTION("""COMPUTED_VALUE"""),"280.838.618-47")</f>
        <v>280.838.618-47</v>
      </c>
      <c r="C586" s="66" t="str">
        <f ca="1">IFERROR(__xludf.DUMMYFUNCTION("""COMPUTED_VALUE"""),"05/03/2025 10:23:49")</f>
        <v>05/03/2025 10:23:49</v>
      </c>
      <c r="D586" s="63" t="str">
        <f ca="1">IFERROR(__xludf.DUMMYFUNCTION("""COMPUTED_VALUE"""),"rosineide.figueiro@educacao.mg.gov.br")</f>
        <v>rosineide.figueiro@educacao.mg.gov.br</v>
      </c>
      <c r="E586" s="63" t="str">
        <f ca="1">IFERROR(__xludf.DUMMYFUNCTION("""COMPUTED_VALUE"""),"Sou o Bolsista Desistente")</f>
        <v>Sou o Bolsista Desistente</v>
      </c>
      <c r="F586" s="63"/>
      <c r="G586" s="63"/>
      <c r="H586" s="63" t="str">
        <f ca="1">IFERROR(__xludf.DUMMYFUNCTION("""COMPUTED_VALUE"""),"Rosineide Mendes Barbosa Figueiró ")</f>
        <v xml:space="preserve">Rosineide Mendes Barbosa Figueiró </v>
      </c>
      <c r="I586" s="63" t="str">
        <f ca="1">IFERROR(__xludf.DUMMYFUNCTION("""COMPUTED_VALUE"""),"016/2024")</f>
        <v>016/2024</v>
      </c>
      <c r="J586" s="63" t="str">
        <f ca="1">IFERROR(__xludf.DUMMYFUNCTION("""COMPUTED_VALUE"""),"Mudança de Estado/ Cidade ")</f>
        <v xml:space="preserve">Mudança de Estado/ Cidade </v>
      </c>
      <c r="K586"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86" s="59"/>
      <c r="N586" s="58" t="str">
        <f t="shared" ca="1" si="3"/>
        <v>DESISTIU</v>
      </c>
    </row>
    <row r="587" spans="1:14" ht="12.5" x14ac:dyDescent="0.25">
      <c r="A587" s="63" t="str">
        <f t="shared" ca="1" si="2"/>
        <v>016/2024/100.156.624-62</v>
      </c>
      <c r="B587" s="63" t="str">
        <f ca="1">IFERROR(__xludf.DUMMYFUNCTION("""COMPUTED_VALUE"""),"100.156.624-62")</f>
        <v>100.156.624-62</v>
      </c>
      <c r="C587" s="66" t="str">
        <f ca="1">IFERROR(__xludf.DUMMYFUNCTION("""COMPUTED_VALUE"""),"05/03/2025 12:21:33")</f>
        <v>05/03/2025 12:21:33</v>
      </c>
      <c r="D587" s="63" t="str">
        <f ca="1">IFERROR(__xludf.DUMMYFUNCTION("""COMPUTED_VALUE"""),"professorjoaobrito@gmail.com")</f>
        <v>professorjoaobrito@gmail.com</v>
      </c>
      <c r="E587" s="63" t="str">
        <f ca="1">IFERROR(__xludf.DUMMYFUNCTION("""COMPUTED_VALUE"""),"Sou o Bolsista Desistente")</f>
        <v>Sou o Bolsista Desistente</v>
      </c>
      <c r="F587" s="63"/>
      <c r="G587" s="63"/>
      <c r="H587" s="63" t="str">
        <f ca="1">IFERROR(__xludf.DUMMYFUNCTION("""COMPUTED_VALUE"""),"João Paulo Brito Lima ")</f>
        <v xml:space="preserve">João Paulo Brito Lima </v>
      </c>
      <c r="I587" s="63" t="str">
        <f ca="1">IFERROR(__xludf.DUMMYFUNCTION("""COMPUTED_VALUE"""),"016/2024")</f>
        <v>016/2024</v>
      </c>
      <c r="J587" s="63" t="str">
        <f ca="1">IFERROR(__xludf.DUMMYFUNCTION("""COMPUTED_VALUE"""),"Atualmente estou sem disponibilidade para o horário do trabalho ")</f>
        <v xml:space="preserve">Atualmente estou sem disponibilidade para o horário do trabalho </v>
      </c>
      <c r="K587"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87" s="59"/>
      <c r="N587" s="58" t="str">
        <f t="shared" ca="1" si="3"/>
        <v>DESISTIU</v>
      </c>
    </row>
    <row r="588" spans="1:14" ht="12.5" x14ac:dyDescent="0.25">
      <c r="A588" s="63" t="str">
        <f t="shared" ca="1" si="2"/>
        <v>029/2024/070.035.274-05</v>
      </c>
      <c r="B588" s="63" t="str">
        <f ca="1">IFERROR(__xludf.DUMMYFUNCTION("""COMPUTED_VALUE"""),"070.035.274-05")</f>
        <v>070.035.274-05</v>
      </c>
      <c r="C588" s="66" t="str">
        <f ca="1">IFERROR(__xludf.DUMMYFUNCTION("""COMPUTED_VALUE"""),"07/03/2025 13:18:33")</f>
        <v>07/03/2025 13:18:33</v>
      </c>
      <c r="D588" s="63" t="str">
        <f ca="1">IFERROR(__xludf.DUMMYFUNCTION("""COMPUTED_VALUE"""),"arturdesume@gmail.com")</f>
        <v>arturdesume@gmail.com</v>
      </c>
      <c r="E588" s="63" t="str">
        <f ca="1">IFERROR(__xludf.DUMMYFUNCTION("""COMPUTED_VALUE"""),"Sou o Bolsista Desistente")</f>
        <v>Sou o Bolsista Desistente</v>
      </c>
      <c r="F588" s="63"/>
      <c r="G588" s="63"/>
      <c r="H588" s="63" t="str">
        <f ca="1">IFERROR(__xludf.DUMMYFUNCTION("""COMPUTED_VALUE"""),"Artur Torres de Araújo")</f>
        <v>Artur Torres de Araújo</v>
      </c>
      <c r="I588" s="63" t="str">
        <f ca="1">IFERROR(__xludf.DUMMYFUNCTION("""COMPUTED_VALUE"""),"029/2024")</f>
        <v>029/2024</v>
      </c>
      <c r="J588" s="63" t="str">
        <f ca="1">IFERROR(__xludf.DUMMYFUNCTION("""COMPUTED_VALUE"""),"Estou como bolsista em outros editais")</f>
        <v>Estou como bolsista em outros editais</v>
      </c>
      <c r="K588"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88" s="59"/>
      <c r="N588" s="58" t="str">
        <f t="shared" ca="1" si="3"/>
        <v>DESISTIU</v>
      </c>
    </row>
    <row r="589" spans="1:14" ht="12.5" x14ac:dyDescent="0.25">
      <c r="A589" s="63" t="str">
        <f t="shared" ca="1" si="2"/>
        <v>001/2025/070.035.274-05</v>
      </c>
      <c r="B589" s="63" t="str">
        <f ca="1">IFERROR(__xludf.DUMMYFUNCTION("""COMPUTED_VALUE"""),"070.035.274-05")</f>
        <v>070.035.274-05</v>
      </c>
      <c r="C589" s="66" t="str">
        <f ca="1">IFERROR(__xludf.DUMMYFUNCTION("""COMPUTED_VALUE"""),"07/03/2025 13:19:46")</f>
        <v>07/03/2025 13:19:46</v>
      </c>
      <c r="D589" s="63" t="str">
        <f ca="1">IFERROR(__xludf.DUMMYFUNCTION("""COMPUTED_VALUE"""),"arturdesume@gmail.com")</f>
        <v>arturdesume@gmail.com</v>
      </c>
      <c r="E589" s="63" t="str">
        <f ca="1">IFERROR(__xludf.DUMMYFUNCTION("""COMPUTED_VALUE"""),"Sou o Bolsista Desistente")</f>
        <v>Sou o Bolsista Desistente</v>
      </c>
      <c r="F589" s="63"/>
      <c r="G589" s="63"/>
      <c r="H589" s="63" t="str">
        <f ca="1">IFERROR(__xludf.DUMMYFUNCTION("""COMPUTED_VALUE"""),"Artur Torres de Araújo")</f>
        <v>Artur Torres de Araújo</v>
      </c>
      <c r="I589" s="63" t="str">
        <f ca="1">IFERROR(__xludf.DUMMYFUNCTION("""COMPUTED_VALUE"""),"001/2025")</f>
        <v>001/2025</v>
      </c>
      <c r="J589" s="63" t="str">
        <f ca="1">IFERROR(__xludf.DUMMYFUNCTION("""COMPUTED_VALUE"""),"Sou bolsista em outros editais")</f>
        <v>Sou bolsista em outros editais</v>
      </c>
      <c r="K589"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89" s="59"/>
      <c r="N589" s="58" t="str">
        <f t="shared" ca="1" si="3"/>
        <v>DESISTIU</v>
      </c>
    </row>
    <row r="590" spans="1:14" ht="12.5" x14ac:dyDescent="0.25">
      <c r="A590" s="63" t="str">
        <f t="shared" ca="1" si="2"/>
        <v>016/2024/043.711.104-01</v>
      </c>
      <c r="B590" s="63" t="str">
        <f ca="1">IFERROR(__xludf.DUMMYFUNCTION("""COMPUTED_VALUE"""),"043.711.104-01")</f>
        <v>043.711.104-01</v>
      </c>
      <c r="C590" s="66" t="str">
        <f ca="1">IFERROR(__xludf.DUMMYFUNCTION("""COMPUTED_VALUE"""),"10/03/2025 10:10:07")</f>
        <v>10/03/2025 10:10:07</v>
      </c>
      <c r="D590" s="63" t="str">
        <f ca="1">IFERROR(__xludf.DUMMYFUNCTION("""COMPUTED_VALUE"""),"isabelosfanio@gmail.com")</f>
        <v>isabelosfanio@gmail.com</v>
      </c>
      <c r="E590" s="63" t="str">
        <f ca="1">IFERROR(__xludf.DUMMYFUNCTION("""COMPUTED_VALUE"""),"Sou o Bolsista Desistente")</f>
        <v>Sou o Bolsista Desistente</v>
      </c>
      <c r="F590" s="63"/>
      <c r="G590" s="63"/>
      <c r="H590" s="63" t="str">
        <f ca="1">IFERROR(__xludf.DUMMYFUNCTION("""COMPUTED_VALUE"""),"Maria Isabel do Nascimento Leite Silva ")</f>
        <v xml:space="preserve">Maria Isabel do Nascimento Leite Silva </v>
      </c>
      <c r="I590" s="63" t="str">
        <f ca="1">IFERROR(__xludf.DUMMYFUNCTION("""COMPUTED_VALUE"""),"016/2024")</f>
        <v>016/2024</v>
      </c>
      <c r="J590" s="63" t="str">
        <f ca="1">IFERROR(__xludf.DUMMYFUNCTION("""COMPUTED_VALUE"""),"Fui selecionada em outro edital.")</f>
        <v>Fui selecionada em outro edital.</v>
      </c>
      <c r="K590"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90" s="59"/>
      <c r="N590" s="58" t="str">
        <f t="shared" ca="1" si="3"/>
        <v>DESISTIU</v>
      </c>
    </row>
    <row r="591" spans="1:14" ht="12.5" x14ac:dyDescent="0.25">
      <c r="A591" s="63" t="str">
        <f t="shared" ca="1" si="2"/>
        <v>016/2024/007.763.674-04</v>
      </c>
      <c r="B591" s="63" t="str">
        <f ca="1">IFERROR(__xludf.DUMMYFUNCTION("""COMPUTED_VALUE"""),"007.763.674-04")</f>
        <v>007.763.674-04</v>
      </c>
      <c r="C591" s="66" t="str">
        <f ca="1">IFERROR(__xludf.DUMMYFUNCTION("""COMPUTED_VALUE"""),"10/03/2025 13:23:28")</f>
        <v>10/03/2025 13:23:28</v>
      </c>
      <c r="D591" s="63" t="str">
        <f ca="1">IFERROR(__xludf.DUMMYFUNCTION("""COMPUTED_VALUE"""),"arqueirozconsult@gmail.com")</f>
        <v>arqueirozconsult@gmail.com</v>
      </c>
      <c r="E591" s="63" t="str">
        <f ca="1">IFERROR(__xludf.DUMMYFUNCTION("""COMPUTED_VALUE"""),"Sou o Bolsista Desistente")</f>
        <v>Sou o Bolsista Desistente</v>
      </c>
      <c r="F591" s="63"/>
      <c r="G591" s="63"/>
      <c r="H591" s="63" t="str">
        <f ca="1">IFERROR(__xludf.DUMMYFUNCTION("""COMPUTED_VALUE"""),"Andressa Ribeiro de Queiroz")</f>
        <v>Andressa Ribeiro de Queiroz</v>
      </c>
      <c r="I591" s="63" t="str">
        <f ca="1">IFERROR(__xludf.DUMMYFUNCTION("""COMPUTED_VALUE"""),"016/2024")</f>
        <v>016/2024</v>
      </c>
      <c r="J591" s="63" t="str">
        <f ca="1">IFERROR(__xludf.DUMMYFUNCTION("""COMPUTED_VALUE"""),"Fui convocada para um concurso efetivo")</f>
        <v>Fui convocada para um concurso efetivo</v>
      </c>
      <c r="K591"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91" s="59"/>
      <c r="N591" s="58" t="str">
        <f t="shared" ca="1" si="3"/>
        <v>DESISTIU</v>
      </c>
    </row>
    <row r="592" spans="1:14" ht="12.5" x14ac:dyDescent="0.25">
      <c r="A592" s="63" t="str">
        <f t="shared" ca="1" si="2"/>
        <v>027/2024/069.493.754-17</v>
      </c>
      <c r="B592" s="63" t="str">
        <f ca="1">IFERROR(__xludf.DUMMYFUNCTION("""COMPUTED_VALUE"""),"069.493.754-17")</f>
        <v>069.493.754-17</v>
      </c>
      <c r="C592" s="66" t="str">
        <f ca="1">IFERROR(__xludf.DUMMYFUNCTION("""COMPUTED_VALUE"""),"11/03/2025 09:52:24")</f>
        <v>11/03/2025 09:52:24</v>
      </c>
      <c r="D592" s="63" t="str">
        <f ca="1">IFERROR(__xludf.DUMMYFUNCTION("""COMPUTED_VALUE"""),"fabiano.santos.0617.pbtec21@professor.pb.gov.br")</f>
        <v>fabiano.santos.0617.pbtec21@professor.pb.gov.br</v>
      </c>
      <c r="E592" s="63" t="str">
        <f ca="1">IFERROR(__xludf.DUMMYFUNCTION("""COMPUTED_VALUE"""),"Sou o Bolsista Desistente")</f>
        <v>Sou o Bolsista Desistente</v>
      </c>
      <c r="F592" s="63"/>
      <c r="G592" s="63"/>
      <c r="H592" s="63" t="str">
        <f ca="1">IFERROR(__xludf.DUMMYFUNCTION("""COMPUTED_VALUE"""),"Fabiano Silva dos Santos ")</f>
        <v xml:space="preserve">Fabiano Silva dos Santos </v>
      </c>
      <c r="I592" s="63" t="str">
        <f ca="1">IFERROR(__xludf.DUMMYFUNCTION("""COMPUTED_VALUE"""),"027/2024")</f>
        <v>027/2024</v>
      </c>
      <c r="J592" s="63" t="str">
        <f ca="1">IFERROR(__xludf.DUMMYFUNCTION("""COMPUTED_VALUE"""),"Estou como bolsista do edital 29")</f>
        <v>Estou como bolsista do edital 29</v>
      </c>
      <c r="K592"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92" s="59"/>
      <c r="N592" s="58" t="str">
        <f t="shared" ca="1" si="3"/>
        <v>DESISTIU</v>
      </c>
    </row>
    <row r="593" spans="1:14" ht="12.5" x14ac:dyDescent="0.25">
      <c r="A593" s="63" t="str">
        <f t="shared" ca="1" si="2"/>
        <v>016/2024/091.450.734-65</v>
      </c>
      <c r="B593" s="63" t="str">
        <f ca="1">IFERROR(__xludf.DUMMYFUNCTION("""COMPUTED_VALUE"""),"091.450.734-65")</f>
        <v>091.450.734-65</v>
      </c>
      <c r="C593" s="66" t="str">
        <f ca="1">IFERROR(__xludf.DUMMYFUNCTION("""COMPUTED_VALUE"""),"11/03/2025 11:26:49")</f>
        <v>11/03/2025 11:26:49</v>
      </c>
      <c r="D593" s="63" t="str">
        <f ca="1">IFERROR(__xludf.DUMMYFUNCTION("""COMPUTED_VALUE"""),"leonardo.pessoa@see.pb.gov.br")</f>
        <v>leonardo.pessoa@see.pb.gov.br</v>
      </c>
      <c r="E593" s="63" t="str">
        <f ca="1">IFERROR(__xludf.DUMMYFUNCTION("""COMPUTED_VALUE"""),"Faço Parte da Equipe Técnica Local ou  da Equipe da SEDE")</f>
        <v>Faço Parte da Equipe Técnica Local ou  da Equipe da SEDE</v>
      </c>
      <c r="F593" s="63" t="str">
        <f ca="1">IFERROR(__xludf.DUMMYFUNCTION("""COMPUTED_VALUE"""),"José Leonardo Paiva Pessoa")</f>
        <v>José Leonardo Paiva Pessoa</v>
      </c>
      <c r="G593" s="63" t="str">
        <f ca="1">IFERROR(__xludf.DUMMYFUNCTION("""COMPUTED_VALUE"""),"928.960.064-00")</f>
        <v>928.960.064-00</v>
      </c>
      <c r="H593" s="63" t="str">
        <f ca="1">IFERROR(__xludf.DUMMYFUNCTION("""COMPUTED_VALUE"""),"LEANDRO QUARESMA DE SOUSA")</f>
        <v>LEANDRO QUARESMA DE SOUSA</v>
      </c>
      <c r="I593" s="63" t="str">
        <f ca="1">IFERROR(__xludf.DUMMYFUNCTION("""COMPUTED_VALUE"""),"016/2024")</f>
        <v>016/2024</v>
      </c>
      <c r="J593" s="63" t="str">
        <f ca="1">IFERROR(__xludf.DUMMYFUNCTION("""COMPUTED_VALUE"""),"Não respondeu mais os contatos dos supervisores da SEDE 
desde o dia 28/02/2025, sendo caracterizado abandono de trabalho. Não houve 
matrículas registradas no sistema, prejudicando assim o início da oferta do curso 
de VENDEDOR no município PRINCESA ISAB"&amp;"EL.")</f>
        <v>Não respondeu mais os contatos dos supervisores da SEDE 
desde o dia 28/02/2025, sendo caracterizado abandono de trabalho. Não houve 
matrículas registradas no sistema, prejudicando assim o início da oferta do curso 
de VENDEDOR no município PRINCESA ISABEL.</v>
      </c>
      <c r="K593"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93" s="71" t="str">
        <f ca="1">IFERROR(__xludf.DUMMYFUNCTION("""COMPUTED_VALUE"""),"https://drive.google.com/open?id=1AhfVCKuLqA2dGM9Dhdt29RuXNMrHhSF1")</f>
        <v>https://drive.google.com/open?id=1AhfVCKuLqA2dGM9Dhdt29RuXNMrHhSF1</v>
      </c>
      <c r="N593" s="58" t="str">
        <f t="shared" ca="1" si="3"/>
        <v>DESISTIU</v>
      </c>
    </row>
    <row r="594" spans="1:14" ht="12.5" x14ac:dyDescent="0.25">
      <c r="A594" s="63" t="str">
        <f t="shared" ca="1" si="2"/>
        <v>029/2024/046.625.584-50</v>
      </c>
      <c r="B594" s="63" t="str">
        <f ca="1">IFERROR(__xludf.DUMMYFUNCTION("""COMPUTED_VALUE"""),"046.625.584-50")</f>
        <v>046.625.584-50</v>
      </c>
      <c r="C594" s="66" t="str">
        <f ca="1">IFERROR(__xludf.DUMMYFUNCTION("""COMPUTED_VALUE"""),"14/03/2025 19:27:43")</f>
        <v>14/03/2025 19:27:43</v>
      </c>
      <c r="D594" s="63" t="str">
        <f ca="1">IFERROR(__xludf.DUMMYFUNCTION("""COMPUTED_VALUE"""),"luciana.dantas@professor.pb.gov.br")</f>
        <v>luciana.dantas@professor.pb.gov.br</v>
      </c>
      <c r="E594" s="63" t="str">
        <f ca="1">IFERROR(__xludf.DUMMYFUNCTION("""COMPUTED_VALUE"""),"Sou o Bolsista Desistente")</f>
        <v>Sou o Bolsista Desistente</v>
      </c>
      <c r="F594" s="63"/>
      <c r="G594" s="63"/>
      <c r="H594" s="63" t="str">
        <f ca="1">IFERROR(__xludf.DUMMYFUNCTION("""COMPUTED_VALUE"""),"Luciana Martins de Sousa Dantas")</f>
        <v>Luciana Martins de Sousa Dantas</v>
      </c>
      <c r="I594" s="63" t="str">
        <f ca="1">IFERROR(__xludf.DUMMYFUNCTION("""COMPUTED_VALUE"""),"029/2024")</f>
        <v>029/2024</v>
      </c>
      <c r="J594" s="63" t="str">
        <f ca="1">IFERROR(__xludf.DUMMYFUNCTION("""COMPUTED_VALUE"""),"Sob orientação da Comissão, no dia 14 de março do ano de 2025, em reunião on-line por meio do Google Meeting, fui informada pelo Sr. Geadelande Delgado, que não poderia exercer a função de Supervisora, pois em consonância com o Plano de Ação construído pa"&amp;"ra o edital, as reuniões dos Supervisores acontecerão, majoritariamente, de forma presencial na sede da SEEPB em João Pessoa, no turno manhã. E, pelo fato de residir em região interiorana, na cidade de Pombal-PB, infelizmente, não poderia assumir a função"&amp;". ")</f>
        <v xml:space="preserve">Sob orientação da Comissão, no dia 14 de março do ano de 2025, em reunião on-line por meio do Google Meeting, fui informada pelo Sr. Geadelande Delgado, que não poderia exercer a função de Supervisora, pois em consonância com o Plano de Ação construído para o edital, as reuniões dos Supervisores acontecerão, majoritariamente, de forma presencial na sede da SEEPB em João Pessoa, no turno manhã. E, pelo fato de residir em região interiorana, na cidade de Pombal-PB, infelizmente, não poderia assumir a função. </v>
      </c>
      <c r="K594"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94" s="59"/>
      <c r="N594" s="58" t="str">
        <f t="shared" ca="1" si="3"/>
        <v>DESISTIU</v>
      </c>
    </row>
    <row r="595" spans="1:14" ht="12.5" x14ac:dyDescent="0.25">
      <c r="A595" s="63" t="str">
        <f t="shared" ca="1" si="2"/>
        <v>029/2024/345.704.688-37</v>
      </c>
      <c r="B595" s="63" t="str">
        <f ca="1">IFERROR(__xludf.DUMMYFUNCTION("""COMPUTED_VALUE"""),"345.704.688-37")</f>
        <v>345.704.688-37</v>
      </c>
      <c r="C595" s="66" t="str">
        <f ca="1">IFERROR(__xludf.DUMMYFUNCTION("""COMPUTED_VALUE"""),"18/03/2025 10:17:37")</f>
        <v>18/03/2025 10:17:37</v>
      </c>
      <c r="D595" s="63" t="str">
        <f ca="1">IFERROR(__xludf.DUMMYFUNCTION("""COMPUTED_VALUE"""),"aneliserlemevieira@gmail.com")</f>
        <v>aneliserlemevieira@gmail.com</v>
      </c>
      <c r="E595" s="63" t="str">
        <f ca="1">IFERROR(__xludf.DUMMYFUNCTION("""COMPUTED_VALUE"""),"Sou o Bolsista Desistente")</f>
        <v>Sou o Bolsista Desistente</v>
      </c>
      <c r="F595" s="63"/>
      <c r="G595" s="63"/>
      <c r="H595" s="63" t="str">
        <f ca="1">IFERROR(__xludf.DUMMYFUNCTION("""COMPUTED_VALUE"""),"ANELISE RAZANAUSKAS LEMEVIEIRA")</f>
        <v>ANELISE RAZANAUSKAS LEMEVIEIRA</v>
      </c>
      <c r="I595" s="63" t="str">
        <f ca="1">IFERROR(__xludf.DUMMYFUNCTION("""COMPUTED_VALUE"""),"029/2024")</f>
        <v>029/2024</v>
      </c>
      <c r="J595" s="63" t="str">
        <f ca="1">IFERROR(__xludf.DUMMYFUNCTION("""COMPUTED_VALUE"""),"INCOMPATIBILIDADE DE HORARIO, SOU PROFESSORA NA REDE ESTADUAL NO TURNO MANHÃ NÃO CONSIGO ESTAR PRESENCIAL SOMENTE REMOTO.")</f>
        <v>INCOMPATIBILIDADE DE HORARIO, SOU PROFESSORA NA REDE ESTADUAL NO TURNO MANHÃ NÃO CONSIGO ESTAR PRESENCIAL SOMENTE REMOTO.</v>
      </c>
      <c r="K595"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95" s="59"/>
      <c r="N595" s="58" t="str">
        <f t="shared" ca="1" si="3"/>
        <v>DESISTIU</v>
      </c>
    </row>
    <row r="596" spans="1:14" ht="12.5" x14ac:dyDescent="0.25">
      <c r="A596" s="63" t="str">
        <f t="shared" ca="1" si="2"/>
        <v>016/2024/087.515.644-40</v>
      </c>
      <c r="B596" s="63" t="str">
        <f ca="1">IFERROR(__xludf.DUMMYFUNCTION("""COMPUTED_VALUE"""),"087.515.644-40")</f>
        <v>087.515.644-40</v>
      </c>
      <c r="C596" s="66" t="str">
        <f ca="1">IFERROR(__xludf.DUMMYFUNCTION("""COMPUTED_VALUE"""),"18/03/2025 22:28:56")</f>
        <v>18/03/2025 22:28:56</v>
      </c>
      <c r="D596" s="63" t="str">
        <f ca="1">IFERROR(__xludf.DUMMYFUNCTION("""COMPUTED_VALUE"""),"lucieneandrade609@gmail.com")</f>
        <v>lucieneandrade609@gmail.com</v>
      </c>
      <c r="E596" s="63" t="str">
        <f ca="1">IFERROR(__xludf.DUMMYFUNCTION("""COMPUTED_VALUE"""),"Sou o Bolsista Desistente")</f>
        <v>Sou o Bolsista Desistente</v>
      </c>
      <c r="F596" s="63"/>
      <c r="G596" s="63"/>
      <c r="H596" s="63" t="str">
        <f ca="1">IFERROR(__xludf.DUMMYFUNCTION("""COMPUTED_VALUE"""),"MARIA LUCIENE GOMES DE ANDRADE")</f>
        <v>MARIA LUCIENE GOMES DE ANDRADE</v>
      </c>
      <c r="I596" s="63" t="str">
        <f ca="1">IFERROR(__xludf.DUMMYFUNCTION("""COMPUTED_VALUE"""),"016/2024")</f>
        <v>016/2024</v>
      </c>
      <c r="J596" s="63" t="str">
        <f ca="1">IFERROR(__xludf.DUMMYFUNCTION("""COMPUTED_VALUE"""),"Infelizmente não poderei cumprir com os horários de expediente por motivo de doença de familiares; pois preciso dá suporte durante a recuperação e tratamento.  ")</f>
        <v xml:space="preserve">Infelizmente não poderei cumprir com os horários de expediente por motivo de doença de familiares; pois preciso dá suporte durante a recuperação e tratamento.  </v>
      </c>
      <c r="K596"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96" s="59"/>
      <c r="N596" s="58" t="str">
        <f t="shared" ca="1" si="3"/>
        <v>DESISTIU</v>
      </c>
    </row>
    <row r="597" spans="1:14" ht="12.5" x14ac:dyDescent="0.25">
      <c r="A597" s="63" t="str">
        <f t="shared" ca="1" si="2"/>
        <v>016/2024/070.693.694-92</v>
      </c>
      <c r="B597" s="63" t="str">
        <f ca="1">IFERROR(__xludf.DUMMYFUNCTION("""COMPUTED_VALUE"""),"070.693.694-92")</f>
        <v>070.693.694-92</v>
      </c>
      <c r="C597" s="66" t="str">
        <f ca="1">IFERROR(__xludf.DUMMYFUNCTION("""COMPUTED_VALUE"""),"19/03/2025 09:38:11")</f>
        <v>19/03/2025 09:38:11</v>
      </c>
      <c r="D597" s="63" t="str">
        <f ca="1">IFERROR(__xludf.DUMMYFUNCTION("""COMPUTED_VALUE"""),"ssouzawg@gmail.com")</f>
        <v>ssouzawg@gmail.com</v>
      </c>
      <c r="E597" s="63" t="str">
        <f ca="1">IFERROR(__xludf.DUMMYFUNCTION("""COMPUTED_VALUE"""),"Sou o Bolsista Desistente")</f>
        <v>Sou o Bolsista Desistente</v>
      </c>
      <c r="F597" s="63"/>
      <c r="G597" s="63"/>
      <c r="H597" s="63" t="str">
        <f ca="1">IFERROR(__xludf.DUMMYFUNCTION("""COMPUTED_VALUE"""),"WILLAMS GOMES DE SOUZA")</f>
        <v>WILLAMS GOMES DE SOUZA</v>
      </c>
      <c r="I597" s="63" t="str">
        <f ca="1">IFERROR(__xludf.DUMMYFUNCTION("""COMPUTED_VALUE"""),"016/2024")</f>
        <v>016/2024</v>
      </c>
      <c r="J597" s="63" t="str">
        <f ca="1">IFERROR(__xludf.DUMMYFUNCTION("""COMPUTED_VALUE"""),"Estou com minha esposa gestante precisando de maior suporte, sobretudo à noite. Por residir em outro município, tenho encontrado dificuldades em dá-lhe a assistência devida com as idas ao munícipio ofertante do curso. Com isso, prezando pela assistência f"&amp;"amiliar nesse momento ímpar e em uma oferta das aulas profícua aos alunos, manifesto meu interesse em encerrar minha participação nesse Programa. Ademais, expresso minha gratidão pelo tempo de trabalho e ressalto que todos os registros estão devidamente r"&amp;"ealizados do diário eletrônico.")</f>
        <v>Estou com minha esposa gestante precisando de maior suporte, sobretudo à noite. Por residir em outro município, tenho encontrado dificuldades em dá-lhe a assistência devida com as idas ao munícipio ofertante do curso. Com isso, prezando pela assistência familiar nesse momento ímpar e em uma oferta das aulas profícua aos alunos, manifesto meu interesse em encerrar minha participação nesse Programa. Ademais, expresso minha gratidão pelo tempo de trabalho e ressalto que todos os registros estão devidamente realizados do diário eletrônico.</v>
      </c>
      <c r="K597"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97" s="59"/>
      <c r="N597" s="58" t="str">
        <f t="shared" ca="1" si="3"/>
        <v>DESISTIU</v>
      </c>
    </row>
    <row r="598" spans="1:14" ht="12.5" x14ac:dyDescent="0.25">
      <c r="A598" s="63" t="str">
        <f t="shared" ca="1" si="2"/>
        <v>029/2024/096.369.144-94</v>
      </c>
      <c r="B598" s="63" t="str">
        <f ca="1">IFERROR(__xludf.DUMMYFUNCTION("""COMPUTED_VALUE"""),"096.369.144-94")</f>
        <v>096.369.144-94</v>
      </c>
      <c r="C598" s="66" t="str">
        <f ca="1">IFERROR(__xludf.DUMMYFUNCTION("""COMPUTED_VALUE"""),"20/03/2025 14:22:13")</f>
        <v>20/03/2025 14:22:13</v>
      </c>
      <c r="D598" s="63" t="str">
        <f ca="1">IFERROR(__xludf.DUMMYFUNCTION("""COMPUTED_VALUE"""),"leonardoliradebrito@gmail.com")</f>
        <v>leonardoliradebrito@gmail.com</v>
      </c>
      <c r="E598" s="63" t="str">
        <f ca="1">IFERROR(__xludf.DUMMYFUNCTION("""COMPUTED_VALUE"""),"Sou o Bolsista Desistente")</f>
        <v>Sou o Bolsista Desistente</v>
      </c>
      <c r="F598" s="63"/>
      <c r="G598" s="63"/>
      <c r="H598" s="63" t="str">
        <f ca="1">IFERROR(__xludf.DUMMYFUNCTION("""COMPUTED_VALUE"""),"Leonardo Lira de Brito")</f>
        <v>Leonardo Lira de Brito</v>
      </c>
      <c r="I598" s="63" t="str">
        <f ca="1">IFERROR(__xludf.DUMMYFUNCTION("""COMPUTED_VALUE"""),"029/2024")</f>
        <v>029/2024</v>
      </c>
      <c r="J598" s="63" t="str">
        <f ca="1">IFERROR(__xludf.DUMMYFUNCTION("""COMPUTED_VALUE"""),"Convocação em outro edital. ")</f>
        <v xml:space="preserve">Convocação em outro edital. </v>
      </c>
      <c r="K598"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98" s="59"/>
      <c r="N598" s="58" t="str">
        <f t="shared" ca="1" si="3"/>
        <v>DESISTIU</v>
      </c>
    </row>
    <row r="599" spans="1:14" ht="12.5" x14ac:dyDescent="0.25">
      <c r="A599" s="63" t="str">
        <f t="shared" ca="1" si="2"/>
        <v>029/2024/027.186.704-36</v>
      </c>
      <c r="B599" s="63" t="str">
        <f ca="1">IFERROR(__xludf.DUMMYFUNCTION("""COMPUTED_VALUE"""),"027.186.704-36")</f>
        <v>027.186.704-36</v>
      </c>
      <c r="C599" s="66" t="str">
        <f ca="1">IFERROR(__xludf.DUMMYFUNCTION("""COMPUTED_VALUE"""),"21/03/2025 14:04:37")</f>
        <v>21/03/2025 14:04:37</v>
      </c>
      <c r="D599" s="63" t="str">
        <f ca="1">IFERROR(__xludf.DUMMYFUNCTION("""COMPUTED_VALUE"""),"suenya.santos027186.pbtec@professor.pb.gov.br")</f>
        <v>suenya.santos027186.pbtec@professor.pb.gov.br</v>
      </c>
      <c r="E599" s="63" t="str">
        <f ca="1">IFERROR(__xludf.DUMMYFUNCTION("""COMPUTED_VALUE"""),"Sou o Bolsista Desistente")</f>
        <v>Sou o Bolsista Desistente</v>
      </c>
      <c r="F599" s="63"/>
      <c r="G599" s="63"/>
      <c r="H599" s="63" t="str">
        <f ca="1">IFERROR(__xludf.DUMMYFUNCTION("""COMPUTED_VALUE"""),"Suênya freire do Monte Santos ")</f>
        <v xml:space="preserve">Suênya freire do Monte Santos </v>
      </c>
      <c r="I599" s="63" t="str">
        <f ca="1">IFERROR(__xludf.DUMMYFUNCTION("""COMPUTED_VALUE"""),"029/2024")</f>
        <v>029/2024</v>
      </c>
      <c r="J599" s="63" t="str">
        <f ca="1">IFERROR(__xludf.DUMMYFUNCTION("""COMPUTED_VALUE"""),"Mudança de horario ")</f>
        <v xml:space="preserve">Mudança de horario </v>
      </c>
      <c r="K599"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599" s="59"/>
      <c r="N599" s="58" t="str">
        <f t="shared" ca="1" si="3"/>
        <v>DESISTIU</v>
      </c>
    </row>
    <row r="600" spans="1:14" ht="12.5" x14ac:dyDescent="0.25">
      <c r="A600" s="63" t="str">
        <f t="shared" ca="1" si="2"/>
        <v>016/2024/043.208.484-38</v>
      </c>
      <c r="B600" s="63" t="str">
        <f ca="1">IFERROR(__xludf.DUMMYFUNCTION("""COMPUTED_VALUE"""),"043.208.484-38")</f>
        <v>043.208.484-38</v>
      </c>
      <c r="C600" s="66" t="str">
        <f ca="1">IFERROR(__xludf.DUMMYFUNCTION("""COMPUTED_VALUE"""),"25/03/2025 09:22:04")</f>
        <v>25/03/2025 09:22:04</v>
      </c>
      <c r="D600" s="63" t="str">
        <f ca="1">IFERROR(__xludf.DUMMYFUNCTION("""COMPUTED_VALUE"""),"eliel.agro@gmail.com")</f>
        <v>eliel.agro@gmail.com</v>
      </c>
      <c r="E600" s="63" t="str">
        <f ca="1">IFERROR(__xludf.DUMMYFUNCTION("""COMPUTED_VALUE"""),"Sou o Bolsista Desistente")</f>
        <v>Sou o Bolsista Desistente</v>
      </c>
      <c r="F600" s="63"/>
      <c r="G600" s="63"/>
      <c r="H600" s="63" t="str">
        <f ca="1">IFERROR(__xludf.DUMMYFUNCTION("""COMPUTED_VALUE"""),"Eliel Nunes da Cruz")</f>
        <v>Eliel Nunes da Cruz</v>
      </c>
      <c r="I600" s="63" t="str">
        <f ca="1">IFERROR(__xludf.DUMMYFUNCTION("""COMPUTED_VALUE"""),"016/2024")</f>
        <v>016/2024</v>
      </c>
      <c r="J600" s="63" t="str">
        <f ca="1">IFERROR(__xludf.DUMMYFUNCTION("""COMPUTED_VALUE"""),"Em função da minha carga horária no trabalho estou com pouco tempo para preparar e organizar as aulas. ")</f>
        <v xml:space="preserve">Em função da minha carga horária no trabalho estou com pouco tempo para preparar e organizar as aulas. </v>
      </c>
      <c r="K600"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00" s="59"/>
      <c r="N600" s="58" t="str">
        <f t="shared" ca="1" si="3"/>
        <v>DESISTIU</v>
      </c>
    </row>
    <row r="601" spans="1:14" ht="12.5" x14ac:dyDescent="0.25">
      <c r="A601" s="63" t="str">
        <f t="shared" ca="1" si="2"/>
        <v>016/2024/090.021.594-12</v>
      </c>
      <c r="B601" s="63" t="str">
        <f ca="1">IFERROR(__xludf.DUMMYFUNCTION("""COMPUTED_VALUE"""),"090.021.594-12")</f>
        <v>090.021.594-12</v>
      </c>
      <c r="C601" s="66" t="str">
        <f ca="1">IFERROR(__xludf.DUMMYFUNCTION("""COMPUTED_VALUE"""),"25/03/2025 14:13:59")</f>
        <v>25/03/2025 14:13:59</v>
      </c>
      <c r="D601" s="63" t="str">
        <f ca="1">IFERROR(__xludf.DUMMYFUNCTION("""COMPUTED_VALUE"""),"nutri.daniellearaujo@gmail.com")</f>
        <v>nutri.daniellearaujo@gmail.com</v>
      </c>
      <c r="E601" s="63" t="str">
        <f ca="1">IFERROR(__xludf.DUMMYFUNCTION("""COMPUTED_VALUE"""),"Sou o Bolsista Desistente")</f>
        <v>Sou o Bolsista Desistente</v>
      </c>
      <c r="F601" s="63"/>
      <c r="G601" s="63"/>
      <c r="H601" s="63" t="str">
        <f ca="1">IFERROR(__xludf.DUMMYFUNCTION("""COMPUTED_VALUE"""),"DANIELLE GOMES DE ARAÚJO")</f>
        <v>DANIELLE GOMES DE ARAÚJO</v>
      </c>
      <c r="I601" s="63" t="str">
        <f ca="1">IFERROR(__xludf.DUMMYFUNCTION("""COMPUTED_VALUE"""),"016/2024")</f>
        <v>016/2024</v>
      </c>
      <c r="J601" s="63" t="str">
        <f ca="1">IFERROR(__xludf.DUMMYFUNCTION("""COMPUTED_VALUE"""),"Incompatibilidade de horários (Não esperava ser chamada e já havia fechado alguns outros compromissos profissionais)")</f>
        <v>Incompatibilidade de horários (Não esperava ser chamada e já havia fechado alguns outros compromissos profissionais)</v>
      </c>
      <c r="K601"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01" s="59"/>
      <c r="N601" s="58" t="str">
        <f t="shared" ca="1" si="3"/>
        <v>DESISTIU</v>
      </c>
    </row>
    <row r="602" spans="1:14" ht="12.5" x14ac:dyDescent="0.25">
      <c r="A602" s="63" t="str">
        <f t="shared" ca="1" si="2"/>
        <v>029/2024/048.544.244-27</v>
      </c>
      <c r="B602" s="63" t="str">
        <f ca="1">IFERROR(__xludf.DUMMYFUNCTION("""COMPUTED_VALUE"""),"048.544.244-27")</f>
        <v>048.544.244-27</v>
      </c>
      <c r="C602" s="66" t="str">
        <f ca="1">IFERROR(__xludf.DUMMYFUNCTION("""COMPUTED_VALUE"""),"26/03/2025 15:27:07")</f>
        <v>26/03/2025 15:27:07</v>
      </c>
      <c r="D602" s="63" t="str">
        <f ca="1">IFERROR(__xludf.DUMMYFUNCTION("""COMPUTED_VALUE"""),"assisivania.sousa@professor.pb.gov.br")</f>
        <v>assisivania.sousa@professor.pb.gov.br</v>
      </c>
      <c r="E602" s="63" t="str">
        <f ca="1">IFERROR(__xludf.DUMMYFUNCTION("""COMPUTED_VALUE"""),"Sou o Bolsista Desistente")</f>
        <v>Sou o Bolsista Desistente</v>
      </c>
      <c r="F602" s="63"/>
      <c r="G602" s="63"/>
      <c r="H602" s="63" t="str">
        <f ca="1">IFERROR(__xludf.DUMMYFUNCTION("""COMPUTED_VALUE"""),"ASSISIVÂNIA DANTAS DE SOUSA ")</f>
        <v xml:space="preserve">ASSISIVÂNIA DANTAS DE SOUSA </v>
      </c>
      <c r="I602" s="63" t="str">
        <f ca="1">IFERROR(__xludf.DUMMYFUNCTION("""COMPUTED_VALUE"""),"029/2024")</f>
        <v>029/2024</v>
      </c>
      <c r="J602" s="63" t="str">
        <f ca="1">IFERROR(__xludf.DUMMYFUNCTION("""COMPUTED_VALUE"""),"DESLOCAMENTO")</f>
        <v>DESLOCAMENTO</v>
      </c>
      <c r="K602"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02" s="59"/>
      <c r="N602" s="58" t="str">
        <f t="shared" ca="1" si="3"/>
        <v>DESISTIU</v>
      </c>
    </row>
    <row r="603" spans="1:14" ht="12.5" x14ac:dyDescent="0.25">
      <c r="A603" s="63" t="str">
        <f t="shared" ca="1" si="2"/>
        <v>029/2024/070.012.194-36</v>
      </c>
      <c r="B603" s="63" t="str">
        <f ca="1">IFERROR(__xludf.DUMMYFUNCTION("""COMPUTED_VALUE"""),"070.012.194-36")</f>
        <v>070.012.194-36</v>
      </c>
      <c r="C603" s="66" t="str">
        <f ca="1">IFERROR(__xludf.DUMMYFUNCTION("""COMPUTED_VALUE"""),"26/03/2025 22:01:52")</f>
        <v>26/03/2025 22:01:52</v>
      </c>
      <c r="D603" s="63" t="str">
        <f ca="1">IFERROR(__xludf.DUMMYFUNCTION("""COMPUTED_VALUE"""),"prof.douglas934@gmail.com")</f>
        <v>prof.douglas934@gmail.com</v>
      </c>
      <c r="E603" s="63" t="str">
        <f ca="1">IFERROR(__xludf.DUMMYFUNCTION("""COMPUTED_VALUE"""),"Sou o Bolsista Desistente")</f>
        <v>Sou o Bolsista Desistente</v>
      </c>
      <c r="F603" s="63"/>
      <c r="G603" s="63"/>
      <c r="H603" s="63" t="str">
        <f ca="1">IFERROR(__xludf.DUMMYFUNCTION("""COMPUTED_VALUE"""),"DOUGLAS WILLIAM QUIRINO PEREIRA")</f>
        <v>DOUGLAS WILLIAM QUIRINO PEREIRA</v>
      </c>
      <c r="I603" s="63" t="str">
        <f ca="1">IFERROR(__xludf.DUMMYFUNCTION("""COMPUTED_VALUE"""),"029/2024")</f>
        <v>029/2024</v>
      </c>
      <c r="J603" s="63" t="str">
        <f ca="1">IFERROR(__xludf.DUMMYFUNCTION("""COMPUTED_VALUE"""),"efetivei posse no edital 027/2024 e por isso há excesso de carga horária")</f>
        <v>efetivei posse no edital 027/2024 e por isso há excesso de carga horária</v>
      </c>
      <c r="K603"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03" s="59"/>
      <c r="N603" s="58" t="str">
        <f t="shared" ca="1" si="3"/>
        <v>DESISTIU</v>
      </c>
    </row>
    <row r="604" spans="1:14" ht="12.5" x14ac:dyDescent="0.25">
      <c r="A604" s="63" t="str">
        <f t="shared" ca="1" si="2"/>
        <v>016/2024/106.244.044-71</v>
      </c>
      <c r="B604" s="63" t="str">
        <f ca="1">IFERROR(__xludf.DUMMYFUNCTION("""COMPUTED_VALUE"""),"106.244.044-71")</f>
        <v>106.244.044-71</v>
      </c>
      <c r="C604" s="66" t="str">
        <f ca="1">IFERROR(__xludf.DUMMYFUNCTION("""COMPUTED_VALUE"""),"31/03/2025 12:21:26")</f>
        <v>31/03/2025 12:21:26</v>
      </c>
      <c r="D604" s="63" t="str">
        <f ca="1">IFERROR(__xludf.DUMMYFUNCTION("""COMPUTED_VALUE"""),"mateus_silva106@professor.pb.gov.br")</f>
        <v>mateus_silva106@professor.pb.gov.br</v>
      </c>
      <c r="E604" s="63" t="str">
        <f ca="1">IFERROR(__xludf.DUMMYFUNCTION("""COMPUTED_VALUE"""),"Sou o Bolsista Desistente")</f>
        <v>Sou o Bolsista Desistente</v>
      </c>
      <c r="F604" s="63"/>
      <c r="G604" s="63"/>
      <c r="H604" s="63" t="str">
        <f ca="1">IFERROR(__xludf.DUMMYFUNCTION("""COMPUTED_VALUE"""),"Mateus Gonçalves Silva")</f>
        <v>Mateus Gonçalves Silva</v>
      </c>
      <c r="I604" s="63" t="str">
        <f ca="1">IFERROR(__xludf.DUMMYFUNCTION("""COMPUTED_VALUE"""),"016/2024")</f>
        <v>016/2024</v>
      </c>
      <c r="J604" s="63" t="str">
        <f ca="1">IFERROR(__xludf.DUMMYFUNCTION("""COMPUTED_VALUE"""),"Fui convocado para outro edital e preciso da desistência para assumir o outro cargo . Se possível, peço urgência !")</f>
        <v>Fui convocado para outro edital e preciso da desistência para assumir o outro cargo . Se possível, peço urgência !</v>
      </c>
      <c r="K604"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04" s="59"/>
      <c r="N604" s="58" t="str">
        <f t="shared" ca="1" si="3"/>
        <v>DESISTIU</v>
      </c>
    </row>
    <row r="605" spans="1:14" ht="12.5" x14ac:dyDescent="0.25">
      <c r="A605" s="63" t="str">
        <f t="shared" ca="1" si="2"/>
        <v>001/2025/062.553.334-85</v>
      </c>
      <c r="B605" s="63" t="str">
        <f ca="1">IFERROR(__xludf.DUMMYFUNCTION("""COMPUTED_VALUE"""),"062.553.334-85")</f>
        <v>062.553.334-85</v>
      </c>
      <c r="C605" s="66" t="str">
        <f ca="1">IFERROR(__xludf.DUMMYFUNCTION("""COMPUTED_VALUE"""),"03/04/2025 10:18:01")</f>
        <v>03/04/2025 10:18:01</v>
      </c>
      <c r="D605" s="63" t="str">
        <f ca="1">IFERROR(__xludf.DUMMYFUNCTION("""COMPUTED_VALUE"""),"profamariliarocha@gmail.com")</f>
        <v>profamariliarocha@gmail.com</v>
      </c>
      <c r="E605" s="63" t="str">
        <f ca="1">IFERROR(__xludf.DUMMYFUNCTION("""COMPUTED_VALUE"""),"Sou o Bolsista Desistente")</f>
        <v>Sou o Bolsista Desistente</v>
      </c>
      <c r="F605" s="63"/>
      <c r="G605" s="63"/>
      <c r="H605" s="63" t="str">
        <f ca="1">IFERROR(__xludf.DUMMYFUNCTION("""COMPUTED_VALUE"""),"Marília Silva Dantas Rocha")</f>
        <v>Marília Silva Dantas Rocha</v>
      </c>
      <c r="I605" s="63" t="str">
        <f ca="1">IFERROR(__xludf.DUMMYFUNCTION("""COMPUTED_VALUE"""),"001/2025")</f>
        <v>001/2025</v>
      </c>
      <c r="J605" s="63" t="str">
        <f ca="1">IFERROR(__xludf.DUMMYFUNCTION("""COMPUTED_VALUE"""),"Fui reposicionada no trabalho atual, com uma carga horária maior que impede minha permanência em outra atividade.")</f>
        <v>Fui reposicionada no trabalho atual, com uma carga horária maior que impede minha permanência em outra atividade.</v>
      </c>
      <c r="K605"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05" s="59"/>
      <c r="N605" s="58" t="str">
        <f t="shared" ca="1" si="3"/>
        <v>DESISTIU</v>
      </c>
    </row>
    <row r="606" spans="1:14" ht="12.5" x14ac:dyDescent="0.25">
      <c r="A606" s="63" t="str">
        <f t="shared" ca="1" si="2"/>
        <v>016/2024/125.974.614-32</v>
      </c>
      <c r="B606" s="63" t="str">
        <f ca="1">IFERROR(__xludf.DUMMYFUNCTION("""COMPUTED_VALUE"""),"125.974.614-32")</f>
        <v>125.974.614-32</v>
      </c>
      <c r="C606" s="66" t="str">
        <f ca="1">IFERROR(__xludf.DUMMYFUNCTION("""COMPUTED_VALUE"""),"03/04/2025 10:18:11")</f>
        <v>03/04/2025 10:18:11</v>
      </c>
      <c r="D606" s="63" t="str">
        <f ca="1">IFERROR(__xludf.DUMMYFUNCTION("""COMPUTED_VALUE"""),"sayurim.tanaka@see.pb.gov.br")</f>
        <v>sayurim.tanaka@see.pb.gov.br</v>
      </c>
      <c r="E606" s="63" t="str">
        <f ca="1">IFERROR(__xludf.DUMMYFUNCTION("""COMPUTED_VALUE"""),"Faço Parte da Equipe Técnica Local ou  da Equipe da SEDE")</f>
        <v>Faço Parte da Equipe Técnica Local ou  da Equipe da SEDE</v>
      </c>
      <c r="F606" s="63" t="str">
        <f ca="1">IFERROR(__xludf.DUMMYFUNCTION("""COMPUTED_VALUE"""),"SAYURI TANAKA")</f>
        <v>SAYURI TANAKA</v>
      </c>
      <c r="G606" s="63" t="str">
        <f ca="1">IFERROR(__xludf.DUMMYFUNCTION("""COMPUTED_VALUE"""),"029.367.024-29")</f>
        <v>029.367.024-29</v>
      </c>
      <c r="H606" s="63" t="str">
        <f ca="1">IFERROR(__xludf.DUMMYFUNCTION("""COMPUTED_VALUE"""),"LUAN NORBERTO  DE OLIVEIRA")</f>
        <v>LUAN NORBERTO  DE OLIVEIRA</v>
      </c>
      <c r="I606" s="63" t="str">
        <f ca="1">IFERROR(__xludf.DUMMYFUNCTION("""COMPUTED_VALUE"""),"016/2024")</f>
        <v>016/2024</v>
      </c>
      <c r="J606" s="63" t="str">
        <f ca="1">IFERROR(__xludf.DUMMYFUNCTION("""COMPUTED_VALUE"""),"Abandonou a oferta.")</f>
        <v>Abandonou a oferta.</v>
      </c>
      <c r="K606"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06" s="71" t="str">
        <f ca="1">IFERROR(__xludf.DUMMYFUNCTION("""COMPUTED_VALUE"""),"https://drive.google.com/open?id=1zgu83atJA6OZzSDaxpTryu4fcTMutgzU")</f>
        <v>https://drive.google.com/open?id=1zgu83atJA6OZzSDaxpTryu4fcTMutgzU</v>
      </c>
      <c r="N606" s="58" t="str">
        <f t="shared" ca="1" si="3"/>
        <v>DESISTIU</v>
      </c>
    </row>
    <row r="607" spans="1:14" ht="12.5" x14ac:dyDescent="0.25">
      <c r="A607" s="63" t="str">
        <f t="shared" ca="1" si="2"/>
        <v>016/2024/052.210.207-77</v>
      </c>
      <c r="B607" s="63" t="str">
        <f ca="1">IFERROR(__xludf.DUMMYFUNCTION("""COMPUTED_VALUE"""),"052.210.207-77")</f>
        <v>052.210.207-77</v>
      </c>
      <c r="C607" s="66" t="str">
        <f ca="1">IFERROR(__xludf.DUMMYFUNCTION("""COMPUTED_VALUE"""),"03/04/2025 12:31:47")</f>
        <v>03/04/2025 12:31:47</v>
      </c>
      <c r="D607" s="63" t="str">
        <f ca="1">IFERROR(__xludf.DUMMYFUNCTION("""COMPUTED_VALUE"""),"millacerda@gmail.com")</f>
        <v>millacerda@gmail.com</v>
      </c>
      <c r="E607" s="63" t="str">
        <f ca="1">IFERROR(__xludf.DUMMYFUNCTION("""COMPUTED_VALUE"""),"Sou o Bolsista Desistente")</f>
        <v>Sou o Bolsista Desistente</v>
      </c>
      <c r="F607" s="63"/>
      <c r="G607" s="63"/>
      <c r="H607" s="63" t="str">
        <f ca="1">IFERROR(__xludf.DUMMYFUNCTION("""COMPUTED_VALUE"""),"Mirian Conceição Lobo de Souza ")</f>
        <v xml:space="preserve">Mirian Conceição Lobo de Souza </v>
      </c>
      <c r="I607" s="63" t="str">
        <f ca="1">IFERROR(__xludf.DUMMYFUNCTION("""COMPUTED_VALUE"""),"016/2024")</f>
        <v>016/2024</v>
      </c>
      <c r="J607" s="63" t="str">
        <f ca="1">IFERROR(__xludf.DUMMYFUNCTION("""COMPUTED_VALUE"""),"Distância entre local de atuação e residência.")</f>
        <v>Distância entre local de atuação e residência.</v>
      </c>
      <c r="K607"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07" s="59"/>
      <c r="N607" s="58" t="str">
        <f t="shared" ca="1" si="3"/>
        <v>DESISTIU</v>
      </c>
    </row>
    <row r="608" spans="1:14" ht="12.5" x14ac:dyDescent="0.25">
      <c r="A608" s="63" t="str">
        <f t="shared" ca="1" si="2"/>
        <v>016/2024/977.700.354-49</v>
      </c>
      <c r="B608" s="63" t="str">
        <f ca="1">IFERROR(__xludf.DUMMYFUNCTION("""COMPUTED_VALUE"""),"977.700.354-49")</f>
        <v>977.700.354-49</v>
      </c>
      <c r="C608" s="66" t="str">
        <f ca="1">IFERROR(__xludf.DUMMYFUNCTION("""COMPUTED_VALUE"""),"07/04/2025 09:28:58")</f>
        <v>07/04/2025 09:28:58</v>
      </c>
      <c r="D608" s="63" t="str">
        <f ca="1">IFERROR(__xludf.DUMMYFUNCTION("""COMPUTED_VALUE"""),"lpsjampa@gmail.com")</f>
        <v>lpsjampa@gmail.com</v>
      </c>
      <c r="E608" s="63" t="str">
        <f ca="1">IFERROR(__xludf.DUMMYFUNCTION("""COMPUTED_VALUE"""),"Sou o Bolsista Desistente")</f>
        <v>Sou o Bolsista Desistente</v>
      </c>
      <c r="F608" s="63"/>
      <c r="G608" s="63"/>
      <c r="H608" s="63" t="str">
        <f ca="1">IFERROR(__xludf.DUMMYFUNCTION("""COMPUTED_VALUE"""),"LEONARDO PEREIRA E SILVA")</f>
        <v>LEONARDO PEREIRA E SILVA</v>
      </c>
      <c r="I608" s="63" t="str">
        <f ca="1">IFERROR(__xludf.DUMMYFUNCTION("""COMPUTED_VALUE"""),"016/2024")</f>
        <v>016/2024</v>
      </c>
      <c r="J608" s="63" t="str">
        <f ca="1">IFERROR(__xludf.DUMMYFUNCTION("""COMPUTED_VALUE"""),"Devido a falta de Segurança na Unidade de trabalho")</f>
        <v>Devido a falta de Segurança na Unidade de trabalho</v>
      </c>
      <c r="K608"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08" s="59"/>
      <c r="N608" s="58" t="str">
        <f t="shared" ca="1" si="3"/>
        <v>DESISTIU</v>
      </c>
    </row>
    <row r="609" spans="1:14" ht="12.5" x14ac:dyDescent="0.25">
      <c r="A609" s="63" t="str">
        <f t="shared" ca="1" si="2"/>
        <v>001/2025/117.778.134-41</v>
      </c>
      <c r="B609" s="63" t="str">
        <f ca="1">IFERROR(__xludf.DUMMYFUNCTION("""COMPUTED_VALUE"""),"117.778.134-41")</f>
        <v>117.778.134-41</v>
      </c>
      <c r="C609" s="66" t="str">
        <f ca="1">IFERROR(__xludf.DUMMYFUNCTION("""COMPUTED_VALUE"""),"08/04/2025 08:12:00")</f>
        <v>08/04/2025 08:12:00</v>
      </c>
      <c r="D609" s="63" t="str">
        <f ca="1">IFERROR(__xludf.DUMMYFUNCTION("""COMPUTED_VALUE"""),"emely.duarte@edu.prof.campinagrande.pb.gov.br")</f>
        <v>emely.duarte@edu.prof.campinagrande.pb.gov.br</v>
      </c>
      <c r="E609" s="63" t="str">
        <f ca="1">IFERROR(__xludf.DUMMYFUNCTION("""COMPUTED_VALUE"""),"Sou o Bolsista Desistente")</f>
        <v>Sou o Bolsista Desistente</v>
      </c>
      <c r="F609" s="63"/>
      <c r="G609" s="63"/>
      <c r="H609" s="63" t="str">
        <f ca="1">IFERROR(__xludf.DUMMYFUNCTION("""COMPUTED_VALUE"""),"EMELY VALERIA HERCULANO DUARTE")</f>
        <v>EMELY VALERIA HERCULANO DUARTE</v>
      </c>
      <c r="I609" s="63" t="str">
        <f ca="1">IFERROR(__xludf.DUMMYFUNCTION("""COMPUTED_VALUE"""),"001/2025")</f>
        <v>001/2025</v>
      </c>
      <c r="J609" s="63" t="str">
        <f ca="1">IFERROR(__xludf.DUMMYFUNCTION("""COMPUTED_VALUE"""),"Outra proposta no momento.")</f>
        <v>Outra proposta no momento.</v>
      </c>
      <c r="K609"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09" s="59"/>
      <c r="N609" s="58" t="str">
        <f t="shared" ca="1" si="3"/>
        <v>DESISTIU</v>
      </c>
    </row>
    <row r="610" spans="1:14" ht="12.5" x14ac:dyDescent="0.25">
      <c r="A610" s="63" t="str">
        <f t="shared" ca="1" si="2"/>
        <v>032/2024/062.016.974-54</v>
      </c>
      <c r="B610" s="63" t="str">
        <f ca="1">IFERROR(__xludf.DUMMYFUNCTION("""COMPUTED_VALUE"""),"062.016.974-54")</f>
        <v>062.016.974-54</v>
      </c>
      <c r="C610" s="66" t="str">
        <f ca="1">IFERROR(__xludf.DUMMYFUNCTION("""COMPUTED_VALUE"""),"08/04/2025 16:16:31")</f>
        <v>08/04/2025 16:16:31</v>
      </c>
      <c r="D610" s="63" t="str">
        <f ca="1">IFERROR(__xludf.DUMMYFUNCTION("""COMPUTED_VALUE"""),"lygiaroberta30@gmail.com")</f>
        <v>lygiaroberta30@gmail.com</v>
      </c>
      <c r="E610" s="63" t="str">
        <f ca="1">IFERROR(__xludf.DUMMYFUNCTION("""COMPUTED_VALUE"""),"Sou o Bolsista Desistente")</f>
        <v>Sou o Bolsista Desistente</v>
      </c>
      <c r="F610" s="63"/>
      <c r="G610" s="63"/>
      <c r="H610" s="63" t="str">
        <f ca="1">IFERROR(__xludf.DUMMYFUNCTION("""COMPUTED_VALUE"""),"Lígia Roberta Ferreira de Andrade ")</f>
        <v xml:space="preserve">Lígia Roberta Ferreira de Andrade </v>
      </c>
      <c r="I610" s="63" t="str">
        <f ca="1">IFERROR(__xludf.DUMMYFUNCTION("""COMPUTED_VALUE"""),"032/2024")</f>
        <v>032/2024</v>
      </c>
      <c r="J610" s="63" t="str">
        <f ca="1">IFERROR(__xludf.DUMMYFUNCTION("""COMPUTED_VALUE"""),"Estou desistindo da vaga devido esta morando longe, em outra cidade para locomoção ficou inviável ")</f>
        <v xml:space="preserve">Estou desistindo da vaga devido esta morando longe, em outra cidade para locomoção ficou inviável </v>
      </c>
      <c r="K610"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10" s="59"/>
      <c r="N610" s="58" t="str">
        <f t="shared" ca="1" si="3"/>
        <v>DESISTIU</v>
      </c>
    </row>
    <row r="611" spans="1:14" ht="12.5" x14ac:dyDescent="0.25">
      <c r="A611" s="63" t="str">
        <f t="shared" ca="1" si="2"/>
        <v>027/2024/070.297.984-81</v>
      </c>
      <c r="B611" s="63" t="str">
        <f ca="1">IFERROR(__xludf.DUMMYFUNCTION("""COMPUTED_VALUE"""),"070.297.984-81")</f>
        <v>070.297.984-81</v>
      </c>
      <c r="C611" s="66" t="str">
        <f ca="1">IFERROR(__xludf.DUMMYFUNCTION("""COMPUTED_VALUE"""),"08/04/2025 17:29:00")</f>
        <v>08/04/2025 17:29:00</v>
      </c>
      <c r="D611" s="63" t="str">
        <f ca="1">IFERROR(__xludf.DUMMYFUNCTION("""COMPUTED_VALUE"""),"pedro.araujo@ifpb.edu.br")</f>
        <v>pedro.araujo@ifpb.edu.br</v>
      </c>
      <c r="E611" s="63" t="str">
        <f ca="1">IFERROR(__xludf.DUMMYFUNCTION("""COMPUTED_VALUE"""),"Sou o Bolsista Desistente")</f>
        <v>Sou o Bolsista Desistente</v>
      </c>
      <c r="F611" s="63"/>
      <c r="G611" s="63"/>
      <c r="H611" s="63" t="str">
        <f ca="1">IFERROR(__xludf.DUMMYFUNCTION("""COMPUTED_VALUE"""),"Pedro Luis Araújo Silva")</f>
        <v>Pedro Luis Araújo Silva</v>
      </c>
      <c r="I611" s="63" t="str">
        <f ca="1">IFERROR(__xludf.DUMMYFUNCTION("""COMPUTED_VALUE"""),"027/2024")</f>
        <v>027/2024</v>
      </c>
      <c r="J611" s="63" t="str">
        <f ca="1">IFERROR(__xludf.DUMMYFUNCTION("""COMPUTED_VALUE"""),"A falta de planejamento da coordenação para divulgar um calendário de atividades com, pelo menos, um mês de antecedência. O fato de ter que reservar um turno para atividades que nem sempre sou demandado (e nem remunerado para tal) e o fato de ser obrigado"&amp;" a emitir nota fiscal mesmo sendo bolsista (rendimento isento e não tributável). Terei que ingressar judicialmente para requerer meu pagamento do mês de março.")</f>
        <v>A falta de planejamento da coordenação para divulgar um calendário de atividades com, pelo menos, um mês de antecedência. O fato de ter que reservar um turno para atividades que nem sempre sou demandado (e nem remunerado para tal) e o fato de ser obrigado a emitir nota fiscal mesmo sendo bolsista (rendimento isento e não tributável). Terei que ingressar judicialmente para requerer meu pagamento do mês de março.</v>
      </c>
      <c r="K611"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11" s="59"/>
      <c r="N611" s="58" t="str">
        <f t="shared" ca="1" si="3"/>
        <v>DESISTIU</v>
      </c>
    </row>
    <row r="612" spans="1:14" ht="12.5" x14ac:dyDescent="0.25">
      <c r="A612" s="63" t="str">
        <f t="shared" ca="1" si="2"/>
        <v>032/2024/077.713.794-19</v>
      </c>
      <c r="B612" s="63" t="str">
        <f ca="1">IFERROR(__xludf.DUMMYFUNCTION("""COMPUTED_VALUE"""),"077.713.794-19")</f>
        <v>077.713.794-19</v>
      </c>
      <c r="C612" s="66" t="str">
        <f ca="1">IFERROR(__xludf.DUMMYFUNCTION("""COMPUTED_VALUE"""),"09/04/2025 08:43:52")</f>
        <v>09/04/2025 08:43:52</v>
      </c>
      <c r="D612" s="63" t="str">
        <f ca="1">IFERROR(__xludf.DUMMYFUNCTION("""COMPUTED_VALUE"""),"macisimoesgpb@gmail.com")</f>
        <v>macisimoesgpb@gmail.com</v>
      </c>
      <c r="E612" s="63" t="str">
        <f ca="1">IFERROR(__xludf.DUMMYFUNCTION("""COMPUTED_VALUE"""),"Sou o Bolsista Desistente")</f>
        <v>Sou o Bolsista Desistente</v>
      </c>
      <c r="F612" s="63"/>
      <c r="G612" s="63"/>
      <c r="H612" s="63" t="str">
        <f ca="1">IFERROR(__xludf.DUMMYFUNCTION("""COMPUTED_VALUE"""),"Leomacia da rocha Simões ")</f>
        <v xml:space="preserve">Leomacia da rocha Simões </v>
      </c>
      <c r="I612" s="63" t="str">
        <f ca="1">IFERROR(__xludf.DUMMYFUNCTION("""COMPUTED_VALUE"""),"032/2024")</f>
        <v>032/2024</v>
      </c>
      <c r="J612" s="63" t="str">
        <f ca="1">IFERROR(__xludf.DUMMYFUNCTION("""COMPUTED_VALUE"""),"Já estou atuando no Paraibatec fic , e achei que poderia permanecer nos dois, visto que é na mesma unidade e horário.")</f>
        <v>Já estou atuando no Paraibatec fic , e achei que poderia permanecer nos dois, visto que é na mesma unidade e horário.</v>
      </c>
      <c r="K612"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12" s="59"/>
      <c r="N612" s="58" t="str">
        <f t="shared" ca="1" si="3"/>
        <v>DESISTIU</v>
      </c>
    </row>
    <row r="613" spans="1:14" ht="12.5" x14ac:dyDescent="0.25">
      <c r="A613" s="63" t="str">
        <f t="shared" ca="1" si="2"/>
        <v>002/2025/108.795.654-46</v>
      </c>
      <c r="B613" s="63" t="str">
        <f ca="1">IFERROR(__xludf.DUMMYFUNCTION("""COMPUTED_VALUE"""),"108.795.654-46")</f>
        <v>108.795.654-46</v>
      </c>
      <c r="C613" s="66" t="str">
        <f ca="1">IFERROR(__xludf.DUMMYFUNCTION("""COMPUTED_VALUE"""),"11/04/2025 09:22:19")</f>
        <v>11/04/2025 09:22:19</v>
      </c>
      <c r="D613" s="63" t="str">
        <f ca="1">IFERROR(__xludf.DUMMYFUNCTION("""COMPUTED_VALUE"""),"danieres.sousa@professor.pb.gov.br")</f>
        <v>danieres.sousa@professor.pb.gov.br</v>
      </c>
      <c r="E613" s="63" t="str">
        <f ca="1">IFERROR(__xludf.DUMMYFUNCTION("""COMPUTED_VALUE"""),"Sou o Bolsista Desistente")</f>
        <v>Sou o Bolsista Desistente</v>
      </c>
      <c r="F613" s="63"/>
      <c r="G613" s="63"/>
      <c r="H613" s="63" t="str">
        <f ca="1">IFERROR(__xludf.DUMMYFUNCTION("""COMPUTED_VALUE"""),"Danieres Francisco de Sousa")</f>
        <v>Danieres Francisco de Sousa</v>
      </c>
      <c r="I613" s="63" t="str">
        <f ca="1">IFERROR(__xludf.DUMMYFUNCTION("""COMPUTED_VALUE"""),"002/2025")</f>
        <v>002/2025</v>
      </c>
      <c r="J613" s="63" t="str">
        <f ca="1">IFERROR(__xludf.DUMMYFUNCTION("""COMPUTED_VALUE"""),"Incompatibilidade de horários ")</f>
        <v xml:space="preserve">Incompatibilidade de horários </v>
      </c>
      <c r="K613"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13" s="59"/>
      <c r="N613" s="58" t="str">
        <f t="shared" ca="1" si="3"/>
        <v>DESISTIU</v>
      </c>
    </row>
    <row r="614" spans="1:14" ht="12.5" x14ac:dyDescent="0.25">
      <c r="A614" s="63" t="str">
        <f t="shared" ca="1" si="2"/>
        <v>002/2025/032.308.704-33</v>
      </c>
      <c r="B614" s="63" t="str">
        <f ca="1">IFERROR(__xludf.DUMMYFUNCTION("""COMPUTED_VALUE"""),"032.308.704-33")</f>
        <v>032.308.704-33</v>
      </c>
      <c r="C614" s="66" t="str">
        <f ca="1">IFERROR(__xludf.DUMMYFUNCTION("""COMPUTED_VALUE"""),"11/04/2025 10:47:15")</f>
        <v>11/04/2025 10:47:15</v>
      </c>
      <c r="D614" s="63" t="str">
        <f ca="1">IFERROR(__xludf.DUMMYFUNCTION("""COMPUTED_VALUE"""),"caroline.alves1@professor.pb.gov.br")</f>
        <v>caroline.alves1@professor.pb.gov.br</v>
      </c>
      <c r="E614" s="63" t="str">
        <f ca="1">IFERROR(__xludf.DUMMYFUNCTION("""COMPUTED_VALUE"""),"Sou o Bolsista Desistente")</f>
        <v>Sou o Bolsista Desistente</v>
      </c>
      <c r="F614" s="63"/>
      <c r="G614" s="63"/>
      <c r="H614" s="63" t="str">
        <f ca="1">IFERROR(__xludf.DUMMYFUNCTION("""COMPUTED_VALUE"""),"CAROLINE DINIZ NÓBREGA ALVES")</f>
        <v>CAROLINE DINIZ NÓBREGA ALVES</v>
      </c>
      <c r="I614" s="63" t="str">
        <f ca="1">IFERROR(__xludf.DUMMYFUNCTION("""COMPUTED_VALUE"""),"002/2025")</f>
        <v>002/2025</v>
      </c>
      <c r="J614" s="63" t="str">
        <f ca="1">IFERROR(__xludf.DUMMYFUNCTION("""COMPUTED_VALUE"""),"Em razão da minha posse em um outro edital (Edital 001/2025), cuja regulamentação, conforme disposto no artigo 9º das normas do ParaíbaTEC, estabelece restrições quanto à carga horária permitida para bolsistas, informo que a permanência simultânea nos doi"&amp;"s editais resultaria em acúmulo de carga horária superior ao limite estabelecido.
De acordo com a referida norma, a carga horária máxima permitida é de 20 horas semanais para bolsistas em geral, sendo limitada a 16 horas semanais para a função de profess"&amp;"or. Considerando que a soma das cargas horárias dos dois editais ultrapassaria esse limite, o acúmulo de bolsas não seria, de fato, autorizado.
Diante do exposto, venho, por meio deste, solicitar o meu desligamento do Edital 002/2025, junto ao Programa P"&amp;"araíbaTEC.")</f>
        <v>Em razão da minha posse em um outro edital (Edital 001/2025), cuja regulamentação, conforme disposto no artigo 9º das normas do ParaíbaTEC, estabelece restrições quanto à carga horária permitida para bolsistas, informo que a permanência simultânea nos dois editais resultaria em acúmulo de carga horária superior ao limite estabelecido.
De acordo com a referida norma, a carga horária máxima permitida é de 20 horas semanais para bolsistas em geral, sendo limitada a 16 horas semanais para a função de professor. Considerando que a soma das cargas horárias dos dois editais ultrapassaria esse limite, o acúmulo de bolsas não seria, de fato, autorizado.
Diante do exposto, venho, por meio deste, solicitar o meu desligamento do Edital 002/2025, junto ao Programa ParaíbaTEC.</v>
      </c>
      <c r="K614"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14" s="59"/>
      <c r="N614" s="58" t="str">
        <f t="shared" ca="1" si="3"/>
        <v>DESISTIU</v>
      </c>
    </row>
    <row r="615" spans="1:14" ht="12.5" x14ac:dyDescent="0.25">
      <c r="A615" s="63" t="str">
        <f t="shared" ca="1" si="2"/>
        <v>016/2024/107.186.274-07</v>
      </c>
      <c r="B615" s="63" t="str">
        <f ca="1">IFERROR(__xludf.DUMMYFUNCTION("""COMPUTED_VALUE"""),"107.186.274-07")</f>
        <v>107.186.274-07</v>
      </c>
      <c r="C615" s="66" t="str">
        <f ca="1">IFERROR(__xludf.DUMMYFUNCTION("""COMPUTED_VALUE"""),"11/04/2025 14:45:57")</f>
        <v>11/04/2025 14:45:57</v>
      </c>
      <c r="D615" s="63" t="str">
        <f ca="1">IFERROR(__xludf.DUMMYFUNCTION("""COMPUTED_VALUE"""),"01jeffersonferreira@gmail.com")</f>
        <v>01jeffersonferreira@gmail.com</v>
      </c>
      <c r="E615" s="63" t="str">
        <f ca="1">IFERROR(__xludf.DUMMYFUNCTION("""COMPUTED_VALUE"""),"Sou o Bolsista Desistente")</f>
        <v>Sou o Bolsista Desistente</v>
      </c>
      <c r="F615" s="63"/>
      <c r="G615" s="63"/>
      <c r="H615" s="63" t="str">
        <f ca="1">IFERROR(__xludf.DUMMYFUNCTION("""COMPUTED_VALUE"""),"Jefferson Ferreira de Freitas Feitosa")</f>
        <v>Jefferson Ferreira de Freitas Feitosa</v>
      </c>
      <c r="I615" s="63" t="str">
        <f ca="1">IFERROR(__xludf.DUMMYFUNCTION("""COMPUTED_VALUE"""),"016/2024")</f>
        <v>016/2024</v>
      </c>
      <c r="J615" s="63" t="str">
        <f ca="1">IFERROR(__xludf.DUMMYFUNCTION("""COMPUTED_VALUE"""),"O curso não formou turma para prosseguimento de atividades")</f>
        <v>O curso não formou turma para prosseguimento de atividades</v>
      </c>
      <c r="K615"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15" s="59"/>
      <c r="N615" s="58" t="str">
        <f t="shared" ca="1" si="3"/>
        <v>DESISTIU</v>
      </c>
    </row>
    <row r="616" spans="1:14" ht="12.5" x14ac:dyDescent="0.25">
      <c r="A616" s="63" t="str">
        <f t="shared" ca="1" si="2"/>
        <v>002/2025/073.472.414-48</v>
      </c>
      <c r="B616" s="63" t="str">
        <f ca="1">IFERROR(__xludf.DUMMYFUNCTION("""COMPUTED_VALUE"""),"073.472.414-48")</f>
        <v>073.472.414-48</v>
      </c>
      <c r="C616" s="66" t="str">
        <f ca="1">IFERROR(__xludf.DUMMYFUNCTION("""COMPUTED_VALUE"""),"11/04/2025 16:51:54")</f>
        <v>11/04/2025 16:51:54</v>
      </c>
      <c r="D616" s="63" t="str">
        <f ca="1">IFERROR(__xludf.DUMMYFUNCTION("""COMPUTED_VALUE"""),"flaviano.pereira.0748.pbtec23@escola.pb.gov.br")</f>
        <v>flaviano.pereira.0748.pbtec23@escola.pb.gov.br</v>
      </c>
      <c r="E616" s="63" t="str">
        <f ca="1">IFERROR(__xludf.DUMMYFUNCTION("""COMPUTED_VALUE"""),"Sou o Bolsista Desistente")</f>
        <v>Sou o Bolsista Desistente</v>
      </c>
      <c r="F616" s="63"/>
      <c r="G616" s="63"/>
      <c r="H616" s="63" t="str">
        <f ca="1">IFERROR(__xludf.DUMMYFUNCTION("""COMPUTED_VALUE"""),"FLAVIANO MOURA PEREIRA ")</f>
        <v xml:space="preserve">FLAVIANO MOURA PEREIRA </v>
      </c>
      <c r="I616" s="63" t="str">
        <f ca="1">IFERROR(__xludf.DUMMYFUNCTION("""COMPUTED_VALUE"""),"002/2025")</f>
        <v>002/2025</v>
      </c>
      <c r="J616" s="63" t="str">
        <f ca="1">IFERROR(__xludf.DUMMYFUNCTION("""COMPUTED_VALUE"""),"ASSUMI O EDITAL 001/2025")</f>
        <v>ASSUMI O EDITAL 001/2025</v>
      </c>
      <c r="K616"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16" s="59"/>
      <c r="N616" s="58" t="str">
        <f t="shared" ca="1" si="3"/>
        <v>DESISTIU</v>
      </c>
    </row>
    <row r="617" spans="1:14" ht="12.5" x14ac:dyDescent="0.25">
      <c r="A617" s="63" t="str">
        <f t="shared" ca="1" si="2"/>
        <v>016/2024/016.232.644-05</v>
      </c>
      <c r="B617" s="63" t="str">
        <f ca="1">IFERROR(__xludf.DUMMYFUNCTION("""COMPUTED_VALUE"""),"016.232.644-05")</f>
        <v>016.232.644-05</v>
      </c>
      <c r="C617" s="66" t="str">
        <f ca="1">IFERROR(__xludf.DUMMYFUNCTION("""COMPUTED_VALUE"""),"11/04/2025 20:12:08")</f>
        <v>11/04/2025 20:12:08</v>
      </c>
      <c r="D617" s="63" t="str">
        <f ca="1">IFERROR(__xludf.DUMMYFUNCTION("""COMPUTED_VALUE"""),"catarinasales@professor.pb.gov.br")</f>
        <v>catarinasales@professor.pb.gov.br</v>
      </c>
      <c r="E617" s="63" t="str">
        <f ca="1">IFERROR(__xludf.DUMMYFUNCTION("""COMPUTED_VALUE"""),"Sou o Bolsista Desistente")</f>
        <v>Sou o Bolsista Desistente</v>
      </c>
      <c r="F617" s="63"/>
      <c r="G617" s="63"/>
      <c r="H617" s="63" t="str">
        <f ca="1">IFERROR(__xludf.DUMMYFUNCTION("""COMPUTED_VALUE"""),"CATARINA DE SALES SANTOS")</f>
        <v>CATARINA DE SALES SANTOS</v>
      </c>
      <c r="I617" s="63" t="str">
        <f ca="1">IFERROR(__xludf.DUMMYFUNCTION("""COMPUTED_VALUE"""),"016/2024")</f>
        <v>016/2024</v>
      </c>
      <c r="J617" s="63" t="str">
        <f ca="1">IFERROR(__xludf.DUMMYFUNCTION("""COMPUTED_VALUE"""),"A minha turma na cidade de Taperoá não abriu pois os alunos não se inscreveram e estou com problemas pra assumir o edital 002/2025 por conta desse empecilho. Att.")</f>
        <v>A minha turma na cidade de Taperoá não abriu pois os alunos não se inscreveram e estou com problemas pra assumir o edital 002/2025 por conta desse empecilho. Att.</v>
      </c>
      <c r="K617"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17" s="59"/>
      <c r="N617" s="58" t="str">
        <f t="shared" ca="1" si="3"/>
        <v>DESISTIU</v>
      </c>
    </row>
    <row r="618" spans="1:14" ht="12.5" x14ac:dyDescent="0.25">
      <c r="A618" s="63" t="str">
        <f t="shared" ca="1" si="2"/>
        <v>032/2024/353.296.348-57</v>
      </c>
      <c r="B618" s="63" t="str">
        <f ca="1">IFERROR(__xludf.DUMMYFUNCTION("""COMPUTED_VALUE"""),"353.296.348-57")</f>
        <v>353.296.348-57</v>
      </c>
      <c r="C618" s="66" t="str">
        <f ca="1">IFERROR(__xludf.DUMMYFUNCTION("""COMPUTED_VALUE"""),"12/04/2025 18:22:39")</f>
        <v>12/04/2025 18:22:39</v>
      </c>
      <c r="D618" s="63" t="str">
        <f ca="1">IFERROR(__xludf.DUMMYFUNCTION("""COMPUTED_VALUE"""),"enioramon@gmail.com")</f>
        <v>enioramon@gmail.com</v>
      </c>
      <c r="E618" s="63" t="str">
        <f ca="1">IFERROR(__xludf.DUMMYFUNCTION("""COMPUTED_VALUE"""),"Sou o Bolsista Desistente")</f>
        <v>Sou o Bolsista Desistente</v>
      </c>
      <c r="F618" s="63"/>
      <c r="G618" s="63"/>
      <c r="H618" s="63" t="str">
        <f ca="1">IFERROR(__xludf.DUMMYFUNCTION("""COMPUTED_VALUE"""),"Enio Ramon Medeiros Da Silva")</f>
        <v>Enio Ramon Medeiros Da Silva</v>
      </c>
      <c r="I618" s="63" t="str">
        <f ca="1">IFERROR(__xludf.DUMMYFUNCTION("""COMPUTED_VALUE"""),"032/2024")</f>
        <v>032/2024</v>
      </c>
      <c r="J618" s="63" t="str">
        <f ca="1">IFERROR(__xludf.DUMMYFUNCTION("""COMPUTED_VALUE"""),"Incompatibilidade com o período que será realizado o curso.")</f>
        <v>Incompatibilidade com o período que será realizado o curso.</v>
      </c>
      <c r="K618"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18" s="59"/>
      <c r="N618" s="58" t="str">
        <f t="shared" ca="1" si="3"/>
        <v>DESISTIU</v>
      </c>
    </row>
    <row r="619" spans="1:14" ht="12.5" x14ac:dyDescent="0.25">
      <c r="A619" s="63" t="str">
        <f t="shared" ca="1" si="2"/>
        <v>032/2024/095.332.984-48</v>
      </c>
      <c r="B619" s="63" t="str">
        <f ca="1">IFERROR(__xludf.DUMMYFUNCTION("""COMPUTED_VALUE"""),"095.332.984-48")</f>
        <v>095.332.984-48</v>
      </c>
      <c r="C619" s="66" t="str">
        <f ca="1">IFERROR(__xludf.DUMMYFUNCTION("""COMPUTED_VALUE"""),"14/04/2025 09:13:46")</f>
        <v>14/04/2025 09:13:46</v>
      </c>
      <c r="D619" s="63" t="str">
        <f ca="1">IFERROR(__xludf.DUMMYFUNCTION("""COMPUTED_VALUE"""),"andressah.raquel@gmail.com")</f>
        <v>andressah.raquel@gmail.com</v>
      </c>
      <c r="E619" s="63" t="str">
        <f ca="1">IFERROR(__xludf.DUMMYFUNCTION("""COMPUTED_VALUE"""),"Sou o Bolsista Desistente")</f>
        <v>Sou o Bolsista Desistente</v>
      </c>
      <c r="F619" s="63"/>
      <c r="G619" s="63"/>
      <c r="H619" s="63" t="str">
        <f ca="1">IFERROR(__xludf.DUMMYFUNCTION("""COMPUTED_VALUE"""),"Andressa Raquel Souza de Freitas ")</f>
        <v xml:space="preserve">Andressa Raquel Souza de Freitas </v>
      </c>
      <c r="I619" s="63" t="str">
        <f ca="1">IFERROR(__xludf.DUMMYFUNCTION("""COMPUTED_VALUE"""),"032/2024")</f>
        <v>032/2024</v>
      </c>
      <c r="J619" s="63" t="str">
        <f ca="1">IFERROR(__xludf.DUMMYFUNCTION("""COMPUTED_VALUE"""),"O motivo de não assumir a vaga é pelo fato de ter sido aprovada também em primeiro lugar no edital 004/2025 do Pronatec Mulheres Mil e ter optado por assumir este. ")</f>
        <v xml:space="preserve">O motivo de não assumir a vaga é pelo fato de ter sido aprovada também em primeiro lugar no edital 004/2025 do Pronatec Mulheres Mil e ter optado por assumir este. </v>
      </c>
      <c r="K619"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19" s="59"/>
      <c r="N619" s="58" t="str">
        <f t="shared" ca="1" si="3"/>
        <v>DESISTIU</v>
      </c>
    </row>
    <row r="620" spans="1:14" ht="12.5" x14ac:dyDescent="0.25">
      <c r="A620" s="63" t="str">
        <f t="shared" ca="1" si="2"/>
        <v>032/2024/061.058.094-92</v>
      </c>
      <c r="B620" s="63" t="str">
        <f ca="1">IFERROR(__xludf.DUMMYFUNCTION("""COMPUTED_VALUE"""),"061.058.094-92")</f>
        <v>061.058.094-92</v>
      </c>
      <c r="C620" s="66" t="str">
        <f ca="1">IFERROR(__xludf.DUMMYFUNCTION("""COMPUTED_VALUE"""),"14/04/2025 10:19:44")</f>
        <v>14/04/2025 10:19:44</v>
      </c>
      <c r="D620" s="63" t="str">
        <f ca="1">IFERROR(__xludf.DUMMYFUNCTION("""COMPUTED_VALUE"""),"glicerinaldo.gomes@professor.pb.gov.br")</f>
        <v>glicerinaldo.gomes@professor.pb.gov.br</v>
      </c>
      <c r="E620" s="63" t="str">
        <f ca="1">IFERROR(__xludf.DUMMYFUNCTION("""COMPUTED_VALUE"""),"Sou o Bolsista Desistente")</f>
        <v>Sou o Bolsista Desistente</v>
      </c>
      <c r="F620" s="63"/>
      <c r="G620" s="63"/>
      <c r="H620" s="63" t="str">
        <f ca="1">IFERROR(__xludf.DUMMYFUNCTION("""COMPUTED_VALUE"""),"Glicerinaldo de Sousa Gomes ")</f>
        <v xml:space="preserve">Glicerinaldo de Sousa Gomes </v>
      </c>
      <c r="I620" s="63" t="str">
        <f ca="1">IFERROR(__xludf.DUMMYFUNCTION("""COMPUTED_VALUE"""),"032/2024")</f>
        <v>032/2024</v>
      </c>
      <c r="J620" s="63" t="str">
        <f ca="1">IFERROR(__xludf.DUMMYFUNCTION("""COMPUTED_VALUE"""),"Ter sido aprovado e convocado para o edital 01/2025 e não poder acumular as funções.")</f>
        <v>Ter sido aprovado e convocado para o edital 01/2025 e não poder acumular as funções.</v>
      </c>
      <c r="K620"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20" s="59"/>
      <c r="N620" s="58" t="str">
        <f t="shared" ca="1" si="3"/>
        <v>DESISTIU</v>
      </c>
    </row>
    <row r="621" spans="1:14" ht="12.5" x14ac:dyDescent="0.25">
      <c r="A621" s="63" t="str">
        <f t="shared" ca="1" si="2"/>
        <v>032/2024/804.815.824-87</v>
      </c>
      <c r="B621" s="63" t="str">
        <f ca="1">IFERROR(__xludf.DUMMYFUNCTION("""COMPUTED_VALUE"""),"804.815.824-87")</f>
        <v>804.815.824-87</v>
      </c>
      <c r="C621" s="66" t="str">
        <f ca="1">IFERROR(__xludf.DUMMYFUNCTION("""COMPUTED_VALUE"""),"14/04/2025 10:59:35")</f>
        <v>14/04/2025 10:59:35</v>
      </c>
      <c r="D621" s="63" t="str">
        <f ca="1">IFERROR(__xludf.DUMMYFUNCTION("""COMPUTED_VALUE"""),"karinpicado@gmail.com")</f>
        <v>karinpicado@gmail.com</v>
      </c>
      <c r="E621" s="63" t="str">
        <f ca="1">IFERROR(__xludf.DUMMYFUNCTION("""COMPUTED_VALUE"""),"Sou o Bolsista Desistente")</f>
        <v>Sou o Bolsista Desistente</v>
      </c>
      <c r="F621" s="63"/>
      <c r="G621" s="63"/>
      <c r="H621" s="63" t="str">
        <f ca="1">IFERROR(__xludf.DUMMYFUNCTION("""COMPUTED_VALUE"""),"Karin Herculano Picado")</f>
        <v>Karin Herculano Picado</v>
      </c>
      <c r="I621" s="63" t="str">
        <f ca="1">IFERROR(__xludf.DUMMYFUNCTION("""COMPUTED_VALUE"""),"032/2024")</f>
        <v>032/2024</v>
      </c>
      <c r="J621" s="63" t="str">
        <f ca="1">IFERROR(__xludf.DUMMYFUNCTION("""COMPUTED_VALUE"""),"Venho, por meio desta, comunicar minha desistência da vaga de bolsista do edital 032/2025 em razão da minha aprovação em outro edital, cuja carga horária semanal excede o limite de 20 horas estabelecido no Artigo 9º da regulamentação do ParaíbaTEC.
Diante"&amp;" das normas vigentes e visando cumprir integralmente com os requisitos legais, entendo que não é possível conciliar ambas as atividades sem infringir as determinações do programa. Assim, opto por formalizar minha renúncia, à vaga de bolsista do edital 032"&amp;"/2025, agradecendo pela oportunidade. ")</f>
        <v xml:space="preserve">Venho, por meio desta, comunicar minha desistência da vaga de bolsista do edital 032/2025 em razão da minha aprovação em outro edital, cuja carga horária semanal excede o limite de 20 horas estabelecido no Artigo 9º da regulamentação do ParaíbaTEC.
Diante das normas vigentes e visando cumprir integralmente com os requisitos legais, entendo que não é possível conciliar ambas as atividades sem infringir as determinações do programa. Assim, opto por formalizar minha renúncia, à vaga de bolsista do edital 032/2025, agradecendo pela oportunidade. </v>
      </c>
      <c r="K621"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21" s="59"/>
      <c r="N621" s="58" t="str">
        <f t="shared" ca="1" si="3"/>
        <v>DESISTIU</v>
      </c>
    </row>
    <row r="622" spans="1:14" ht="12.5" x14ac:dyDescent="0.25">
      <c r="A622" s="63" t="str">
        <f t="shared" ca="1" si="2"/>
        <v>029/2024/080.957.164-13</v>
      </c>
      <c r="B622" s="63" t="str">
        <f ca="1">IFERROR(__xludf.DUMMYFUNCTION("""COMPUTED_VALUE"""),"080.957.164-13")</f>
        <v>080.957.164-13</v>
      </c>
      <c r="C622" s="66" t="str">
        <f ca="1">IFERROR(__xludf.DUMMYFUNCTION("""COMPUTED_VALUE"""),"14/04/2025 15:24:09")</f>
        <v>14/04/2025 15:24:09</v>
      </c>
      <c r="D622" s="63" t="str">
        <f ca="1">IFERROR(__xludf.DUMMYFUNCTION("""COMPUTED_VALUE"""),"monalisa.olimpio@gmail.com")</f>
        <v>monalisa.olimpio@gmail.com</v>
      </c>
      <c r="E622" s="63" t="str">
        <f ca="1">IFERROR(__xludf.DUMMYFUNCTION("""COMPUTED_VALUE"""),"Sou o Bolsista Desistente")</f>
        <v>Sou o Bolsista Desistente</v>
      </c>
      <c r="F622" s="63"/>
      <c r="G622" s="63"/>
      <c r="H622" s="63" t="str">
        <f ca="1">IFERROR(__xludf.DUMMYFUNCTION("""COMPUTED_VALUE"""),"Monalisa dos Santos Olimpio")</f>
        <v>Monalisa dos Santos Olimpio</v>
      </c>
      <c r="I622" s="63" t="str">
        <f ca="1">IFERROR(__xludf.DUMMYFUNCTION("""COMPUTED_VALUE"""),"029/2024")</f>
        <v>029/2024</v>
      </c>
      <c r="J622" s="63" t="str">
        <f ca="1">IFERROR(__xludf.DUMMYFUNCTION("""COMPUTED_VALUE"""),"No edital constava que o trabalho ocorreriam de forma remota. No entanto, na última formação foi informado que as próximas acontecerão presencialmente. Atualmente, trabalho dois dias por semana em Recife-PE, resido em Campina Grande-PB e o polo de atuação"&amp;" do edital é Monteiro-PB. Diante dessa nova logística e para não comprometer o andamento do programa, acredito ser mais adequado me desligar e abrir espaço para que outro formador com maior disponibilidade de tempo e locomoção possa assumir a função.")</f>
        <v>No edital constava que o trabalho ocorreriam de forma remota. No entanto, na última formação foi informado que as próximas acontecerão presencialmente. Atualmente, trabalho dois dias por semana em Recife-PE, resido em Campina Grande-PB e o polo de atuação do edital é Monteiro-PB. Diante dessa nova logística e para não comprometer o andamento do programa, acredito ser mais adequado me desligar e abrir espaço para que outro formador com maior disponibilidade de tempo e locomoção possa assumir a função.</v>
      </c>
      <c r="K622"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22" s="59"/>
      <c r="N622" s="58" t="str">
        <f t="shared" ca="1" si="3"/>
        <v>DESISTIU</v>
      </c>
    </row>
    <row r="623" spans="1:14" ht="12.5" x14ac:dyDescent="0.25">
      <c r="A623" s="63" t="str">
        <f t="shared" ca="1" si="2"/>
        <v>027/2024/098.900.284-50</v>
      </c>
      <c r="B623" s="63" t="str">
        <f ca="1">IFERROR(__xludf.DUMMYFUNCTION("""COMPUTED_VALUE"""),"098.900.284-50")</f>
        <v>098.900.284-50</v>
      </c>
      <c r="C623" s="66" t="str">
        <f ca="1">IFERROR(__xludf.DUMMYFUNCTION("""COMPUTED_VALUE"""),"14/04/2025 16:05:23")</f>
        <v>14/04/2025 16:05:23</v>
      </c>
      <c r="D623" s="63" t="str">
        <f ca="1">IFERROR(__xludf.DUMMYFUNCTION("""COMPUTED_VALUE"""),"paula.paulino@professor.pb.gov.br")</f>
        <v>paula.paulino@professor.pb.gov.br</v>
      </c>
      <c r="E623" s="63" t="str">
        <f ca="1">IFERROR(__xludf.DUMMYFUNCTION("""COMPUTED_VALUE"""),"Sou o Bolsista Desistente")</f>
        <v>Sou o Bolsista Desistente</v>
      </c>
      <c r="F623" s="63"/>
      <c r="G623" s="63"/>
      <c r="H623" s="63" t="str">
        <f ca="1">IFERROR(__xludf.DUMMYFUNCTION("""COMPUTED_VALUE"""),"Paula Wêndia da Silva Paulino")</f>
        <v>Paula Wêndia da Silva Paulino</v>
      </c>
      <c r="I623" s="63" t="str">
        <f ca="1">IFERROR(__xludf.DUMMYFUNCTION("""COMPUTED_VALUE"""),"027/2024")</f>
        <v>027/2024</v>
      </c>
      <c r="J623" s="63" t="str">
        <f ca="1">IFERROR(__xludf.DUMMYFUNCTION("""COMPUTED_VALUE"""),"Solicito desligamento em virtude da falta de contabilidade de horários para exercer a função a qual me submeti no ato da inscrição, pois houve uma mudança de horários na escola a qual eu trabalho, e por isso não conseguirei me manter na função a qual assu"&amp;"mi no edital 07/2024.")</f>
        <v>Solicito desligamento em virtude da falta de contabilidade de horários para exercer a função a qual me submeti no ato da inscrição, pois houve uma mudança de horários na escola a qual eu trabalho, e por isso não conseguirei me manter na função a qual assumi no edital 07/2024.</v>
      </c>
      <c r="K623"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23" s="59"/>
      <c r="N623" s="58" t="str">
        <f t="shared" ca="1" si="3"/>
        <v>DESISTIU</v>
      </c>
    </row>
    <row r="624" spans="1:14" ht="12.5" x14ac:dyDescent="0.25">
      <c r="A624" s="63" t="str">
        <f t="shared" ca="1" si="2"/>
        <v>032/2024/115.014.064-00</v>
      </c>
      <c r="B624" s="63" t="str">
        <f ca="1">IFERROR(__xludf.DUMMYFUNCTION("""COMPUTED_VALUE"""),"115.014.064-00")</f>
        <v>115.014.064-00</v>
      </c>
      <c r="C624" s="66" t="str">
        <f ca="1">IFERROR(__xludf.DUMMYFUNCTION("""COMPUTED_VALUE"""),"15/04/2025 09:46:18")</f>
        <v>15/04/2025 09:46:18</v>
      </c>
      <c r="D624" s="63" t="str">
        <f ca="1">IFERROR(__xludf.DUMMYFUNCTION("""COMPUTED_VALUE"""),"robersonfernandes023@gmail.com")</f>
        <v>robersonfernandes023@gmail.com</v>
      </c>
      <c r="E624" s="63" t="str">
        <f ca="1">IFERROR(__xludf.DUMMYFUNCTION("""COMPUTED_VALUE"""),"Sou o Bolsista Desistente")</f>
        <v>Sou o Bolsista Desistente</v>
      </c>
      <c r="F624" s="63"/>
      <c r="G624" s="63"/>
      <c r="H624" s="63" t="str">
        <f ca="1">IFERROR(__xludf.DUMMYFUNCTION("""COMPUTED_VALUE"""),"ROBERSON MATTEUS FERNANDES SILVA ")</f>
        <v xml:space="preserve">ROBERSON MATTEUS FERNANDES SILVA </v>
      </c>
      <c r="I624" s="63" t="str">
        <f ca="1">IFERROR(__xludf.DUMMYFUNCTION("""COMPUTED_VALUE"""),"032/2024")</f>
        <v>032/2024</v>
      </c>
      <c r="J624" s="63" t="str">
        <f ca="1">IFERROR(__xludf.DUMMYFUNCTION("""COMPUTED_VALUE"""),"Solicito desligamento do programa em virtude da incompatibilidade para ministrar as aulas do curso de Cuidador de Idosos em Aparecida Pb. ")</f>
        <v xml:space="preserve">Solicito desligamento do programa em virtude da incompatibilidade para ministrar as aulas do curso de Cuidador de Idosos em Aparecida Pb. </v>
      </c>
      <c r="K624"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24" s="59"/>
      <c r="N624" s="58" t="str">
        <f t="shared" ca="1" si="3"/>
        <v>DESISTIU</v>
      </c>
    </row>
    <row r="625" spans="1:14" ht="12.5" x14ac:dyDescent="0.25">
      <c r="A625" s="63" t="str">
        <f t="shared" ca="1" si="2"/>
        <v>016/2024/010.844.664-65</v>
      </c>
      <c r="B625" s="63" t="str">
        <f ca="1">IFERROR(__xludf.DUMMYFUNCTION("""COMPUTED_VALUE"""),"010.844.664-65")</f>
        <v>010.844.664-65</v>
      </c>
      <c r="C625" s="66" t="str">
        <f ca="1">IFERROR(__xludf.DUMMYFUNCTION("""COMPUTED_VALUE"""),"15/04/2025 14:08:19")</f>
        <v>15/04/2025 14:08:19</v>
      </c>
      <c r="D625" s="63" t="str">
        <f ca="1">IFERROR(__xludf.DUMMYFUNCTION("""COMPUTED_VALUE"""),"ruceliosarmentopll@gmail.com")</f>
        <v>ruceliosarmentopll@gmail.com</v>
      </c>
      <c r="E625" s="63" t="str">
        <f ca="1">IFERROR(__xludf.DUMMYFUNCTION("""COMPUTED_VALUE"""),"Sou o Bolsista Desistente")</f>
        <v>Sou o Bolsista Desistente</v>
      </c>
      <c r="F625" s="63"/>
      <c r="G625" s="63"/>
      <c r="H625" s="63" t="str">
        <f ca="1">IFERROR(__xludf.DUMMYFUNCTION("""COMPUTED_VALUE"""),"Rucélio Gomes Sarmento")</f>
        <v>Rucélio Gomes Sarmento</v>
      </c>
      <c r="I625" s="63" t="str">
        <f ca="1">IFERROR(__xludf.DUMMYFUNCTION("""COMPUTED_VALUE"""),"016/2024")</f>
        <v>016/2024</v>
      </c>
      <c r="J625" s="63" t="str">
        <f ca="1">IFERROR(__xludf.DUMMYFUNCTION("""COMPUTED_VALUE"""),"Aprovação em outro Edital")</f>
        <v>Aprovação em outro Edital</v>
      </c>
      <c r="K625"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25" s="59"/>
      <c r="N625" s="58" t="str">
        <f t="shared" ca="1" si="3"/>
        <v>DESISTIU</v>
      </c>
    </row>
    <row r="626" spans="1:14" ht="12.5" x14ac:dyDescent="0.25">
      <c r="A626" s="63" t="str">
        <f t="shared" ca="1" si="2"/>
        <v>016/2024/090.455.104-05</v>
      </c>
      <c r="B626" s="63" t="str">
        <f ca="1">IFERROR(__xludf.DUMMYFUNCTION("""COMPUTED_VALUE"""),"090.455.104-05")</f>
        <v>090.455.104-05</v>
      </c>
      <c r="C626" s="66" t="str">
        <f ca="1">IFERROR(__xludf.DUMMYFUNCTION("""COMPUTED_VALUE"""),"17/04/2025 23:31:08")</f>
        <v>17/04/2025 23:31:08</v>
      </c>
      <c r="D626" s="63" t="str">
        <f ca="1">IFERROR(__xludf.DUMMYFUNCTION("""COMPUTED_VALUE"""),"j.helvis@professor.pb.gov.br")</f>
        <v>j.helvis@professor.pb.gov.br</v>
      </c>
      <c r="E626" s="63" t="str">
        <f ca="1">IFERROR(__xludf.DUMMYFUNCTION("""COMPUTED_VALUE"""),"Sou o Bolsista Desistente")</f>
        <v>Sou o Bolsista Desistente</v>
      </c>
      <c r="F626" s="63"/>
      <c r="G626" s="63"/>
      <c r="H626" s="63" t="str">
        <f ca="1">IFERROR(__xludf.DUMMYFUNCTION("""COMPUTED_VALUE"""),"João Helvis Rodrigues de Freitas")</f>
        <v>João Helvis Rodrigues de Freitas</v>
      </c>
      <c r="I626" s="63" t="str">
        <f ca="1">IFERROR(__xludf.DUMMYFUNCTION("""COMPUTED_VALUE"""),"016/2024")</f>
        <v>016/2024</v>
      </c>
      <c r="J626" s="63" t="str">
        <f ca="1">IFERROR(__xludf.DUMMYFUNCTION("""COMPUTED_VALUE"""),"O edital 16/2024 não atuei com supervisor, pois não houve professor para o curso Produtor de licores n cidade de Sertãozinho/PB. - Realizando o desligamento.")</f>
        <v>O edital 16/2024 não atuei com supervisor, pois não houve professor para o curso Produtor de licores n cidade de Sertãozinho/PB. - Realizando o desligamento.</v>
      </c>
      <c r="K626"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26" s="59"/>
      <c r="N626" s="58" t="str">
        <f t="shared" ca="1" si="3"/>
        <v>DESISTIU</v>
      </c>
    </row>
    <row r="627" spans="1:14" ht="12.5" x14ac:dyDescent="0.25">
      <c r="A627" s="63" t="str">
        <f t="shared" ca="1" si="2"/>
        <v>016/2024/091.119.004-07</v>
      </c>
      <c r="B627" s="63" t="str">
        <f ca="1">IFERROR(__xludf.DUMMYFUNCTION("""COMPUTED_VALUE"""),"091.119.004-07")</f>
        <v>091.119.004-07</v>
      </c>
      <c r="C627" s="66" t="str">
        <f ca="1">IFERROR(__xludf.DUMMYFUNCTION("""COMPUTED_VALUE"""),"24/04/2025 10:09:53")</f>
        <v>24/04/2025 10:09:53</v>
      </c>
      <c r="D627" s="63" t="str">
        <f ca="1">IFERROR(__xludf.DUMMYFUNCTION("""COMPUTED_VALUE"""),"johnlsaraiva@professor.pb.gov.br")</f>
        <v>johnlsaraiva@professor.pb.gov.br</v>
      </c>
      <c r="E627" s="63" t="str">
        <f ca="1">IFERROR(__xludf.DUMMYFUNCTION("""COMPUTED_VALUE"""),"Sou o Bolsista Desistente")</f>
        <v>Sou o Bolsista Desistente</v>
      </c>
      <c r="F627" s="63"/>
      <c r="G627" s="63"/>
      <c r="H627" s="63" t="str">
        <f ca="1">IFERROR(__xludf.DUMMYFUNCTION("""COMPUTED_VALUE"""),"JOHN LENNON SARAIVA DE SOUSA")</f>
        <v>JOHN LENNON SARAIVA DE SOUSA</v>
      </c>
      <c r="I627" s="63" t="str">
        <f ca="1">IFERROR(__xludf.DUMMYFUNCTION("""COMPUTED_VALUE"""),"016/2024")</f>
        <v>016/2024</v>
      </c>
      <c r="J627" s="63" t="str">
        <f ca="1">IFERROR(__xludf.DUMMYFUNCTION("""COMPUTED_VALUE"""),"Venho, por meio deste, formalizar minha desistência do Edital 016/2024, em virtude da minha posse no Edital 002/2025. Considerando a regulamentação vigente do ParaíbaTEC, que limita a carga horária semanal para bolsistas, optei por regularizar minha situa"&amp;"ção a fim de evitar acúmulo indevido de carga horária.")</f>
        <v>Venho, por meio deste, formalizar minha desistência do Edital 016/2024, em virtude da minha posse no Edital 002/2025. Considerando a regulamentação vigente do ParaíbaTEC, que limita a carga horária semanal para bolsistas, optei por regularizar minha situação a fim de evitar acúmulo indevido de carga horária.</v>
      </c>
      <c r="K627"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27" s="59"/>
      <c r="N627" s="58" t="str">
        <f t="shared" ca="1" si="3"/>
        <v>DESISTIU</v>
      </c>
    </row>
    <row r="628" spans="1:14" ht="12.5" x14ac:dyDescent="0.25">
      <c r="A628" s="63" t="str">
        <f t="shared" ca="1" si="2"/>
        <v>032/2024/027.810.084-86</v>
      </c>
      <c r="B628" s="63" t="str">
        <f ca="1">IFERROR(__xludf.DUMMYFUNCTION("""COMPUTED_VALUE"""),"027.810.084-86")</f>
        <v>027.810.084-86</v>
      </c>
      <c r="C628" s="66" t="str">
        <f ca="1">IFERROR(__xludf.DUMMYFUNCTION("""COMPUTED_VALUE"""),"24/04/2025 10:28:43")</f>
        <v>24/04/2025 10:28:43</v>
      </c>
      <c r="D628" s="63" t="str">
        <f ca="1">IFERROR(__xludf.DUMMYFUNCTION("""COMPUTED_VALUE"""),"samara.cotta@gmail.com")</f>
        <v>samara.cotta@gmail.com</v>
      </c>
      <c r="E628" s="63" t="str">
        <f ca="1">IFERROR(__xludf.DUMMYFUNCTION("""COMPUTED_VALUE"""),"Sou o Bolsista Desistente")</f>
        <v>Sou o Bolsista Desistente</v>
      </c>
      <c r="F628" s="63"/>
      <c r="G628" s="63"/>
      <c r="H628" s="63" t="str">
        <f ca="1">IFERROR(__xludf.DUMMYFUNCTION("""COMPUTED_VALUE"""),"Samara Clemente de Alcantara Cotta")</f>
        <v>Samara Clemente de Alcantara Cotta</v>
      </c>
      <c r="I628" s="63" t="str">
        <f ca="1">IFERROR(__xludf.DUMMYFUNCTION("""COMPUTED_VALUE"""),"032/2024")</f>
        <v>032/2024</v>
      </c>
      <c r="J628" s="63" t="str">
        <f ca="1">IFERROR(__xludf.DUMMYFUNCTION("""COMPUTED_VALUE"""),"O RH não permite a acumulação de editais , mesmo que a soma das cargas horárias dos dois editais não ultrapasse 20 horas semanais. Sendo orientada a desistir do Programa.")</f>
        <v>O RH não permite a acumulação de editais , mesmo que a soma das cargas horárias dos dois editais não ultrapasse 20 horas semanais. Sendo orientada a desistir do Programa.</v>
      </c>
      <c r="K628"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28" s="59"/>
      <c r="N628" s="58" t="str">
        <f t="shared" ca="1" si="3"/>
        <v>DESISTIU</v>
      </c>
    </row>
    <row r="629" spans="1:14" ht="12.5" x14ac:dyDescent="0.25">
      <c r="A629" s="63" t="str">
        <f t="shared" ca="1" si="2"/>
        <v>032/2024/069.266.564-10</v>
      </c>
      <c r="B629" s="63" t="str">
        <f ca="1">IFERROR(__xludf.DUMMYFUNCTION("""COMPUTED_VALUE"""),"069.266.564-10")</f>
        <v>069.266.564-10</v>
      </c>
      <c r="C629" s="66" t="str">
        <f ca="1">IFERROR(__xludf.DUMMYFUNCTION("""COMPUTED_VALUE"""),"24/04/2025 14:18:32")</f>
        <v>24/04/2025 14:18:32</v>
      </c>
      <c r="D629" s="63" t="str">
        <f ca="1">IFERROR(__xludf.DUMMYFUNCTION("""COMPUTED_VALUE"""),"marrodolfo@gmail.com")</f>
        <v>marrodolfo@gmail.com</v>
      </c>
      <c r="E629" s="63" t="str">
        <f ca="1">IFERROR(__xludf.DUMMYFUNCTION("""COMPUTED_VALUE"""),"Sou o Bolsista Desistente")</f>
        <v>Sou o Bolsista Desistente</v>
      </c>
      <c r="F629" s="63"/>
      <c r="G629" s="63"/>
      <c r="H629" s="63" t="str">
        <f ca="1">IFERROR(__xludf.DUMMYFUNCTION("""COMPUTED_VALUE"""),"Rodolfo Martins dos Santos ")</f>
        <v xml:space="preserve">Rodolfo Martins dos Santos </v>
      </c>
      <c r="I629" s="63" t="str">
        <f ca="1">IFERROR(__xludf.DUMMYFUNCTION("""COMPUTED_VALUE"""),"032/2024")</f>
        <v>032/2024</v>
      </c>
      <c r="J629" s="63" t="str">
        <f ca="1">IFERROR(__xludf.DUMMYFUNCTION("""COMPUTED_VALUE"""),"Por ter assumido outra vaga de bolsista, e não poder acumular bolsas ")</f>
        <v xml:space="preserve">Por ter assumido outra vaga de bolsista, e não poder acumular bolsas </v>
      </c>
      <c r="K629"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29" s="59"/>
      <c r="N629" s="58" t="str">
        <f t="shared" ca="1" si="3"/>
        <v>DESISTIU</v>
      </c>
    </row>
    <row r="630" spans="1:14" ht="12.5" x14ac:dyDescent="0.25">
      <c r="A630" s="63" t="str">
        <f t="shared" ca="1" si="2"/>
        <v>016/2024/069.266.564-10</v>
      </c>
      <c r="B630" s="63" t="str">
        <f ca="1">IFERROR(__xludf.DUMMYFUNCTION("""COMPUTED_VALUE"""),"069.266.564-10")</f>
        <v>069.266.564-10</v>
      </c>
      <c r="C630" s="66" t="str">
        <f ca="1">IFERROR(__xludf.DUMMYFUNCTION("""COMPUTED_VALUE"""),"24/04/2025 14:33:03")</f>
        <v>24/04/2025 14:33:03</v>
      </c>
      <c r="D630" s="63" t="str">
        <f ca="1">IFERROR(__xludf.DUMMYFUNCTION("""COMPUTED_VALUE"""),"marrodolfo@gmail.com")</f>
        <v>marrodolfo@gmail.com</v>
      </c>
      <c r="E630" s="63" t="str">
        <f ca="1">IFERROR(__xludf.DUMMYFUNCTION("""COMPUTED_VALUE"""),"Sou o Bolsista Desistente")</f>
        <v>Sou o Bolsista Desistente</v>
      </c>
      <c r="F630" s="63"/>
      <c r="G630" s="63"/>
      <c r="H630" s="63" t="str">
        <f ca="1">IFERROR(__xludf.DUMMYFUNCTION("""COMPUTED_VALUE"""),"Rodolfo Martins dos Santos ")</f>
        <v xml:space="preserve">Rodolfo Martins dos Santos </v>
      </c>
      <c r="I630" s="63" t="str">
        <f ca="1">IFERROR(__xludf.DUMMYFUNCTION("""COMPUTED_VALUE"""),"016/2024")</f>
        <v>016/2024</v>
      </c>
      <c r="J630" s="63" t="str">
        <f ca="1">IFERROR(__xludf.DUMMYFUNCTION("""COMPUTED_VALUE"""),"Por estar vinculado a outro edital")</f>
        <v>Por estar vinculado a outro edital</v>
      </c>
      <c r="K630"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30" s="59"/>
      <c r="N630" s="58" t="str">
        <f t="shared" ca="1" si="3"/>
        <v>DESISTIU</v>
      </c>
    </row>
    <row r="631" spans="1:14" ht="12.5" x14ac:dyDescent="0.25">
      <c r="A631" s="63" t="str">
        <f t="shared" ca="1" si="2"/>
        <v>002/2025/288.490.944-34</v>
      </c>
      <c r="B631" s="63" t="str">
        <f ca="1">IFERROR(__xludf.DUMMYFUNCTION("""COMPUTED_VALUE"""),"288.490.944-34")</f>
        <v>288.490.944-34</v>
      </c>
      <c r="C631" s="66" t="str">
        <f ca="1">IFERROR(__xludf.DUMMYFUNCTION("""COMPUTED_VALUE"""),"24/04/2025 16:16:11")</f>
        <v>24/04/2025 16:16:11</v>
      </c>
      <c r="D631" s="63" t="str">
        <f ca="1">IFERROR(__xludf.DUMMYFUNCTION("""COMPUTED_VALUE"""),"dam.mra@gmail.com")</f>
        <v>dam.mra@gmail.com</v>
      </c>
      <c r="E631" s="63" t="str">
        <f ca="1">IFERROR(__xludf.DUMMYFUNCTION("""COMPUTED_VALUE"""),"Sou o Bolsista Desistente")</f>
        <v>Sou o Bolsista Desistente</v>
      </c>
      <c r="F631" s="63"/>
      <c r="G631" s="63"/>
      <c r="H631" s="63" t="str">
        <f ca="1">IFERROR(__xludf.DUMMYFUNCTION("""COMPUTED_VALUE"""),"Damaris Alves de Melo")</f>
        <v>Damaris Alves de Melo</v>
      </c>
      <c r="I631" s="63" t="str">
        <f ca="1">IFERROR(__xludf.DUMMYFUNCTION("""COMPUTED_VALUE"""),"002/2025")</f>
        <v>002/2025</v>
      </c>
      <c r="J631" s="63" t="str">
        <f ca="1">IFERROR(__xludf.DUMMYFUNCTION("""COMPUTED_VALUE"""),"Motivos Pessoais.")</f>
        <v>Motivos Pessoais.</v>
      </c>
      <c r="K631"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31" s="59"/>
      <c r="N631" s="58" t="str">
        <f t="shared" ca="1" si="3"/>
        <v>DESISTIU</v>
      </c>
    </row>
    <row r="632" spans="1:14" ht="12.5" x14ac:dyDescent="0.25">
      <c r="A632" s="63" t="str">
        <f t="shared" ca="1" si="2"/>
        <v>016/2024/965.671.124-68</v>
      </c>
      <c r="B632" s="63" t="str">
        <f ca="1">IFERROR(__xludf.DUMMYFUNCTION("""COMPUTED_VALUE"""),"965.671.124-68")</f>
        <v>965.671.124-68</v>
      </c>
      <c r="C632" s="66" t="str">
        <f ca="1">IFERROR(__xludf.DUMMYFUNCTION("""COMPUTED_VALUE"""),"25/04/2025 09:22:24")</f>
        <v>25/04/2025 09:22:24</v>
      </c>
      <c r="D632" s="63" t="str">
        <f ca="1">IFERROR(__xludf.DUMMYFUNCTION("""COMPUTED_VALUE"""),"delian.moreira1@professor.pb.gov.br")</f>
        <v>delian.moreira1@professor.pb.gov.br</v>
      </c>
      <c r="E632" s="63" t="str">
        <f ca="1">IFERROR(__xludf.DUMMYFUNCTION("""COMPUTED_VALUE"""),"Sou o Bolsista Desistente")</f>
        <v>Sou o Bolsista Desistente</v>
      </c>
      <c r="F632" s="63"/>
      <c r="G632" s="63"/>
      <c r="H632" s="63" t="str">
        <f ca="1">IFERROR(__xludf.DUMMYFUNCTION("""COMPUTED_VALUE"""),"Delian de Abreu Moreira ")</f>
        <v xml:space="preserve">Delian de Abreu Moreira </v>
      </c>
      <c r="I632" s="63" t="str">
        <f ca="1">IFERROR(__xludf.DUMMYFUNCTION("""COMPUTED_VALUE"""),"016/2024")</f>
        <v>016/2024</v>
      </c>
      <c r="J632" s="63" t="str">
        <f ca="1">IFERROR(__xludf.DUMMYFUNCTION("""COMPUTED_VALUE"""),"Não teve professor classificado para ministrar o curso! Portanto não formou a turma.")</f>
        <v>Não teve professor classificado para ministrar o curso! Portanto não formou a turma.</v>
      </c>
      <c r="K632"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32" s="59"/>
      <c r="N632" s="58" t="str">
        <f t="shared" ca="1" si="3"/>
        <v>DESISTIU</v>
      </c>
    </row>
    <row r="633" spans="1:14" ht="12.5" x14ac:dyDescent="0.25">
      <c r="A633" s="63" t="str">
        <f t="shared" ca="1" si="2"/>
        <v>029/2024/096.258.684-61</v>
      </c>
      <c r="B633" s="63" t="str">
        <f ca="1">IFERROR(__xludf.DUMMYFUNCTION("""COMPUTED_VALUE"""),"096.258.684-61")</f>
        <v>096.258.684-61</v>
      </c>
      <c r="C633" s="66" t="str">
        <f ca="1">IFERROR(__xludf.DUMMYFUNCTION("""COMPUTED_VALUE"""),"28/04/2025 09:09:43")</f>
        <v>28/04/2025 09:09:43</v>
      </c>
      <c r="D633" s="63" t="str">
        <f ca="1">IFERROR(__xludf.DUMMYFUNCTION("""COMPUTED_VALUE"""),"gmarcia546@gmail.com")</f>
        <v>gmarcia546@gmail.com</v>
      </c>
      <c r="E633" s="63" t="str">
        <f ca="1">IFERROR(__xludf.DUMMYFUNCTION("""COMPUTED_VALUE"""),"Sou o Bolsista Desistente")</f>
        <v>Sou o Bolsista Desistente</v>
      </c>
      <c r="F633" s="63"/>
      <c r="G633" s="63"/>
      <c r="H633" s="63" t="str">
        <f ca="1">IFERROR(__xludf.DUMMYFUNCTION("""COMPUTED_VALUE"""),"Márcia Gomes de Barros ")</f>
        <v xml:space="preserve">Márcia Gomes de Barros </v>
      </c>
      <c r="I633" s="63" t="str">
        <f ca="1">IFERROR(__xludf.DUMMYFUNCTION("""COMPUTED_VALUE"""),"029/2024")</f>
        <v>029/2024</v>
      </c>
      <c r="J633" s="63" t="str">
        <f ca="1">IFERROR(__xludf.DUMMYFUNCTION("""COMPUTED_VALUE"""),"Pessoais ")</f>
        <v xml:space="preserve">Pessoais </v>
      </c>
      <c r="K633"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33" s="59"/>
      <c r="N633" s="58" t="str">
        <f t="shared" ca="1" si="3"/>
        <v>DESISTIU</v>
      </c>
    </row>
    <row r="634" spans="1:14" ht="12.5" x14ac:dyDescent="0.25">
      <c r="A634" s="63" t="str">
        <f t="shared" ca="1" si="2"/>
        <v>016/2024/109.906.104-03</v>
      </c>
      <c r="B634" s="63" t="str">
        <f ca="1">IFERROR(__xludf.DUMMYFUNCTION("""COMPUTED_VALUE"""),"109.906.104-03")</f>
        <v>109.906.104-03</v>
      </c>
      <c r="C634" s="66" t="str">
        <f ca="1">IFERROR(__xludf.DUMMYFUNCTION("""COMPUTED_VALUE"""),"29/04/2025 11:48:05")</f>
        <v>29/04/2025 11:48:05</v>
      </c>
      <c r="D634" s="63" t="str">
        <f ca="1">IFERROR(__xludf.DUMMYFUNCTION("""COMPUTED_VALUE"""),"isaac.gomes.1003.pbtec23@professor.pb.gov.br")</f>
        <v>isaac.gomes.1003.pbtec23@professor.pb.gov.br</v>
      </c>
      <c r="E634" s="63" t="str">
        <f ca="1">IFERROR(__xludf.DUMMYFUNCTION("""COMPUTED_VALUE"""),"Sou o Bolsista Desistente")</f>
        <v>Sou o Bolsista Desistente</v>
      </c>
      <c r="F634" s="63"/>
      <c r="G634" s="63"/>
      <c r="H634" s="63" t="str">
        <f ca="1">IFERROR(__xludf.DUMMYFUNCTION("""COMPUTED_VALUE"""),"Isaac Araújo Gomes")</f>
        <v>Isaac Araújo Gomes</v>
      </c>
      <c r="I634" s="63" t="str">
        <f ca="1">IFERROR(__xludf.DUMMYFUNCTION("""COMPUTED_VALUE"""),"016/2024")</f>
        <v>016/2024</v>
      </c>
      <c r="J634" s="63" t="str">
        <f ca="1">IFERROR(__xludf.DUMMYFUNCTION("""COMPUTED_VALUE"""),"Incompatibilidade de carga horária, assumi um novo cargo em outra empresa no horário das aulas.")</f>
        <v>Incompatibilidade de carga horária, assumi um novo cargo em outra empresa no horário das aulas.</v>
      </c>
      <c r="K634"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34" s="59"/>
      <c r="N634" s="58" t="str">
        <f t="shared" ca="1" si="3"/>
        <v>DESISTIU</v>
      </c>
    </row>
    <row r="635" spans="1:14" ht="12.5" x14ac:dyDescent="0.25">
      <c r="A635" s="63" t="str">
        <f t="shared" ca="1" si="2"/>
        <v>016/2024/065.639.044-16</v>
      </c>
      <c r="B635" s="63" t="str">
        <f ca="1">IFERROR(__xludf.DUMMYFUNCTION("""COMPUTED_VALUE"""),"065.639.044-16")</f>
        <v>065.639.044-16</v>
      </c>
      <c r="C635" s="66" t="str">
        <f ca="1">IFERROR(__xludf.DUMMYFUNCTION("""COMPUTED_VALUE"""),"30/04/2025 15:19:37")</f>
        <v>30/04/2025 15:19:37</v>
      </c>
      <c r="D635" s="63" t="str">
        <f ca="1">IFERROR(__xludf.DUMMYFUNCTION("""COMPUTED_VALUE"""),"brunareginacg@gmail.com")</f>
        <v>brunareginacg@gmail.com</v>
      </c>
      <c r="E635" s="63" t="str">
        <f ca="1">IFERROR(__xludf.DUMMYFUNCTION("""COMPUTED_VALUE"""),"Sou o Bolsista Desistente")</f>
        <v>Sou o Bolsista Desistente</v>
      </c>
      <c r="F635" s="63"/>
      <c r="G635" s="63"/>
      <c r="H635" s="63" t="str">
        <f ca="1">IFERROR(__xludf.DUMMYFUNCTION("""COMPUTED_VALUE"""),"BRUNA REGINA DOS SANTOS SILVA")</f>
        <v>BRUNA REGINA DOS SANTOS SILVA</v>
      </c>
      <c r="I635" s="63" t="str">
        <f ca="1">IFERROR(__xludf.DUMMYFUNCTION("""COMPUTED_VALUE"""),"016/2024")</f>
        <v>016/2024</v>
      </c>
      <c r="J635" s="63" t="str">
        <f ca="1">IFERROR(__xludf.DUMMYFUNCTION("""COMPUTED_VALUE"""),"convocação para outro edital do programa")</f>
        <v>convocação para outro edital do programa</v>
      </c>
      <c r="K635"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35" s="59"/>
      <c r="N635" s="58" t="str">
        <f t="shared" ca="1" si="3"/>
        <v>DESISTIU</v>
      </c>
    </row>
    <row r="636" spans="1:14" ht="12.5" x14ac:dyDescent="0.25">
      <c r="A636" s="63" t="str">
        <f t="shared" ca="1" si="2"/>
        <v>016/2024/060.833.124-42</v>
      </c>
      <c r="B636" s="63" t="str">
        <f ca="1">IFERROR(__xludf.DUMMYFUNCTION("""COMPUTED_VALUE"""),"060.833.124-42")</f>
        <v>060.833.124-42</v>
      </c>
      <c r="C636" s="66" t="str">
        <f ca="1">IFERROR(__xludf.DUMMYFUNCTION("""COMPUTED_VALUE"""),"01/05/2025 15:58:33")</f>
        <v>01/05/2025 15:58:33</v>
      </c>
      <c r="D636" s="63" t="str">
        <f ca="1">IFERROR(__xludf.DUMMYFUNCTION("""COMPUTED_VALUE"""),"pauloanastacio.cg@gmail.com")</f>
        <v>pauloanastacio.cg@gmail.com</v>
      </c>
      <c r="E636" s="63" t="str">
        <f ca="1">IFERROR(__xludf.DUMMYFUNCTION("""COMPUTED_VALUE"""),"Sou o Bolsista Desistente")</f>
        <v>Sou o Bolsista Desistente</v>
      </c>
      <c r="F636" s="63"/>
      <c r="G636" s="63"/>
      <c r="H636" s="63" t="str">
        <f ca="1">IFERROR(__xludf.DUMMYFUNCTION("""COMPUTED_VALUE"""),"Paulo Anastacio Lira Filho")</f>
        <v>Paulo Anastacio Lira Filho</v>
      </c>
      <c r="I636" s="63" t="str">
        <f ca="1">IFERROR(__xludf.DUMMYFUNCTION("""COMPUTED_VALUE"""),"016/2024")</f>
        <v>016/2024</v>
      </c>
      <c r="J636" s="63" t="str">
        <f ca="1">IFERROR(__xludf.DUMMYFUNCTION("""COMPUTED_VALUE"""),"Fui chamado para autar como professor no edital 032/2024, em um curso que fica na minha cidade.")</f>
        <v>Fui chamado para autar como professor no edital 032/2024, em um curso que fica na minha cidade.</v>
      </c>
      <c r="K636"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36" s="59"/>
      <c r="N636" s="58" t="str">
        <f t="shared" ca="1" si="3"/>
        <v>DESISTIU</v>
      </c>
    </row>
    <row r="637" spans="1:14" ht="12.5" x14ac:dyDescent="0.25">
      <c r="A637" s="63" t="str">
        <f t="shared" ca="1" si="2"/>
        <v>002/2025/022.375.014-08</v>
      </c>
      <c r="B637" s="63" t="str">
        <f ca="1">IFERROR(__xludf.DUMMYFUNCTION("""COMPUTED_VALUE"""),"022.375.014-08")</f>
        <v>022.375.014-08</v>
      </c>
      <c r="C637" s="66" t="str">
        <f ca="1">IFERROR(__xludf.DUMMYFUNCTION("""COMPUTED_VALUE"""),"05/05/2025 10:46:13")</f>
        <v>05/05/2025 10:46:13</v>
      </c>
      <c r="D637" s="63" t="str">
        <f ca="1">IFERROR(__xludf.DUMMYFUNCTION("""COMPUTED_VALUE"""),"webergmmaciel@gmail.com")</f>
        <v>webergmmaciel@gmail.com</v>
      </c>
      <c r="E637" s="63" t="str">
        <f ca="1">IFERROR(__xludf.DUMMYFUNCTION("""COMPUTED_VALUE"""),"Sou o Bolsista Desistente")</f>
        <v>Sou o Bolsista Desistente</v>
      </c>
      <c r="F637" s="63"/>
      <c r="G637" s="63"/>
      <c r="H637" s="63" t="str">
        <f ca="1">IFERROR(__xludf.DUMMYFUNCTION("""COMPUTED_VALUE"""),"Weber Geovanni Mendes Maciel")</f>
        <v>Weber Geovanni Mendes Maciel</v>
      </c>
      <c r="I637" s="63" t="str">
        <f ca="1">IFERROR(__xludf.DUMMYFUNCTION("""COMPUTED_VALUE"""),"002/2025")</f>
        <v>002/2025</v>
      </c>
      <c r="J637" s="63" t="str">
        <f ca="1">IFERROR(__xludf.DUMMYFUNCTION("""COMPUTED_VALUE"""),"Sou servidor público e, mensalmente, o valor do INSS já é recolhido na fonte pagadora de meu salário e descontado, no meu contracheque, pelo valor máximo. Nos descontos da presente bolsa o valor do INSS será debitado, novamente, causando um débito, que en"&amp;"tendo ser indevido, já que no meu caso eu já pago o INSS pelo valor máximo. Foi mencionada na formação a possibilidade do próprio bolsista entrar em contato com o INSS e solicitar a devolução dos valores descontados, sendo este um processo muito burocráti"&amp;"co de ser feito pelo bolsista, não sendo um processo simples de ser feito junto ao próprio INSS. Contudo, entendo, ainda, que o processo de isentar esse desconto já poderia ocorrer na própria fonte pagadora da bolsa, mediante uma simples comprovação de qu"&amp;"e o bolsista já paga o INSS pelo valor máximo. Agradeço a oportunidade e espero contribuir em futuros editais.")</f>
        <v>Sou servidor público e, mensalmente, o valor do INSS já é recolhido na fonte pagadora de meu salário e descontado, no meu contracheque, pelo valor máximo. Nos descontos da presente bolsa o valor do INSS será debitado, novamente, causando um débito, que entendo ser indevido, já que no meu caso eu já pago o INSS pelo valor máximo. Foi mencionada na formação a possibilidade do próprio bolsista entrar em contato com o INSS e solicitar a devolução dos valores descontados, sendo este um processo muito burocrático de ser feito pelo bolsista, não sendo um processo simples de ser feito junto ao próprio INSS. Contudo, entendo, ainda, que o processo de isentar esse desconto já poderia ocorrer na própria fonte pagadora da bolsa, mediante uma simples comprovação de que o bolsista já paga o INSS pelo valor máximo. Agradeço a oportunidade e espero contribuir em futuros editais.</v>
      </c>
      <c r="K637"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37" s="59"/>
      <c r="N637" s="58" t="str">
        <f t="shared" ca="1" si="3"/>
        <v>DESISTIU</v>
      </c>
    </row>
    <row r="638" spans="1:14" ht="12.5" x14ac:dyDescent="0.25">
      <c r="A638" s="63" t="str">
        <f t="shared" ca="1" si="2"/>
        <v>032/2024/016.121.184-45</v>
      </c>
      <c r="B638" s="63" t="str">
        <f ca="1">IFERROR(__xludf.DUMMYFUNCTION("""COMPUTED_VALUE"""),"016.121.184-45")</f>
        <v>016.121.184-45</v>
      </c>
      <c r="C638" s="66" t="str">
        <f ca="1">IFERROR(__xludf.DUMMYFUNCTION("""COMPUTED_VALUE"""),"05/05/2025 12:13:50")</f>
        <v>05/05/2025 12:13:50</v>
      </c>
      <c r="D638" s="63" t="str">
        <f ca="1">IFERROR(__xludf.DUMMYFUNCTION("""COMPUTED_VALUE"""),"evertonpereirapontes@gmail.com")</f>
        <v>evertonpereirapontes@gmail.com</v>
      </c>
      <c r="E638" s="63" t="str">
        <f ca="1">IFERROR(__xludf.DUMMYFUNCTION("""COMPUTED_VALUE"""),"Sou o Bolsista Desistente")</f>
        <v>Sou o Bolsista Desistente</v>
      </c>
      <c r="F638" s="63"/>
      <c r="G638" s="63"/>
      <c r="H638" s="63" t="str">
        <f ca="1">IFERROR(__xludf.DUMMYFUNCTION("""COMPUTED_VALUE"""),"Everton Pereira de Pontes")</f>
        <v>Everton Pereira de Pontes</v>
      </c>
      <c r="I638" s="63" t="str">
        <f ca="1">IFERROR(__xludf.DUMMYFUNCTION("""COMPUTED_VALUE"""),"032/2024")</f>
        <v>032/2024</v>
      </c>
      <c r="J638" s="63" t="str">
        <f ca="1">IFERROR(__xludf.DUMMYFUNCTION("""COMPUTED_VALUE"""),"Aprovação em um concurso público")</f>
        <v>Aprovação em um concurso público</v>
      </c>
      <c r="K638"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38" s="59"/>
      <c r="N638" s="58" t="str">
        <f t="shared" ca="1" si="3"/>
        <v>DESISTIU</v>
      </c>
    </row>
    <row r="639" spans="1:14" ht="12.5" x14ac:dyDescent="0.25">
      <c r="A639" s="63" t="str">
        <f t="shared" ca="1" si="2"/>
        <v>032/2024/337.795.188-13</v>
      </c>
      <c r="B639" s="63" t="str">
        <f ca="1">IFERROR(__xludf.DUMMYFUNCTION("""COMPUTED_VALUE"""),"337.795.188-13")</f>
        <v>337.795.188-13</v>
      </c>
      <c r="C639" s="66" t="str">
        <f ca="1">IFERROR(__xludf.DUMMYFUNCTION("""COMPUTED_VALUE"""),"05/05/2025 12:29:19")</f>
        <v>05/05/2025 12:29:19</v>
      </c>
      <c r="D639" s="63" t="str">
        <f ca="1">IFERROR(__xludf.DUMMYFUNCTION("""COMPUTED_VALUE"""),"alexandre.lima@professor.pb.gov.br")</f>
        <v>alexandre.lima@professor.pb.gov.br</v>
      </c>
      <c r="E639" s="63" t="str">
        <f ca="1">IFERROR(__xludf.DUMMYFUNCTION("""COMPUTED_VALUE"""),"Sou o Bolsista Desistente")</f>
        <v>Sou o Bolsista Desistente</v>
      </c>
      <c r="F639" s="63"/>
      <c r="G639" s="63"/>
      <c r="H639" s="63" t="str">
        <f ca="1">IFERROR(__xludf.DUMMYFUNCTION("""COMPUTED_VALUE"""),"Alexandre Silva de Lima")</f>
        <v>Alexandre Silva de Lima</v>
      </c>
      <c r="I639" s="63" t="str">
        <f ca="1">IFERROR(__xludf.DUMMYFUNCTION("""COMPUTED_VALUE"""),"032/2024")</f>
        <v>032/2024</v>
      </c>
      <c r="J639" s="63" t="str">
        <f ca="1">IFERROR(__xludf.DUMMYFUNCTION("""COMPUTED_VALUE"""),"A inflexibilidade de horário e a quantidade de 3 hora/aulas dias inviabiliza um retorno financeiro que eu pretendo obter. Recalculei e substitui por outra renda. ")</f>
        <v xml:space="preserve">A inflexibilidade de horário e a quantidade de 3 hora/aulas dias inviabiliza um retorno financeiro que eu pretendo obter. Recalculei e substitui por outra renda. </v>
      </c>
      <c r="K639"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39" s="59"/>
      <c r="N639" s="58" t="str">
        <f t="shared" ca="1" si="3"/>
        <v>DESISTIU</v>
      </c>
    </row>
    <row r="640" spans="1:14" ht="12.5" x14ac:dyDescent="0.25">
      <c r="A640" s="63" t="str">
        <f t="shared" si="2"/>
        <v/>
      </c>
      <c r="B640" s="63"/>
      <c r="C640" s="63"/>
      <c r="D640" s="63"/>
      <c r="E640" s="63"/>
      <c r="F640" s="63"/>
      <c r="G640" s="63"/>
      <c r="H640" s="63"/>
      <c r="I640" s="63"/>
      <c r="J640" s="63"/>
      <c r="K640" s="59"/>
      <c r="L640" s="59"/>
      <c r="N640" s="58" t="str">
        <f t="shared" si="3"/>
        <v/>
      </c>
    </row>
    <row r="641" spans="1:14" ht="12.5" x14ac:dyDescent="0.25">
      <c r="A641" s="63" t="str">
        <f t="shared" ca="1" si="2"/>
        <v>004/2025/122.473.974-41</v>
      </c>
      <c r="B641" s="63" t="str">
        <f ca="1">IFERROR(__xludf.DUMMYFUNCTION("""COMPUTED_VALUE"""),"122.473.974-41")</f>
        <v>122.473.974-41</v>
      </c>
      <c r="C641" s="66" t="str">
        <f ca="1">IFERROR(__xludf.DUMMYFUNCTION("""COMPUTED_VALUE"""),"06/05/2025 14:29:39")</f>
        <v>06/05/2025 14:29:39</v>
      </c>
      <c r="D641" s="63" t="str">
        <f ca="1">IFERROR(__xludf.DUMMYFUNCTION("""COMPUTED_VALUE"""),"estefanemiliano7@gmail.com")</f>
        <v>estefanemiliano7@gmail.com</v>
      </c>
      <c r="E641" s="63" t="str">
        <f ca="1">IFERROR(__xludf.DUMMYFUNCTION("""COMPUTED_VALUE"""),"Sou o Bolsista Desistente")</f>
        <v>Sou o Bolsista Desistente</v>
      </c>
      <c r="F641" s="63"/>
      <c r="G641" s="63"/>
      <c r="H641" s="63" t="str">
        <f ca="1">IFERROR(__xludf.DUMMYFUNCTION("""COMPUTED_VALUE"""),"Estefane Miliano da silva")</f>
        <v>Estefane Miliano da silva</v>
      </c>
      <c r="I641" s="63" t="str">
        <f ca="1">IFERROR(__xludf.DUMMYFUNCTION("""COMPUTED_VALUE"""),"004/2025")</f>
        <v>004/2025</v>
      </c>
      <c r="J641" s="63" t="str">
        <f ca="1">IFERROR(__xludf.DUMMYFUNCTION("""COMPUTED_VALUE"""),"Moro em outra cidade ")</f>
        <v xml:space="preserve">Moro em outra cidade </v>
      </c>
      <c r="K641"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41" s="59"/>
      <c r="N641" s="58" t="str">
        <f t="shared" ca="1" si="3"/>
        <v>DESISTIU</v>
      </c>
    </row>
    <row r="642" spans="1:14" ht="12.5" x14ac:dyDescent="0.25">
      <c r="A642" s="63" t="str">
        <f t="shared" ca="1" si="2"/>
        <v>002/2025/096.856.404-67</v>
      </c>
      <c r="B642" s="63" t="str">
        <f ca="1">IFERROR(__xludf.DUMMYFUNCTION("""COMPUTED_VALUE"""),"096.856.404-67")</f>
        <v>096.856.404-67</v>
      </c>
      <c r="C642" s="66" t="str">
        <f ca="1">IFERROR(__xludf.DUMMYFUNCTION("""COMPUTED_VALUE"""),"06/05/2025 15:34:36")</f>
        <v>06/05/2025 15:34:36</v>
      </c>
      <c r="D642" s="63" t="str">
        <f ca="1">IFERROR(__xludf.DUMMYFUNCTION("""COMPUTED_VALUE"""),"lucia.alves.0967.pbtec23@escola.pb.gov.br")</f>
        <v>lucia.alves.0967.pbtec23@escola.pb.gov.br</v>
      </c>
      <c r="E642" s="63" t="str">
        <f ca="1">IFERROR(__xludf.DUMMYFUNCTION("""COMPUTED_VALUE"""),"Sou o Bolsista Desistente")</f>
        <v>Sou o Bolsista Desistente</v>
      </c>
      <c r="F642" s="63"/>
      <c r="G642" s="63"/>
      <c r="H642" s="63" t="str">
        <f ca="1">IFERROR(__xludf.DUMMYFUNCTION("""COMPUTED_VALUE"""),"LÚCIA DE FÁTIMA SILVA ALVES")</f>
        <v>LÚCIA DE FÁTIMA SILVA ALVES</v>
      </c>
      <c r="I642" s="63" t="str">
        <f ca="1">IFERROR(__xludf.DUMMYFUNCTION("""COMPUTED_VALUE"""),"002/2025")</f>
        <v>002/2025</v>
      </c>
      <c r="J642" s="63" t="str">
        <f ca="1">IFERROR(__xludf.DUMMYFUNCTION("""COMPUTED_VALUE"""),"No primeiro momento achei que seria possível acumular com outro que já estou, porém não foi autorizado, então ficarei apenas no edital 001/2025.")</f>
        <v>No primeiro momento achei que seria possível acumular com outro que já estou, porém não foi autorizado, então ficarei apenas no edital 001/2025.</v>
      </c>
      <c r="K642"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42" s="59"/>
      <c r="N642" s="58" t="str">
        <f t="shared" ca="1" si="3"/>
        <v>DESISTIU</v>
      </c>
    </row>
    <row r="643" spans="1:14" ht="12.5" x14ac:dyDescent="0.25">
      <c r="A643" s="63" t="str">
        <f t="shared" ca="1" si="2"/>
        <v>004/2025/111.244.784-93</v>
      </c>
      <c r="B643" s="63" t="str">
        <f ca="1">IFERROR(__xludf.DUMMYFUNCTION("""COMPUTED_VALUE"""),"111.244.784-93")</f>
        <v>111.244.784-93</v>
      </c>
      <c r="C643" s="66" t="str">
        <f ca="1">IFERROR(__xludf.DUMMYFUNCTION("""COMPUTED_VALUE"""),"06/05/2025 16:36:48")</f>
        <v>06/05/2025 16:36:48</v>
      </c>
      <c r="D643" s="63" t="str">
        <f ca="1">IFERROR(__xludf.DUMMYFUNCTION("""COMPUTED_VALUE"""),"lyndalimabs@gmail.com")</f>
        <v>lyndalimabs@gmail.com</v>
      </c>
      <c r="E643" s="63" t="str">
        <f ca="1">IFERROR(__xludf.DUMMYFUNCTION("""COMPUTED_VALUE"""),"Sou o Bolsista Desistente")</f>
        <v>Sou o Bolsista Desistente</v>
      </c>
      <c r="F643" s="63"/>
      <c r="G643" s="63"/>
      <c r="H643" s="63" t="str">
        <f ca="1">IFERROR(__xludf.DUMMYFUNCTION("""COMPUTED_VALUE"""),"Lynda Lee Batista dos Santos Lima")</f>
        <v>Lynda Lee Batista dos Santos Lima</v>
      </c>
      <c r="I643" s="63" t="str">
        <f ca="1">IFERROR(__xludf.DUMMYFUNCTION("""COMPUTED_VALUE"""),"004/2025")</f>
        <v>004/2025</v>
      </c>
      <c r="J643" s="63" t="str">
        <f ca="1">IFERROR(__xludf.DUMMYFUNCTION("""COMPUTED_VALUE"""),"No momento, não consigo cumprir com a carga horária do curso devido à outros compromissos profissionais que possuo.")</f>
        <v>No momento, não consigo cumprir com a carga horária do curso devido à outros compromissos profissionais que possuo.</v>
      </c>
      <c r="K643"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43" s="59"/>
      <c r="N643" s="58" t="str">
        <f t="shared" ca="1" si="3"/>
        <v>DESISTIU</v>
      </c>
    </row>
    <row r="644" spans="1:14" ht="12.5" x14ac:dyDescent="0.25">
      <c r="A644" s="63" t="str">
        <f t="shared" ca="1" si="2"/>
        <v>016/2024/107.249.374-80</v>
      </c>
      <c r="B644" s="63" t="str">
        <f ca="1">IFERROR(__xludf.DUMMYFUNCTION("""COMPUTED_VALUE"""),"107.249.374-80")</f>
        <v>107.249.374-80</v>
      </c>
      <c r="C644" s="66" t="str">
        <f ca="1">IFERROR(__xludf.DUMMYFUNCTION("""COMPUTED_VALUE"""),"06/05/2025 20:55:42")</f>
        <v>06/05/2025 20:55:42</v>
      </c>
      <c r="D644" s="63" t="str">
        <f ca="1">IFERROR(__xludf.DUMMYFUNCTION("""COMPUTED_VALUE"""),"lorrannealimentos24@gmail.com")</f>
        <v>lorrannealimentos24@gmail.com</v>
      </c>
      <c r="E644" s="63" t="str">
        <f ca="1">IFERROR(__xludf.DUMMYFUNCTION("""COMPUTED_VALUE"""),"Sou o Bolsista Desistente")</f>
        <v>Sou o Bolsista Desistente</v>
      </c>
      <c r="F644" s="63"/>
      <c r="G644" s="63"/>
      <c r="H644" s="63" t="str">
        <f ca="1">IFERROR(__xludf.DUMMYFUNCTION("""COMPUTED_VALUE"""),"Thamirys Lorranne Santos Lima")</f>
        <v>Thamirys Lorranne Santos Lima</v>
      </c>
      <c r="I644" s="63" t="str">
        <f ca="1">IFERROR(__xludf.DUMMYFUNCTION("""COMPUTED_VALUE"""),"016/2024")</f>
        <v>016/2024</v>
      </c>
      <c r="J644" s="63" t="str">
        <f ca="1">IFERROR(__xludf.DUMMYFUNCTION("""COMPUTED_VALUE"""),"Motivos pessoais e profissionais. Acúmulo de atividades e demandas. ")</f>
        <v xml:space="preserve">Motivos pessoais e profissionais. Acúmulo de atividades e demandas. </v>
      </c>
      <c r="K644"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44" s="59"/>
      <c r="N644" s="58" t="str">
        <f t="shared" ca="1" si="3"/>
        <v>DESISTIU</v>
      </c>
    </row>
    <row r="645" spans="1:14" ht="12.5" x14ac:dyDescent="0.25">
      <c r="A645" s="63" t="str">
        <f t="shared" ca="1" si="2"/>
        <v>004/2025/109.890.044-81</v>
      </c>
      <c r="B645" s="63" t="str">
        <f ca="1">IFERROR(__xludf.DUMMYFUNCTION("""COMPUTED_VALUE"""),"109.890.044-81")</f>
        <v>109.890.044-81</v>
      </c>
      <c r="C645" s="66" t="str">
        <f ca="1">IFERROR(__xludf.DUMMYFUNCTION("""COMPUTED_VALUE"""),"07/05/2025 08:37:40")</f>
        <v>07/05/2025 08:37:40</v>
      </c>
      <c r="D645" s="63" t="str">
        <f ca="1">IFERROR(__xludf.DUMMYFUNCTION("""COMPUTED_VALUE"""),"ligiaandrade125@gmail.com")</f>
        <v>ligiaandrade125@gmail.com</v>
      </c>
      <c r="E645" s="63" t="str">
        <f ca="1">IFERROR(__xludf.DUMMYFUNCTION("""COMPUTED_VALUE"""),"Sou o Bolsista Desistente")</f>
        <v>Sou o Bolsista Desistente</v>
      </c>
      <c r="F645" s="63"/>
      <c r="G645" s="63"/>
      <c r="H645" s="63" t="str">
        <f ca="1">IFERROR(__xludf.DUMMYFUNCTION("""COMPUTED_VALUE"""),"LIGIA RITA DE LIMA ANDRADE BARROS")</f>
        <v>LIGIA RITA DE LIMA ANDRADE BARROS</v>
      </c>
      <c r="I645" s="63" t="str">
        <f ca="1">IFERROR(__xludf.DUMMYFUNCTION("""COMPUTED_VALUE"""),"004/2025")</f>
        <v>004/2025</v>
      </c>
      <c r="J645" s="63" t="str">
        <f ca="1">IFERROR(__xludf.DUMMYFUNCTION("""COMPUTED_VALUE"""),"O motivo da desistência é pelo fato da duração do curso, que inicialmente achei que era de 1 ano. Mas após a formação foi explicado que será menos. Então, devido a isso, não dará certo para eu continuar. ")</f>
        <v xml:space="preserve">O motivo da desistência é pelo fato da duração do curso, que inicialmente achei que era de 1 ano. Mas após a formação foi explicado que será menos. Então, devido a isso, não dará certo para eu continuar. </v>
      </c>
      <c r="K645"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45" s="59"/>
      <c r="N645" s="58" t="str">
        <f t="shared" ca="1" si="3"/>
        <v>DESISTIU</v>
      </c>
    </row>
    <row r="646" spans="1:14" ht="12.5" x14ac:dyDescent="0.25">
      <c r="A646" s="63" t="str">
        <f t="shared" ca="1" si="2"/>
        <v>004/2025/095.126.584-96</v>
      </c>
      <c r="B646" s="63" t="str">
        <f ca="1">IFERROR(__xludf.DUMMYFUNCTION("""COMPUTED_VALUE"""),"095.126.584-96")</f>
        <v>095.126.584-96</v>
      </c>
      <c r="C646" s="66" t="str">
        <f ca="1">IFERROR(__xludf.DUMMYFUNCTION("""COMPUTED_VALUE"""),"07/05/2025 21:46:53")</f>
        <v>07/05/2025 21:46:53</v>
      </c>
      <c r="D646" s="63" t="str">
        <f ca="1">IFERROR(__xludf.DUMMYFUNCTION("""COMPUTED_VALUE"""),"paolubratilesilva@gmail.com")</f>
        <v>paolubratilesilva@gmail.com</v>
      </c>
      <c r="E646" s="63" t="str">
        <f ca="1">IFERROR(__xludf.DUMMYFUNCTION("""COMPUTED_VALUE"""),"Sou o Bolsista Desistente")</f>
        <v>Sou o Bolsista Desistente</v>
      </c>
      <c r="F646" s="63"/>
      <c r="G646" s="63"/>
      <c r="H646" s="63" t="str">
        <f ca="1">IFERROR(__xludf.DUMMYFUNCTION("""COMPUTED_VALUE"""),"paulo sergio da silva")</f>
        <v>paulo sergio da silva</v>
      </c>
      <c r="I646" s="63" t="str">
        <f ca="1">IFERROR(__xludf.DUMMYFUNCTION("""COMPUTED_VALUE"""),"004/2025")</f>
        <v>004/2025</v>
      </c>
      <c r="J646" s="63" t="str">
        <f ca="1">IFERROR(__xludf.DUMMYFUNCTION("""COMPUTED_VALUE"""),"o deslocamento é inviável no momento, pois estou morando atualmente no interior de Pernambuco, então por motivos de deslocamento e pessoais não terei como assumir essa responsabilidade.")</f>
        <v>o deslocamento é inviável no momento, pois estou morando atualmente no interior de Pernambuco, então por motivos de deslocamento e pessoais não terei como assumir essa responsabilidade.</v>
      </c>
      <c r="K646"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46" s="59"/>
      <c r="N646" s="58" t="str">
        <f t="shared" ca="1" si="3"/>
        <v>DESISTIU</v>
      </c>
    </row>
    <row r="647" spans="1:14" ht="12.5" x14ac:dyDescent="0.25">
      <c r="A647" s="63" t="str">
        <f t="shared" ca="1" si="2"/>
        <v>004/2025/070.339.554-80</v>
      </c>
      <c r="B647" s="63" t="str">
        <f ca="1">IFERROR(__xludf.DUMMYFUNCTION("""COMPUTED_VALUE"""),"070.339.554-80")</f>
        <v>070.339.554-80</v>
      </c>
      <c r="C647" s="66" t="str">
        <f ca="1">IFERROR(__xludf.DUMMYFUNCTION("""COMPUTED_VALUE"""),"08/05/2025 16:21:15")</f>
        <v>08/05/2025 16:21:15</v>
      </c>
      <c r="D647" s="63" t="str">
        <f ca="1">IFERROR(__xludf.DUMMYFUNCTION("""COMPUTED_VALUE"""),"cassiano.franca@professor.pb.gov.br")</f>
        <v>cassiano.franca@professor.pb.gov.br</v>
      </c>
      <c r="E647" s="63" t="str">
        <f ca="1">IFERROR(__xludf.DUMMYFUNCTION("""COMPUTED_VALUE"""),"Faço Parte da Equipe Técnica Local ou  da Equipe da SEDE")</f>
        <v>Faço Parte da Equipe Técnica Local ou  da Equipe da SEDE</v>
      </c>
      <c r="F647" s="63" t="str">
        <f ca="1">IFERROR(__xludf.DUMMYFUNCTION("""COMPUTED_VALUE"""),"CASSIANO JOSÉ DE SALES FRANÇA")</f>
        <v>CASSIANO JOSÉ DE SALES FRANÇA</v>
      </c>
      <c r="G647" s="63" t="str">
        <f ca="1">IFERROR(__xludf.DUMMYFUNCTION("""COMPUTED_VALUE"""),"070.339.554-80")</f>
        <v>070.339.554-80</v>
      </c>
      <c r="H647" s="63" t="str">
        <f ca="1">IFERROR(__xludf.DUMMYFUNCTION("""COMPUTED_VALUE"""),"CASSIANO JOSÉ DE SALES FRANÇA")</f>
        <v>CASSIANO JOSÉ DE SALES FRANÇA</v>
      </c>
      <c r="I647" s="63" t="str">
        <f ca="1">IFERROR(__xludf.DUMMYFUNCTION("""COMPUTED_VALUE"""),"004/2025")</f>
        <v>004/2025</v>
      </c>
      <c r="J647" s="63" t="str">
        <f ca="1">IFERROR(__xludf.DUMMYFUNCTION("""COMPUTED_VALUE"""),"Falta de demanda ( O professor desistiu do programa e acabou que no edital não tem nenhum outro que possa assumir o cargo, sendo assim, ficamos desvinculados do programa.")</f>
        <v>Falta de demanda ( O professor desistiu do programa e acabou que no edital não tem nenhum outro que possa assumir o cargo, sendo assim, ficamos desvinculados do programa.</v>
      </c>
      <c r="K647"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47" s="71" t="str">
        <f ca="1">IFERROR(__xludf.DUMMYFUNCTION("""COMPUTED_VALUE"""),"https://drive.google.com/open?id=1Jk-VTX5tgMiIxjF-c9bTdeQhEso9STV-")</f>
        <v>https://drive.google.com/open?id=1Jk-VTX5tgMiIxjF-c9bTdeQhEso9STV-</v>
      </c>
      <c r="N647" s="58" t="str">
        <f t="shared" ca="1" si="3"/>
        <v>DESISTIU</v>
      </c>
    </row>
    <row r="648" spans="1:14" ht="12.5" x14ac:dyDescent="0.25">
      <c r="A648" s="63" t="str">
        <f t="shared" ca="1" si="2"/>
        <v>002/2025/087.241.694-12</v>
      </c>
      <c r="B648" s="63" t="str">
        <f ca="1">IFERROR(__xludf.DUMMYFUNCTION("""COMPUTED_VALUE"""),"087.241.694-12")</f>
        <v>087.241.694-12</v>
      </c>
      <c r="C648" s="66" t="str">
        <f ca="1">IFERROR(__xludf.DUMMYFUNCTION("""COMPUTED_VALUE"""),"09/05/2025 15:57:51")</f>
        <v>09/05/2025 15:57:51</v>
      </c>
      <c r="D648" s="63" t="str">
        <f ca="1">IFERROR(__xludf.DUMMYFUNCTION("""COMPUTED_VALUE"""),"victor.assis@professor.pb.gov.br")</f>
        <v>victor.assis@professor.pb.gov.br</v>
      </c>
      <c r="E648" s="63" t="str">
        <f ca="1">IFERROR(__xludf.DUMMYFUNCTION("""COMPUTED_VALUE"""),"Sou o Bolsista Desistente")</f>
        <v>Sou o Bolsista Desistente</v>
      </c>
      <c r="F648" s="63"/>
      <c r="G648" s="63"/>
      <c r="H648" s="63" t="str">
        <f ca="1">IFERROR(__xludf.DUMMYFUNCTION("""COMPUTED_VALUE"""),"Victor Hugo Santos de Assis")</f>
        <v>Victor Hugo Santos de Assis</v>
      </c>
      <c r="I648" s="63" t="str">
        <f ca="1">IFERROR(__xludf.DUMMYFUNCTION("""COMPUTED_VALUE"""),"002/2025")</f>
        <v>002/2025</v>
      </c>
      <c r="J648" s="63" t="str">
        <f ca="1">IFERROR(__xludf.DUMMYFUNCTION("""COMPUTED_VALUE"""),"A rede  não irá mais ofertar o curso ao qual estava inscrito e como passei para o edital 032/2024 estou optando por ele.")</f>
        <v>A rede  não irá mais ofertar o curso ao qual estava inscrito e como passei para o edital 032/2024 estou optando por ele.</v>
      </c>
      <c r="K648"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48" s="59"/>
      <c r="N648" s="58" t="str">
        <f t="shared" ca="1" si="3"/>
        <v>DESISTIU</v>
      </c>
    </row>
    <row r="649" spans="1:14" ht="12.5" x14ac:dyDescent="0.25">
      <c r="A649" s="63" t="str">
        <f t="shared" ca="1" si="2"/>
        <v>002/2025/072.149.074-37</v>
      </c>
      <c r="B649" s="63" t="str">
        <f ca="1">IFERROR(__xludf.DUMMYFUNCTION("""COMPUTED_VALUE"""),"072.149.074-37")</f>
        <v>072.149.074-37</v>
      </c>
      <c r="C649" s="66" t="str">
        <f ca="1">IFERROR(__xludf.DUMMYFUNCTION("""COMPUTED_VALUE"""),"12/05/2025 11:22:33")</f>
        <v>12/05/2025 11:22:33</v>
      </c>
      <c r="D649" s="63" t="str">
        <f ca="1">IFERROR(__xludf.DUMMYFUNCTION("""COMPUTED_VALUE"""),"sibelle@see.pb.gov.br")</f>
        <v>sibelle@see.pb.gov.br</v>
      </c>
      <c r="E649" s="63" t="str">
        <f ca="1">IFERROR(__xludf.DUMMYFUNCTION("""COMPUTED_VALUE"""),"Faço Parte da Equipe Técnica Local ou  da Equipe da SEDE")</f>
        <v>Faço Parte da Equipe Técnica Local ou  da Equipe da SEDE</v>
      </c>
      <c r="F649" s="63" t="str">
        <f ca="1">IFERROR(__xludf.DUMMYFUNCTION("""COMPUTED_VALUE"""),"SIBELLE DA SILVA MACEDO")</f>
        <v>SIBELLE DA SILVA MACEDO</v>
      </c>
      <c r="G649" s="63" t="str">
        <f ca="1">IFERROR(__xludf.DUMMYFUNCTION("""COMPUTED_VALUE"""),"065.510.304-08")</f>
        <v>065.510.304-08</v>
      </c>
      <c r="H649" s="63" t="str">
        <f ca="1">IFERROR(__xludf.DUMMYFUNCTION("""COMPUTED_VALUE"""),"GLERYSTON THIAGO GOMES DA SILVA")</f>
        <v>GLERYSTON THIAGO GOMES DA SILVA</v>
      </c>
      <c r="I649" s="63" t="str">
        <f ca="1">IFERROR(__xludf.DUMMYFUNCTION("""COMPUTED_VALUE"""),"002/2025")</f>
        <v>002/2025</v>
      </c>
      <c r="J649" s="63" t="str">
        <f ca="1">IFERROR(__xludf.DUMMYFUNCTION("""COMPUTED_VALUE"""),"Desligar por descontinuidade do curso")</f>
        <v>Desligar por descontinuidade do curso</v>
      </c>
      <c r="K649"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49" s="71" t="str">
        <f ca="1">IFERROR(__xludf.DUMMYFUNCTION("""COMPUTED_VALUE"""),"https://drive.google.com/open?id=1ap8tXxMwVUbJEV9FOgOvWRRDBJ8paxWs")</f>
        <v>https://drive.google.com/open?id=1ap8tXxMwVUbJEV9FOgOvWRRDBJ8paxWs</v>
      </c>
      <c r="N649" s="58" t="str">
        <f t="shared" ca="1" si="3"/>
        <v>DESISTIU</v>
      </c>
    </row>
    <row r="650" spans="1:14" ht="12.5" x14ac:dyDescent="0.25">
      <c r="A650" s="63" t="str">
        <f t="shared" ca="1" si="2"/>
        <v>002/2025/050.965.674-94</v>
      </c>
      <c r="B650" s="63" t="str">
        <f ca="1">IFERROR(__xludf.DUMMYFUNCTION("""COMPUTED_VALUE"""),"050.965.674-94")</f>
        <v>050.965.674-94</v>
      </c>
      <c r="C650" s="66" t="str">
        <f ca="1">IFERROR(__xludf.DUMMYFUNCTION("""COMPUTED_VALUE"""),"12/05/2025 14:08:51")</f>
        <v>12/05/2025 14:08:51</v>
      </c>
      <c r="D650" s="63" t="str">
        <f ca="1">IFERROR(__xludf.DUMMYFUNCTION("""COMPUTED_VALUE"""),"sibelle@see.pb.gov.br")</f>
        <v>sibelle@see.pb.gov.br</v>
      </c>
      <c r="E650" s="63" t="str">
        <f ca="1">IFERROR(__xludf.DUMMYFUNCTION("""COMPUTED_VALUE"""),"Faço Parte da Equipe Técnica Local ou  da Equipe da SEDE")</f>
        <v>Faço Parte da Equipe Técnica Local ou  da Equipe da SEDE</v>
      </c>
      <c r="F650" s="63" t="str">
        <f ca="1">IFERROR(__xludf.DUMMYFUNCTION("""COMPUTED_VALUE"""),"SIBELLE DA SILVA MACEDO")</f>
        <v>SIBELLE DA SILVA MACEDO</v>
      </c>
      <c r="G650" s="63" t="str">
        <f ca="1">IFERROR(__xludf.DUMMYFUNCTION("""COMPUTED_VALUE"""),"065.510.304-08")</f>
        <v>065.510.304-08</v>
      </c>
      <c r="H650" s="63" t="str">
        <f ca="1">IFERROR(__xludf.DUMMYFUNCTION("""COMPUTED_VALUE"""),"ERLANDSON DE SALES BEZERRA")</f>
        <v>ERLANDSON DE SALES BEZERRA</v>
      </c>
      <c r="I650" s="63" t="str">
        <f ca="1">IFERROR(__xludf.DUMMYFUNCTION("""COMPUTED_VALUE"""),"002/2025")</f>
        <v>002/2025</v>
      </c>
      <c r="J650" s="63" t="str">
        <f ca="1">IFERROR(__xludf.DUMMYFUNCTION("""COMPUTED_VALUE"""),"Desligar por descontinuidade do curso")</f>
        <v>Desligar por descontinuidade do curso</v>
      </c>
      <c r="K650"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50" s="71" t="str">
        <f ca="1">IFERROR(__xludf.DUMMYFUNCTION("""COMPUTED_VALUE"""),"https://drive.google.com/open?id=1z-YoUXzXJo2r7M7Hg2AlFxWHr38R6M0c")</f>
        <v>https://drive.google.com/open?id=1z-YoUXzXJo2r7M7Hg2AlFxWHr38R6M0c</v>
      </c>
      <c r="N650" s="58" t="str">
        <f t="shared" ca="1" si="3"/>
        <v>DESISTIU</v>
      </c>
    </row>
    <row r="651" spans="1:14" ht="12.5" x14ac:dyDescent="0.25">
      <c r="A651" s="63" t="str">
        <f t="shared" ca="1" si="2"/>
        <v>002/2025/069.652.174-13</v>
      </c>
      <c r="B651" s="63" t="str">
        <f ca="1">IFERROR(__xludf.DUMMYFUNCTION("""COMPUTED_VALUE"""),"069.652.174-13")</f>
        <v>069.652.174-13</v>
      </c>
      <c r="C651" s="66" t="str">
        <f ca="1">IFERROR(__xludf.DUMMYFUNCTION("""COMPUTED_VALUE"""),"12/05/2025 14:10:11")</f>
        <v>12/05/2025 14:10:11</v>
      </c>
      <c r="D651" s="63" t="str">
        <f ca="1">IFERROR(__xludf.DUMMYFUNCTION("""COMPUTED_VALUE"""),"sibelle@see.pb.gov.br")</f>
        <v>sibelle@see.pb.gov.br</v>
      </c>
      <c r="E651" s="63" t="str">
        <f ca="1">IFERROR(__xludf.DUMMYFUNCTION("""COMPUTED_VALUE"""),"Faço Parte da Equipe Técnica Local ou  da Equipe da SEDE")</f>
        <v>Faço Parte da Equipe Técnica Local ou  da Equipe da SEDE</v>
      </c>
      <c r="F651" s="63" t="str">
        <f ca="1">IFERROR(__xludf.DUMMYFUNCTION("""COMPUTED_VALUE"""),"SIBELLE DA SILVA MACEDO")</f>
        <v>SIBELLE DA SILVA MACEDO</v>
      </c>
      <c r="G651" s="63" t="str">
        <f ca="1">IFERROR(__xludf.DUMMYFUNCTION("""COMPUTED_VALUE"""),"065.510.304-08")</f>
        <v>065.510.304-08</v>
      </c>
      <c r="H651" s="63" t="str">
        <f ca="1">IFERROR(__xludf.DUMMYFUNCTION("""COMPUTED_VALUE"""),"ANTONIA FAGNIA BATISTA PEREIRA VIEIRA DINIZ")</f>
        <v>ANTONIA FAGNIA BATISTA PEREIRA VIEIRA DINIZ</v>
      </c>
      <c r="I651" s="63" t="str">
        <f ca="1">IFERROR(__xludf.DUMMYFUNCTION("""COMPUTED_VALUE"""),"002/2025")</f>
        <v>002/2025</v>
      </c>
      <c r="J651" s="63" t="str">
        <f ca="1">IFERROR(__xludf.DUMMYFUNCTION("""COMPUTED_VALUE"""),"Desligar por descontinuidade do curso")</f>
        <v>Desligar por descontinuidade do curso</v>
      </c>
      <c r="K651"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51" s="71" t="str">
        <f ca="1">IFERROR(__xludf.DUMMYFUNCTION("""COMPUTED_VALUE"""),"https://drive.google.com/open?id=1XnlusaS87nUeOGMcC8I47OpVJxqQlsNk")</f>
        <v>https://drive.google.com/open?id=1XnlusaS87nUeOGMcC8I47OpVJxqQlsNk</v>
      </c>
      <c r="N651" s="58" t="str">
        <f t="shared" ca="1" si="3"/>
        <v>DESISTIU</v>
      </c>
    </row>
    <row r="652" spans="1:14" ht="12.5" x14ac:dyDescent="0.25">
      <c r="A652" s="63" t="str">
        <f t="shared" ca="1" si="2"/>
        <v>002/2025/344.144.012-91</v>
      </c>
      <c r="B652" s="63" t="str">
        <f ca="1">IFERROR(__xludf.DUMMYFUNCTION("""COMPUTED_VALUE"""),"344.144.012-91")</f>
        <v>344.144.012-91</v>
      </c>
      <c r="C652" s="66" t="str">
        <f ca="1">IFERROR(__xludf.DUMMYFUNCTION("""COMPUTED_VALUE"""),"12/05/2025 14:14:16")</f>
        <v>12/05/2025 14:14:16</v>
      </c>
      <c r="D652" s="63" t="str">
        <f ca="1">IFERROR(__xludf.DUMMYFUNCTION("""COMPUTED_VALUE"""),"sibelle@see.pb.gov.br")</f>
        <v>sibelle@see.pb.gov.br</v>
      </c>
      <c r="E652" s="63" t="str">
        <f ca="1">IFERROR(__xludf.DUMMYFUNCTION("""COMPUTED_VALUE"""),"Faço Parte da Equipe Técnica Local ou  da Equipe da SEDE")</f>
        <v>Faço Parte da Equipe Técnica Local ou  da Equipe da SEDE</v>
      </c>
      <c r="F652" s="63" t="str">
        <f ca="1">IFERROR(__xludf.DUMMYFUNCTION("""COMPUTED_VALUE"""),"SIBELLE DA SILVA MACEDO")</f>
        <v>SIBELLE DA SILVA MACEDO</v>
      </c>
      <c r="G652" s="63" t="str">
        <f ca="1">IFERROR(__xludf.DUMMYFUNCTION("""COMPUTED_VALUE"""),"065.510.304-08")</f>
        <v>065.510.304-08</v>
      </c>
      <c r="H652" s="63" t="str">
        <f ca="1">IFERROR(__xludf.DUMMYFUNCTION("""COMPUTED_VALUE"""),"MARCIO VINICIUS ARAUJO DE BARROS")</f>
        <v>MARCIO VINICIUS ARAUJO DE BARROS</v>
      </c>
      <c r="I652" s="63" t="str">
        <f ca="1">IFERROR(__xludf.DUMMYFUNCTION("""COMPUTED_VALUE"""),"002/2025")</f>
        <v>002/2025</v>
      </c>
      <c r="J652" s="63" t="str">
        <f ca="1">IFERROR(__xludf.DUMMYFUNCTION("""COMPUTED_VALUE"""),"Desligar por descontinuidade do curso")</f>
        <v>Desligar por descontinuidade do curso</v>
      </c>
      <c r="K652"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52" s="71" t="str">
        <f ca="1">IFERROR(__xludf.DUMMYFUNCTION("""COMPUTED_VALUE"""),"https://drive.google.com/open?id=1Jcd2XiftKTLfssppkAZcC_V2DBQEMP8a")</f>
        <v>https://drive.google.com/open?id=1Jcd2XiftKTLfssppkAZcC_V2DBQEMP8a</v>
      </c>
      <c r="N652" s="58" t="str">
        <f t="shared" ca="1" si="3"/>
        <v>DESISTIU</v>
      </c>
    </row>
    <row r="653" spans="1:14" ht="12.5" x14ac:dyDescent="0.25">
      <c r="A653" s="63" t="str">
        <f t="shared" ca="1" si="2"/>
        <v>002/2025/790.172.234-72</v>
      </c>
      <c r="B653" s="63" t="str">
        <f ca="1">IFERROR(__xludf.DUMMYFUNCTION("""COMPUTED_VALUE"""),"790.172.234-72")</f>
        <v>790.172.234-72</v>
      </c>
      <c r="C653" s="66" t="str">
        <f ca="1">IFERROR(__xludf.DUMMYFUNCTION("""COMPUTED_VALUE"""),"12/05/2025 14:15:41")</f>
        <v>12/05/2025 14:15:41</v>
      </c>
      <c r="D653" s="63" t="str">
        <f ca="1">IFERROR(__xludf.DUMMYFUNCTION("""COMPUTED_VALUE"""),"sibelle@see.pb.gov.br")</f>
        <v>sibelle@see.pb.gov.br</v>
      </c>
      <c r="E653" s="63" t="str">
        <f ca="1">IFERROR(__xludf.DUMMYFUNCTION("""COMPUTED_VALUE"""),"Faço Parte da Equipe Técnica Local ou  da Equipe da SEDE")</f>
        <v>Faço Parte da Equipe Técnica Local ou  da Equipe da SEDE</v>
      </c>
      <c r="F653" s="63" t="str">
        <f ca="1">IFERROR(__xludf.DUMMYFUNCTION("""COMPUTED_VALUE"""),"SIBELLE DA SILVA MACEDO")</f>
        <v>SIBELLE DA SILVA MACEDO</v>
      </c>
      <c r="G653" s="63" t="str">
        <f ca="1">IFERROR(__xludf.DUMMYFUNCTION("""COMPUTED_VALUE"""),"065.510.304-08")</f>
        <v>065.510.304-08</v>
      </c>
      <c r="H653" s="63" t="str">
        <f ca="1">IFERROR(__xludf.DUMMYFUNCTION("""COMPUTED_VALUE"""),"JOAO FRANCISCO DE SOUZA NETO")</f>
        <v>JOAO FRANCISCO DE SOUZA NETO</v>
      </c>
      <c r="I653" s="63" t="str">
        <f ca="1">IFERROR(__xludf.DUMMYFUNCTION("""COMPUTED_VALUE"""),"002/2025")</f>
        <v>002/2025</v>
      </c>
      <c r="J653" s="63" t="str">
        <f ca="1">IFERROR(__xludf.DUMMYFUNCTION("""COMPUTED_VALUE"""),"Desligar por descontinuidade do curso")</f>
        <v>Desligar por descontinuidade do curso</v>
      </c>
      <c r="K653"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53" s="71" t="str">
        <f ca="1">IFERROR(__xludf.DUMMYFUNCTION("""COMPUTED_VALUE"""),"https://drive.google.com/open?id=1z4i9w0vYg2K6WgwW95ec-orakPIJLNYU")</f>
        <v>https://drive.google.com/open?id=1z4i9w0vYg2K6WgwW95ec-orakPIJLNYU</v>
      </c>
      <c r="N653" s="58" t="str">
        <f t="shared" ca="1" si="3"/>
        <v>DESISTIU</v>
      </c>
    </row>
    <row r="654" spans="1:14" ht="12.5" x14ac:dyDescent="0.25">
      <c r="A654" s="63" t="str">
        <f t="shared" ca="1" si="2"/>
        <v>002/2025/087.241.694-12</v>
      </c>
      <c r="B654" s="63" t="str">
        <f ca="1">IFERROR(__xludf.DUMMYFUNCTION("""COMPUTED_VALUE"""),"087.241.694-12")</f>
        <v>087.241.694-12</v>
      </c>
      <c r="C654" s="66" t="str">
        <f ca="1">IFERROR(__xludf.DUMMYFUNCTION("""COMPUTED_VALUE"""),"12/05/2025 14:19:00")</f>
        <v>12/05/2025 14:19:00</v>
      </c>
      <c r="D654" s="63" t="str">
        <f ca="1">IFERROR(__xludf.DUMMYFUNCTION("""COMPUTED_VALUE"""),"sibelle@see.pb.gov.br")</f>
        <v>sibelle@see.pb.gov.br</v>
      </c>
      <c r="E654" s="63" t="str">
        <f ca="1">IFERROR(__xludf.DUMMYFUNCTION("""COMPUTED_VALUE"""),"Faço Parte da Equipe Técnica Local ou  da Equipe da SEDE")</f>
        <v>Faço Parte da Equipe Técnica Local ou  da Equipe da SEDE</v>
      </c>
      <c r="F654" s="63" t="str">
        <f ca="1">IFERROR(__xludf.DUMMYFUNCTION("""COMPUTED_VALUE"""),"SIBELLE DA SILVA MACEDO")</f>
        <v>SIBELLE DA SILVA MACEDO</v>
      </c>
      <c r="G654" s="63" t="str">
        <f ca="1">IFERROR(__xludf.DUMMYFUNCTION("""COMPUTED_VALUE"""),"065.510.304-08")</f>
        <v>065.510.304-08</v>
      </c>
      <c r="H654" s="63" t="str">
        <f ca="1">IFERROR(__xludf.DUMMYFUNCTION("""COMPUTED_VALUE"""),"Victor Hugo Santos de Assis")</f>
        <v>Victor Hugo Santos de Assis</v>
      </c>
      <c r="I654" s="63" t="str">
        <f ca="1">IFERROR(__xludf.DUMMYFUNCTION("""COMPUTED_VALUE"""),"002/2025")</f>
        <v>002/2025</v>
      </c>
      <c r="J654" s="63" t="str">
        <f ca="1">IFERROR(__xludf.DUMMYFUNCTION("""COMPUTED_VALUE"""),"Desligar por descontinuidade do curso")</f>
        <v>Desligar por descontinuidade do curso</v>
      </c>
      <c r="K654"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54" s="71" t="str">
        <f ca="1">IFERROR(__xludf.DUMMYFUNCTION("""COMPUTED_VALUE"""),"https://drive.google.com/open?id=1NVaKyb_OJo_nx_0d-08IJiGS2amN-N8k")</f>
        <v>https://drive.google.com/open?id=1NVaKyb_OJo_nx_0d-08IJiGS2amN-N8k</v>
      </c>
      <c r="N654" s="58" t="str">
        <f t="shared" ca="1" si="3"/>
        <v>DESISTIU</v>
      </c>
    </row>
    <row r="655" spans="1:14" ht="12.5" x14ac:dyDescent="0.25">
      <c r="A655" s="63" t="str">
        <f t="shared" ca="1" si="2"/>
        <v>004/2025/107.276.104-14</v>
      </c>
      <c r="B655" s="63" t="str">
        <f ca="1">IFERROR(__xludf.DUMMYFUNCTION("""COMPUTED_VALUE"""),"107.276.104-14")</f>
        <v>107.276.104-14</v>
      </c>
      <c r="C655" s="66" t="str">
        <f ca="1">IFERROR(__xludf.DUMMYFUNCTION("""COMPUTED_VALUE"""),"13/05/2025 11:00:08")</f>
        <v>13/05/2025 11:00:08</v>
      </c>
      <c r="D655" s="63" t="str">
        <f ca="1">IFERROR(__xludf.DUMMYFUNCTION("""COMPUTED_VALUE"""),"adv.rejanaamorim@gmail.com")</f>
        <v>adv.rejanaamorim@gmail.com</v>
      </c>
      <c r="E655" s="63" t="str">
        <f ca="1">IFERROR(__xludf.DUMMYFUNCTION("""COMPUTED_VALUE"""),"Sou o Bolsista Desistente")</f>
        <v>Sou o Bolsista Desistente</v>
      </c>
      <c r="F655" s="63"/>
      <c r="G655" s="63"/>
      <c r="H655" s="63" t="str">
        <f ca="1">IFERROR(__xludf.DUMMYFUNCTION("""COMPUTED_VALUE"""),"REJANA SANTOS ARAUJO AMORIM")</f>
        <v>REJANA SANTOS ARAUJO AMORIM</v>
      </c>
      <c r="I655" s="63" t="str">
        <f ca="1">IFERROR(__xludf.DUMMYFUNCTION("""COMPUTED_VALUE"""),"004/2025")</f>
        <v>004/2025</v>
      </c>
      <c r="J655" s="63" t="str">
        <f ca="1">IFERROR(__xludf.DUMMYFUNCTION("""COMPUTED_VALUE"""),"Não terei disposição para atender ao programa.")</f>
        <v>Não terei disposição para atender ao programa.</v>
      </c>
      <c r="K655"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55" s="59"/>
      <c r="N655" s="58" t="str">
        <f t="shared" ca="1" si="3"/>
        <v>DESISTIU</v>
      </c>
    </row>
    <row r="656" spans="1:14" ht="12.5" x14ac:dyDescent="0.25">
      <c r="A656" s="63" t="str">
        <f t="shared" ca="1" si="2"/>
        <v>005/2025/042.250.194-89</v>
      </c>
      <c r="B656" s="63" t="str">
        <f ca="1">IFERROR(__xludf.DUMMYFUNCTION("""COMPUTED_VALUE"""),"042.250.194-89")</f>
        <v>042.250.194-89</v>
      </c>
      <c r="C656" s="66" t="str">
        <f ca="1">IFERROR(__xludf.DUMMYFUNCTION("""COMPUTED_VALUE"""),"14/05/2025 09:57:18")</f>
        <v>14/05/2025 09:57:18</v>
      </c>
      <c r="D656" s="63" t="str">
        <f ca="1">IFERROR(__xludf.DUMMYFUNCTION("""COMPUTED_VALUE"""),"jpp.wagner@gmail.com")</f>
        <v>jpp.wagner@gmail.com</v>
      </c>
      <c r="E656" s="63" t="str">
        <f ca="1">IFERROR(__xludf.DUMMYFUNCTION("""COMPUTED_VALUE"""),"Faço Parte da Equipe Técnica Local ou  da Equipe da SEDE")</f>
        <v>Faço Parte da Equipe Técnica Local ou  da Equipe da SEDE</v>
      </c>
      <c r="F656" s="63" t="str">
        <f ca="1">IFERROR(__xludf.DUMMYFUNCTION("""COMPUTED_VALUE"""),"wagner soares ferreira")</f>
        <v>wagner soares ferreira</v>
      </c>
      <c r="G656" s="63" t="str">
        <f ca="1">IFERROR(__xludf.DUMMYFUNCTION("""COMPUTED_VALUE"""),"042.250.194-89")</f>
        <v>042.250.194-89</v>
      </c>
      <c r="H656" s="63" t="str">
        <f ca="1">IFERROR(__xludf.DUMMYFUNCTION("""COMPUTED_VALUE"""),"wagner soares ferreira")</f>
        <v>wagner soares ferreira</v>
      </c>
      <c r="I656" s="63" t="str">
        <f ca="1">IFERROR(__xludf.DUMMYFUNCTION("""COMPUTED_VALUE"""),"005/2025")</f>
        <v>005/2025</v>
      </c>
      <c r="J656" s="63" t="str">
        <f ca="1">IFERROR(__xludf.DUMMYFUNCTION("""COMPUTED_VALUE"""),"Desisto do edital 005/2025, por não ter mais, no momento, disponibilidade, para assumir o
 compromisso que reza o edital de cumprir 20 horas semanais no programa")</f>
        <v>Desisto do edital 005/2025, por não ter mais, no momento, disponibilidade, para assumir o
 compromisso que reza o edital de cumprir 20 horas semanais no programa</v>
      </c>
      <c r="K656" s="59" t="str">
        <f ca="1">IFERROR(__xludf.DUMMYFUNCTION("""COMPUTED_VALUE"""),"Por meio deste termo, solicito formalmente a desistência da bolsa conforme os dados fornecidos, declarando que as informações aqui prestadas são verdadeiras e assumo plena responsabilidade por elas. Declaro ainda que a decisão de desistir da bolsa é de mi"&amp;"nha exclusiva responsabilidade, não havendo nenhum impedimento ou impacto relacionado à equipe ou à administração do programa.")</f>
        <v>Por meio deste termo, solicito formalmente a desistência da bolsa conforme os dados fornecidos, declarando que as informações aqui prestadas são verdadeiras e assumo plena responsabilidade por elas. Declaro ainda que a decisão de desistir da bolsa é de minha exclusiva responsabilidade, não havendo nenhum impedimento ou impacto relacionado à equipe ou à administração do programa.</v>
      </c>
      <c r="L656" s="71" t="str">
        <f ca="1">IFERROR(__xludf.DUMMYFUNCTION("""COMPUTED_VALUE"""),"https://drive.google.com/open?id=14DtYCrCqqiM91BFywqqjhlvYy6sfAtyr")</f>
        <v>https://drive.google.com/open?id=14DtYCrCqqiM91BFywqqjhlvYy6sfAtyr</v>
      </c>
      <c r="N656" s="58" t="str">
        <f t="shared" ca="1" si="3"/>
        <v>DESISTIU</v>
      </c>
    </row>
    <row r="657" spans="1:14" ht="12.5" x14ac:dyDescent="0.25">
      <c r="A657" s="63" t="str">
        <f t="shared" si="2"/>
        <v/>
      </c>
      <c r="B657" s="63"/>
      <c r="C657" s="63"/>
      <c r="D657" s="63"/>
      <c r="E657" s="63"/>
      <c r="F657" s="63"/>
      <c r="G657" s="63"/>
      <c r="H657" s="63"/>
      <c r="I657" s="63"/>
      <c r="J657" s="63"/>
      <c r="K657" s="59"/>
      <c r="L657" s="59"/>
      <c r="N657" s="58" t="str">
        <f t="shared" si="3"/>
        <v/>
      </c>
    </row>
    <row r="658" spans="1:14" ht="12.5" x14ac:dyDescent="0.25">
      <c r="A658" s="63" t="str">
        <f t="shared" si="2"/>
        <v/>
      </c>
      <c r="B658" s="63"/>
      <c r="C658" s="63"/>
      <c r="D658" s="63"/>
      <c r="E658" s="63"/>
      <c r="F658" s="63"/>
      <c r="G658" s="63"/>
      <c r="H658" s="63"/>
      <c r="I658" s="63"/>
      <c r="J658" s="63"/>
      <c r="K658" s="59"/>
      <c r="L658" s="59"/>
      <c r="N658" s="58" t="str">
        <f t="shared" si="3"/>
        <v/>
      </c>
    </row>
    <row r="659" spans="1:14" ht="12.5" x14ac:dyDescent="0.25">
      <c r="A659" s="63" t="str">
        <f t="shared" si="2"/>
        <v/>
      </c>
      <c r="B659" s="63"/>
      <c r="C659" s="63"/>
      <c r="D659" s="63"/>
      <c r="E659" s="63"/>
      <c r="F659" s="63"/>
      <c r="G659" s="63"/>
      <c r="H659" s="63"/>
      <c r="I659" s="63"/>
      <c r="J659" s="63"/>
      <c r="K659" s="59"/>
      <c r="L659" s="59"/>
      <c r="N659" s="58" t="str">
        <f t="shared" si="3"/>
        <v/>
      </c>
    </row>
    <row r="660" spans="1:14" ht="12.5" x14ac:dyDescent="0.25">
      <c r="A660" s="63" t="str">
        <f t="shared" si="2"/>
        <v/>
      </c>
      <c r="B660" s="63"/>
      <c r="C660" s="63"/>
      <c r="D660" s="63"/>
      <c r="E660" s="63"/>
      <c r="F660" s="63"/>
      <c r="G660" s="63"/>
      <c r="H660" s="63"/>
      <c r="I660" s="63"/>
      <c r="J660" s="63"/>
      <c r="K660" s="59"/>
      <c r="L660" s="59"/>
      <c r="N660" s="58" t="str">
        <f t="shared" si="3"/>
        <v/>
      </c>
    </row>
    <row r="661" spans="1:14" ht="12.5" x14ac:dyDescent="0.25">
      <c r="A661" s="63" t="str">
        <f t="shared" si="2"/>
        <v/>
      </c>
      <c r="B661" s="63"/>
      <c r="C661" s="63"/>
      <c r="D661" s="63"/>
      <c r="E661" s="63"/>
      <c r="F661" s="63"/>
      <c r="G661" s="63"/>
      <c r="H661" s="63"/>
      <c r="I661" s="63"/>
      <c r="J661" s="63"/>
      <c r="K661" s="59"/>
      <c r="L661" s="59"/>
      <c r="N661" s="58" t="str">
        <f t="shared" si="3"/>
        <v/>
      </c>
    </row>
    <row r="662" spans="1:14" ht="12.5" x14ac:dyDescent="0.25">
      <c r="A662" s="63" t="str">
        <f t="shared" si="2"/>
        <v/>
      </c>
      <c r="B662" s="63"/>
      <c r="C662" s="63"/>
      <c r="D662" s="63"/>
      <c r="E662" s="63"/>
      <c r="F662" s="63"/>
      <c r="G662" s="63"/>
      <c r="H662" s="63"/>
      <c r="I662" s="63"/>
      <c r="J662" s="63"/>
      <c r="K662" s="59"/>
      <c r="L662" s="59"/>
      <c r="N662" s="58" t="str">
        <f t="shared" si="3"/>
        <v/>
      </c>
    </row>
    <row r="663" spans="1:14" ht="12.5" x14ac:dyDescent="0.25">
      <c r="A663" s="63" t="str">
        <f t="shared" si="2"/>
        <v/>
      </c>
      <c r="B663" s="63"/>
      <c r="C663" s="63"/>
      <c r="D663" s="63"/>
      <c r="E663" s="63"/>
      <c r="F663" s="63"/>
      <c r="G663" s="63"/>
      <c r="H663" s="63"/>
      <c r="I663" s="63"/>
      <c r="J663" s="63"/>
      <c r="K663" s="59"/>
      <c r="L663" s="59"/>
      <c r="N663" s="58" t="str">
        <f t="shared" si="3"/>
        <v/>
      </c>
    </row>
    <row r="664" spans="1:14" ht="12.5" x14ac:dyDescent="0.25">
      <c r="A664" s="63" t="str">
        <f t="shared" si="2"/>
        <v/>
      </c>
      <c r="B664" s="63"/>
      <c r="C664" s="63"/>
      <c r="D664" s="63"/>
      <c r="E664" s="63"/>
      <c r="F664" s="63"/>
      <c r="G664" s="63"/>
      <c r="H664" s="63"/>
      <c r="I664" s="63"/>
      <c r="J664" s="63"/>
      <c r="K664" s="59"/>
      <c r="L664" s="59"/>
      <c r="N664" s="58" t="str">
        <f t="shared" si="3"/>
        <v/>
      </c>
    </row>
    <row r="665" spans="1:14" ht="12.5" x14ac:dyDescent="0.25">
      <c r="A665" s="63" t="str">
        <f t="shared" si="2"/>
        <v/>
      </c>
      <c r="B665" s="63"/>
      <c r="C665" s="63"/>
      <c r="D665" s="63"/>
      <c r="E665" s="63"/>
      <c r="F665" s="63"/>
      <c r="G665" s="63"/>
      <c r="H665" s="63"/>
      <c r="I665" s="63"/>
      <c r="J665" s="63"/>
      <c r="K665" s="59"/>
      <c r="L665" s="59"/>
      <c r="N665" s="58" t="str">
        <f t="shared" si="3"/>
        <v/>
      </c>
    </row>
    <row r="666" spans="1:14" ht="12.5" x14ac:dyDescent="0.25">
      <c r="A666" s="63" t="str">
        <f t="shared" si="2"/>
        <v/>
      </c>
      <c r="B666" s="63"/>
      <c r="C666" s="63"/>
      <c r="D666" s="63"/>
      <c r="E666" s="63"/>
      <c r="F666" s="63"/>
      <c r="G666" s="63"/>
      <c r="H666" s="63"/>
      <c r="I666" s="63"/>
      <c r="J666" s="63"/>
      <c r="K666" s="59"/>
      <c r="L666" s="59"/>
      <c r="N666" s="58" t="str">
        <f t="shared" si="3"/>
        <v/>
      </c>
    </row>
    <row r="667" spans="1:14" ht="12.5" x14ac:dyDescent="0.25">
      <c r="A667" s="63" t="str">
        <f t="shared" si="2"/>
        <v/>
      </c>
      <c r="B667" s="63"/>
      <c r="C667" s="63"/>
      <c r="D667" s="63"/>
      <c r="E667" s="63"/>
      <c r="F667" s="63"/>
      <c r="G667" s="63"/>
      <c r="H667" s="63"/>
      <c r="I667" s="63"/>
      <c r="J667" s="63"/>
      <c r="K667" s="59"/>
      <c r="L667" s="59"/>
      <c r="N667" s="58" t="str">
        <f t="shared" si="3"/>
        <v/>
      </c>
    </row>
    <row r="668" spans="1:14" ht="12.5" x14ac:dyDescent="0.25">
      <c r="A668" s="63" t="str">
        <f t="shared" si="2"/>
        <v/>
      </c>
      <c r="B668" s="63"/>
      <c r="C668" s="63"/>
      <c r="D668" s="63"/>
      <c r="E668" s="63"/>
      <c r="F668" s="63"/>
      <c r="G668" s="63"/>
      <c r="H668" s="63"/>
      <c r="I668" s="63"/>
      <c r="J668" s="63"/>
      <c r="K668" s="59"/>
      <c r="L668" s="59"/>
      <c r="N668" s="58" t="str">
        <f t="shared" si="3"/>
        <v/>
      </c>
    </row>
    <row r="669" spans="1:14" ht="12.5" x14ac:dyDescent="0.25">
      <c r="A669" s="63" t="str">
        <f t="shared" si="2"/>
        <v/>
      </c>
      <c r="B669" s="63"/>
      <c r="C669" s="63"/>
      <c r="D669" s="63"/>
      <c r="E669" s="63"/>
      <c r="F669" s="63"/>
      <c r="G669" s="63"/>
      <c r="H669" s="63"/>
      <c r="I669" s="63"/>
      <c r="J669" s="63"/>
      <c r="K669" s="59"/>
      <c r="L669" s="59"/>
      <c r="N669" s="58" t="str">
        <f t="shared" si="3"/>
        <v/>
      </c>
    </row>
    <row r="670" spans="1:14" ht="12.5" x14ac:dyDescent="0.25">
      <c r="A670" s="63" t="str">
        <f t="shared" si="2"/>
        <v/>
      </c>
      <c r="B670" s="63"/>
      <c r="C670" s="63"/>
      <c r="D670" s="63"/>
      <c r="E670" s="63"/>
      <c r="F670" s="63"/>
      <c r="G670" s="63"/>
      <c r="H670" s="63"/>
      <c r="I670" s="63"/>
      <c r="J670" s="63"/>
      <c r="K670" s="59"/>
      <c r="L670" s="59"/>
      <c r="N670" s="58" t="str">
        <f t="shared" si="3"/>
        <v/>
      </c>
    </row>
    <row r="671" spans="1:14" ht="12.5" x14ac:dyDescent="0.25">
      <c r="A671" s="63" t="str">
        <f t="shared" si="2"/>
        <v/>
      </c>
      <c r="B671" s="63"/>
      <c r="C671" s="63"/>
      <c r="D671" s="63"/>
      <c r="E671" s="63"/>
      <c r="F671" s="63"/>
      <c r="G671" s="63"/>
      <c r="H671" s="63"/>
      <c r="I671" s="63"/>
      <c r="J671" s="63"/>
      <c r="K671" s="59"/>
      <c r="L671" s="59"/>
      <c r="N671" s="58" t="str">
        <f t="shared" si="3"/>
        <v/>
      </c>
    </row>
    <row r="672" spans="1:14" ht="12.5" x14ac:dyDescent="0.25">
      <c r="A672" s="63" t="str">
        <f t="shared" si="2"/>
        <v/>
      </c>
      <c r="B672" s="63"/>
      <c r="C672" s="63"/>
      <c r="D672" s="63"/>
      <c r="E672" s="63"/>
      <c r="F672" s="63"/>
      <c r="G672" s="63"/>
      <c r="H672" s="63"/>
      <c r="I672" s="63"/>
      <c r="J672" s="63"/>
      <c r="K672" s="59"/>
      <c r="L672" s="59"/>
      <c r="N672" s="58" t="str">
        <f t="shared" si="3"/>
        <v/>
      </c>
    </row>
    <row r="673" spans="1:14" ht="12.5" x14ac:dyDescent="0.25">
      <c r="A673" s="63" t="str">
        <f t="shared" si="2"/>
        <v/>
      </c>
      <c r="B673" s="63"/>
      <c r="C673" s="63"/>
      <c r="D673" s="63"/>
      <c r="E673" s="63"/>
      <c r="F673" s="63"/>
      <c r="G673" s="63"/>
      <c r="H673" s="63"/>
      <c r="I673" s="63"/>
      <c r="J673" s="63"/>
      <c r="K673" s="59"/>
      <c r="L673" s="59"/>
      <c r="N673" s="58" t="str">
        <f t="shared" si="3"/>
        <v/>
      </c>
    </row>
    <row r="674" spans="1:14" ht="12.5" x14ac:dyDescent="0.25">
      <c r="A674" s="63" t="str">
        <f t="shared" si="2"/>
        <v/>
      </c>
      <c r="B674" s="63"/>
      <c r="C674" s="63"/>
      <c r="D674" s="63"/>
      <c r="E674" s="63"/>
      <c r="F674" s="63"/>
      <c r="G674" s="63"/>
      <c r="H674" s="63"/>
      <c r="I674" s="63"/>
      <c r="J674" s="63"/>
      <c r="K674" s="59"/>
      <c r="L674" s="59"/>
      <c r="N674" s="58" t="str">
        <f t="shared" si="3"/>
        <v/>
      </c>
    </row>
    <row r="675" spans="1:14" ht="12.5" x14ac:dyDescent="0.25">
      <c r="A675" s="63" t="str">
        <f t="shared" si="2"/>
        <v/>
      </c>
      <c r="B675" s="63"/>
      <c r="C675" s="63"/>
      <c r="D675" s="63"/>
      <c r="E675" s="63"/>
      <c r="F675" s="63"/>
      <c r="G675" s="63"/>
      <c r="H675" s="63"/>
      <c r="I675" s="63"/>
      <c r="J675" s="63"/>
      <c r="K675" s="59"/>
      <c r="L675" s="59"/>
      <c r="N675" s="58" t="str">
        <f t="shared" si="3"/>
        <v/>
      </c>
    </row>
    <row r="676" spans="1:14" ht="12.5" x14ac:dyDescent="0.25">
      <c r="A676" s="63" t="str">
        <f t="shared" si="2"/>
        <v/>
      </c>
      <c r="B676" s="63"/>
      <c r="C676" s="63"/>
      <c r="D676" s="63"/>
      <c r="E676" s="63"/>
      <c r="F676" s="63"/>
      <c r="G676" s="63"/>
      <c r="H676" s="63"/>
      <c r="I676" s="63"/>
      <c r="J676" s="63"/>
      <c r="K676" s="59"/>
      <c r="L676" s="59"/>
      <c r="N676" s="58" t="str">
        <f t="shared" si="3"/>
        <v/>
      </c>
    </row>
    <row r="677" spans="1:14" ht="12.5" x14ac:dyDescent="0.25">
      <c r="A677" s="63" t="str">
        <f t="shared" si="2"/>
        <v/>
      </c>
      <c r="B677" s="63"/>
      <c r="C677" s="63"/>
      <c r="D677" s="63"/>
      <c r="E677" s="63"/>
      <c r="F677" s="63"/>
      <c r="G677" s="63"/>
      <c r="H677" s="63"/>
      <c r="I677" s="63"/>
      <c r="J677" s="63"/>
      <c r="K677" s="59"/>
      <c r="L677" s="59"/>
      <c r="N677" s="58" t="str">
        <f t="shared" si="3"/>
        <v/>
      </c>
    </row>
    <row r="678" spans="1:14" ht="12.5" x14ac:dyDescent="0.25">
      <c r="A678" s="63" t="str">
        <f t="shared" si="2"/>
        <v/>
      </c>
      <c r="B678" s="63"/>
      <c r="C678" s="63"/>
      <c r="D678" s="63"/>
      <c r="E678" s="63"/>
      <c r="F678" s="63"/>
      <c r="G678" s="63"/>
      <c r="H678" s="63"/>
      <c r="I678" s="63"/>
      <c r="J678" s="63"/>
      <c r="K678" s="59"/>
      <c r="L678" s="59"/>
      <c r="N678" s="58" t="str">
        <f t="shared" si="3"/>
        <v/>
      </c>
    </row>
    <row r="679" spans="1:14" ht="12.5" x14ac:dyDescent="0.25">
      <c r="A679" s="63" t="str">
        <f t="shared" si="2"/>
        <v/>
      </c>
      <c r="B679" s="63"/>
      <c r="C679" s="63"/>
      <c r="D679" s="63"/>
      <c r="E679" s="63"/>
      <c r="F679" s="63"/>
      <c r="G679" s="63"/>
      <c r="H679" s="63"/>
      <c r="I679" s="63"/>
      <c r="J679" s="63"/>
      <c r="K679" s="59"/>
      <c r="L679" s="59"/>
      <c r="N679" s="58" t="str">
        <f t="shared" si="3"/>
        <v/>
      </c>
    </row>
    <row r="680" spans="1:14" ht="12.5" x14ac:dyDescent="0.25">
      <c r="A680" s="63" t="str">
        <f t="shared" si="2"/>
        <v/>
      </c>
      <c r="B680" s="63"/>
      <c r="C680" s="63"/>
      <c r="D680" s="63"/>
      <c r="E680" s="63"/>
      <c r="F680" s="63"/>
      <c r="G680" s="63"/>
      <c r="H680" s="63"/>
      <c r="I680" s="63"/>
      <c r="J680" s="63"/>
      <c r="K680" s="59"/>
      <c r="L680" s="59"/>
      <c r="N680" s="58" t="str">
        <f t="shared" si="3"/>
        <v/>
      </c>
    </row>
    <row r="681" spans="1:14" ht="12.5" x14ac:dyDescent="0.25">
      <c r="A681" s="63" t="str">
        <f t="shared" si="2"/>
        <v/>
      </c>
      <c r="B681" s="63"/>
      <c r="C681" s="63"/>
      <c r="D681" s="63"/>
      <c r="E681" s="63"/>
      <c r="F681" s="63"/>
      <c r="G681" s="63"/>
      <c r="H681" s="63"/>
      <c r="I681" s="63"/>
      <c r="J681" s="63"/>
      <c r="K681" s="59"/>
      <c r="L681" s="59"/>
      <c r="N681" s="58" t="str">
        <f t="shared" si="3"/>
        <v/>
      </c>
    </row>
    <row r="682" spans="1:14" ht="12.5" x14ac:dyDescent="0.25">
      <c r="A682" s="63" t="str">
        <f t="shared" si="2"/>
        <v/>
      </c>
      <c r="B682" s="63"/>
      <c r="C682" s="63"/>
      <c r="D682" s="63"/>
      <c r="E682" s="63"/>
      <c r="F682" s="63"/>
      <c r="G682" s="63"/>
      <c r="H682" s="63"/>
      <c r="I682" s="63"/>
      <c r="J682" s="63"/>
      <c r="K682" s="59"/>
      <c r="L682" s="59"/>
      <c r="N682" s="58" t="str">
        <f t="shared" si="3"/>
        <v/>
      </c>
    </row>
    <row r="683" spans="1:14" ht="12.5" x14ac:dyDescent="0.25">
      <c r="A683" s="63" t="str">
        <f t="shared" si="2"/>
        <v/>
      </c>
      <c r="B683" s="63"/>
      <c r="C683" s="63"/>
      <c r="D683" s="63"/>
      <c r="E683" s="63"/>
      <c r="F683" s="63"/>
      <c r="G683" s="63"/>
      <c r="H683" s="63"/>
      <c r="I683" s="63"/>
      <c r="J683" s="63"/>
      <c r="K683" s="59"/>
      <c r="L683" s="59"/>
      <c r="N683" s="58" t="str">
        <f t="shared" si="3"/>
        <v/>
      </c>
    </row>
    <row r="684" spans="1:14" ht="12.5" x14ac:dyDescent="0.25">
      <c r="A684" s="63" t="str">
        <f t="shared" si="2"/>
        <v/>
      </c>
      <c r="B684" s="63"/>
      <c r="C684" s="63"/>
      <c r="D684" s="63"/>
      <c r="E684" s="63"/>
      <c r="F684" s="63"/>
      <c r="G684" s="63"/>
      <c r="H684" s="63"/>
      <c r="I684" s="63"/>
      <c r="J684" s="63"/>
      <c r="K684" s="59"/>
      <c r="L684" s="59"/>
      <c r="N684" s="58" t="str">
        <f t="shared" si="3"/>
        <v/>
      </c>
    </row>
    <row r="685" spans="1:14" ht="12.5" x14ac:dyDescent="0.25">
      <c r="A685" s="63" t="str">
        <f t="shared" si="2"/>
        <v/>
      </c>
      <c r="B685" s="63"/>
      <c r="C685" s="63"/>
      <c r="D685" s="63"/>
      <c r="E685" s="63"/>
      <c r="F685" s="63"/>
      <c r="G685" s="63"/>
      <c r="H685" s="63"/>
      <c r="I685" s="63"/>
      <c r="J685" s="63"/>
      <c r="K685" s="59"/>
      <c r="L685" s="59"/>
      <c r="N685" s="58" t="str">
        <f t="shared" si="3"/>
        <v/>
      </c>
    </row>
    <row r="686" spans="1:14" ht="12.5" x14ac:dyDescent="0.25">
      <c r="A686" s="63" t="str">
        <f t="shared" si="2"/>
        <v/>
      </c>
      <c r="B686" s="63"/>
      <c r="C686" s="63"/>
      <c r="D686" s="63"/>
      <c r="E686" s="63"/>
      <c r="F686" s="63"/>
      <c r="G686" s="63"/>
      <c r="H686" s="63"/>
      <c r="I686" s="63"/>
      <c r="J686" s="63"/>
      <c r="K686" s="59"/>
      <c r="L686" s="59"/>
      <c r="N686" s="58" t="str">
        <f t="shared" si="3"/>
        <v/>
      </c>
    </row>
    <row r="687" spans="1:14" ht="12.5" x14ac:dyDescent="0.25">
      <c r="A687" s="63" t="str">
        <f t="shared" si="2"/>
        <v/>
      </c>
      <c r="B687" s="63"/>
      <c r="C687" s="63"/>
      <c r="D687" s="63"/>
      <c r="E687" s="63"/>
      <c r="F687" s="63"/>
      <c r="G687" s="63"/>
      <c r="H687" s="63"/>
      <c r="I687" s="63"/>
      <c r="J687" s="63"/>
      <c r="K687" s="59"/>
      <c r="L687" s="59"/>
      <c r="N687" s="58" t="str">
        <f t="shared" si="3"/>
        <v/>
      </c>
    </row>
    <row r="688" spans="1:14" ht="12.5" x14ac:dyDescent="0.25">
      <c r="A688" s="63" t="str">
        <f t="shared" si="2"/>
        <v/>
      </c>
      <c r="B688" s="63"/>
      <c r="C688" s="63"/>
      <c r="D688" s="63"/>
      <c r="E688" s="63"/>
      <c r="F688" s="63"/>
      <c r="G688" s="63"/>
      <c r="H688" s="63"/>
      <c r="I688" s="63"/>
      <c r="J688" s="63"/>
      <c r="K688" s="59"/>
      <c r="L688" s="59"/>
      <c r="N688" s="58" t="str">
        <f t="shared" si="3"/>
        <v/>
      </c>
    </row>
    <row r="689" spans="1:14" ht="12.5" x14ac:dyDescent="0.25">
      <c r="A689" s="63" t="str">
        <f t="shared" si="2"/>
        <v/>
      </c>
      <c r="B689" s="63"/>
      <c r="C689" s="63"/>
      <c r="D689" s="63"/>
      <c r="E689" s="63"/>
      <c r="F689" s="63"/>
      <c r="G689" s="63"/>
      <c r="H689" s="63"/>
      <c r="I689" s="63"/>
      <c r="J689" s="63"/>
      <c r="K689" s="59"/>
      <c r="L689" s="59"/>
      <c r="N689" s="58" t="str">
        <f t="shared" si="3"/>
        <v/>
      </c>
    </row>
    <row r="690" spans="1:14" ht="12.5" x14ac:dyDescent="0.25">
      <c r="A690" s="63" t="str">
        <f t="shared" si="2"/>
        <v/>
      </c>
      <c r="B690" s="63"/>
      <c r="C690" s="63"/>
      <c r="D690" s="63"/>
      <c r="E690" s="63"/>
      <c r="F690" s="63"/>
      <c r="G690" s="63"/>
      <c r="H690" s="63"/>
      <c r="I690" s="63"/>
      <c r="J690" s="63"/>
      <c r="K690" s="59"/>
      <c r="L690" s="59"/>
      <c r="N690" s="58" t="str">
        <f t="shared" si="3"/>
        <v/>
      </c>
    </row>
    <row r="691" spans="1:14" ht="12.5" x14ac:dyDescent="0.25">
      <c r="A691" s="63" t="str">
        <f t="shared" si="2"/>
        <v/>
      </c>
      <c r="B691" s="63"/>
      <c r="C691" s="63"/>
      <c r="D691" s="63"/>
      <c r="E691" s="63"/>
      <c r="F691" s="63"/>
      <c r="G691" s="63"/>
      <c r="H691" s="63"/>
      <c r="I691" s="63"/>
      <c r="J691" s="63"/>
      <c r="K691" s="59"/>
      <c r="L691" s="59"/>
      <c r="N691" s="58" t="str">
        <f t="shared" si="3"/>
        <v/>
      </c>
    </row>
    <row r="692" spans="1:14" ht="12.5" x14ac:dyDescent="0.25">
      <c r="A692" s="63" t="str">
        <f t="shared" si="2"/>
        <v/>
      </c>
      <c r="B692" s="63"/>
      <c r="C692" s="63"/>
      <c r="D692" s="63"/>
      <c r="E692" s="63"/>
      <c r="F692" s="63"/>
      <c r="G692" s="63"/>
      <c r="H692" s="63"/>
      <c r="I692" s="63"/>
      <c r="J692" s="63"/>
      <c r="K692" s="59"/>
      <c r="L692" s="59"/>
      <c r="N692" s="58" t="str">
        <f t="shared" si="3"/>
        <v/>
      </c>
    </row>
    <row r="693" spans="1:14" ht="12.5" x14ac:dyDescent="0.25">
      <c r="A693" s="63" t="str">
        <f t="shared" si="2"/>
        <v/>
      </c>
      <c r="B693" s="63"/>
      <c r="C693" s="63"/>
      <c r="D693" s="63"/>
      <c r="E693" s="63"/>
      <c r="F693" s="63"/>
      <c r="G693" s="63"/>
      <c r="H693" s="63"/>
      <c r="I693" s="63"/>
      <c r="J693" s="63"/>
      <c r="K693" s="59"/>
      <c r="L693" s="59"/>
      <c r="N693" s="58" t="str">
        <f t="shared" si="3"/>
        <v/>
      </c>
    </row>
    <row r="694" spans="1:14" ht="12.5" x14ac:dyDescent="0.25">
      <c r="A694" s="63" t="str">
        <f t="shared" si="2"/>
        <v/>
      </c>
      <c r="B694" s="63"/>
      <c r="C694" s="63"/>
      <c r="D694" s="63"/>
      <c r="E694" s="63"/>
      <c r="F694" s="63"/>
      <c r="G694" s="63"/>
      <c r="H694" s="63"/>
      <c r="I694" s="63"/>
      <c r="J694" s="63"/>
      <c r="K694" s="59"/>
      <c r="L694" s="59"/>
      <c r="N694" s="58" t="str">
        <f t="shared" si="3"/>
        <v/>
      </c>
    </row>
    <row r="695" spans="1:14" ht="12.5" x14ac:dyDescent="0.25">
      <c r="A695" s="63" t="str">
        <f t="shared" si="2"/>
        <v/>
      </c>
      <c r="B695" s="63"/>
      <c r="C695" s="63"/>
      <c r="D695" s="63"/>
      <c r="E695" s="63"/>
      <c r="F695" s="63"/>
      <c r="G695" s="63"/>
      <c r="H695" s="63"/>
      <c r="I695" s="63"/>
      <c r="J695" s="63"/>
      <c r="K695" s="59"/>
      <c r="L695" s="59"/>
      <c r="N695" s="58" t="str">
        <f t="shared" si="3"/>
        <v/>
      </c>
    </row>
    <row r="696" spans="1:14" ht="12.5" x14ac:dyDescent="0.25">
      <c r="A696" s="63" t="str">
        <f t="shared" si="2"/>
        <v/>
      </c>
      <c r="B696" s="63"/>
      <c r="C696" s="63"/>
      <c r="D696" s="63"/>
      <c r="E696" s="63"/>
      <c r="F696" s="63"/>
      <c r="G696" s="63"/>
      <c r="H696" s="63"/>
      <c r="I696" s="63"/>
      <c r="J696" s="63"/>
      <c r="K696" s="59"/>
      <c r="L696" s="59"/>
      <c r="N696" s="58" t="str">
        <f t="shared" si="3"/>
        <v/>
      </c>
    </row>
    <row r="697" spans="1:14" ht="12.5" x14ac:dyDescent="0.25">
      <c r="A697" s="63" t="str">
        <f t="shared" si="2"/>
        <v/>
      </c>
      <c r="B697" s="63"/>
      <c r="C697" s="63"/>
      <c r="D697" s="63"/>
      <c r="E697" s="63"/>
      <c r="F697" s="63"/>
      <c r="G697" s="63"/>
      <c r="H697" s="63"/>
      <c r="I697" s="63"/>
      <c r="J697" s="63"/>
      <c r="K697" s="59"/>
      <c r="L697" s="59"/>
      <c r="N697" s="58" t="str">
        <f t="shared" si="3"/>
        <v/>
      </c>
    </row>
    <row r="698" spans="1:14" ht="12.5" x14ac:dyDescent="0.25">
      <c r="A698" s="63" t="str">
        <f t="shared" si="2"/>
        <v/>
      </c>
      <c r="B698" s="63"/>
      <c r="C698" s="63"/>
      <c r="D698" s="63"/>
      <c r="E698" s="63"/>
      <c r="F698" s="63"/>
      <c r="G698" s="63"/>
      <c r="H698" s="63"/>
      <c r="I698" s="63"/>
      <c r="J698" s="63"/>
      <c r="K698" s="59"/>
      <c r="L698" s="59"/>
      <c r="N698" s="58" t="str">
        <f t="shared" si="3"/>
        <v/>
      </c>
    </row>
    <row r="699" spans="1:14" ht="12.5" x14ac:dyDescent="0.25">
      <c r="A699" s="63" t="str">
        <f t="shared" si="2"/>
        <v/>
      </c>
      <c r="B699" s="63"/>
      <c r="C699" s="63"/>
      <c r="D699" s="63"/>
      <c r="E699" s="63"/>
      <c r="F699" s="63"/>
      <c r="G699" s="63"/>
      <c r="H699" s="63"/>
      <c r="I699" s="63"/>
      <c r="J699" s="63"/>
      <c r="K699" s="59"/>
      <c r="L699" s="59"/>
      <c r="N699" s="58" t="str">
        <f t="shared" si="3"/>
        <v/>
      </c>
    </row>
    <row r="700" spans="1:14" ht="12.5" x14ac:dyDescent="0.25">
      <c r="A700" s="63" t="str">
        <f t="shared" si="2"/>
        <v/>
      </c>
      <c r="B700" s="63"/>
      <c r="C700" s="63"/>
      <c r="D700" s="63"/>
      <c r="E700" s="63"/>
      <c r="F700" s="63"/>
      <c r="G700" s="63"/>
      <c r="H700" s="63"/>
      <c r="I700" s="63"/>
      <c r="J700" s="63"/>
      <c r="K700" s="59"/>
      <c r="L700" s="59"/>
      <c r="N700" s="58" t="str">
        <f t="shared" si="3"/>
        <v/>
      </c>
    </row>
    <row r="701" spans="1:14" ht="12.5" x14ac:dyDescent="0.25">
      <c r="A701" s="63" t="str">
        <f t="shared" si="2"/>
        <v/>
      </c>
      <c r="B701" s="63"/>
      <c r="C701" s="63"/>
      <c r="D701" s="63"/>
      <c r="E701" s="63"/>
      <c r="F701" s="63"/>
      <c r="G701" s="63"/>
      <c r="H701" s="63"/>
      <c r="I701" s="63"/>
      <c r="J701" s="63"/>
      <c r="K701" s="59"/>
      <c r="L701" s="59"/>
      <c r="N701" s="58" t="str">
        <f t="shared" si="3"/>
        <v/>
      </c>
    </row>
    <row r="702" spans="1:14" ht="12.5" x14ac:dyDescent="0.25">
      <c r="A702" s="63" t="str">
        <f t="shared" si="2"/>
        <v/>
      </c>
      <c r="B702" s="63"/>
      <c r="C702" s="63"/>
      <c r="D702" s="63"/>
      <c r="E702" s="63"/>
      <c r="F702" s="63"/>
      <c r="G702" s="63"/>
      <c r="H702" s="63"/>
      <c r="I702" s="63"/>
      <c r="J702" s="63"/>
      <c r="K702" s="59"/>
      <c r="L702" s="59"/>
      <c r="N702" s="58" t="str">
        <f t="shared" si="3"/>
        <v/>
      </c>
    </row>
    <row r="703" spans="1:14" ht="12.5" x14ac:dyDescent="0.25">
      <c r="A703" s="63" t="str">
        <f t="shared" si="2"/>
        <v/>
      </c>
      <c r="B703" s="63"/>
      <c r="C703" s="63"/>
      <c r="D703" s="63"/>
      <c r="E703" s="63"/>
      <c r="F703" s="63"/>
      <c r="G703" s="63"/>
      <c r="H703" s="63"/>
      <c r="I703" s="63"/>
      <c r="J703" s="63"/>
      <c r="K703" s="59"/>
      <c r="L703" s="59"/>
      <c r="N703" s="58" t="str">
        <f t="shared" si="3"/>
        <v/>
      </c>
    </row>
    <row r="704" spans="1:14" ht="12.5" x14ac:dyDescent="0.25">
      <c r="A704" s="63" t="str">
        <f t="shared" si="2"/>
        <v/>
      </c>
      <c r="B704" s="63"/>
      <c r="C704" s="63"/>
      <c r="D704" s="63"/>
      <c r="E704" s="63"/>
      <c r="F704" s="63"/>
      <c r="G704" s="63"/>
      <c r="H704" s="63"/>
      <c r="I704" s="63"/>
      <c r="J704" s="63"/>
      <c r="K704" s="59"/>
      <c r="L704" s="59"/>
      <c r="N704" s="58" t="str">
        <f t="shared" si="3"/>
        <v/>
      </c>
    </row>
    <row r="705" spans="1:14" ht="12.5" x14ac:dyDescent="0.25">
      <c r="A705" s="63" t="str">
        <f t="shared" si="2"/>
        <v/>
      </c>
      <c r="B705" s="63"/>
      <c r="C705" s="63"/>
      <c r="D705" s="63"/>
      <c r="E705" s="63"/>
      <c r="F705" s="63"/>
      <c r="G705" s="63"/>
      <c r="H705" s="63"/>
      <c r="I705" s="63"/>
      <c r="J705" s="63"/>
      <c r="K705" s="59"/>
      <c r="L705" s="59"/>
      <c r="N705" s="58" t="str">
        <f t="shared" si="3"/>
        <v/>
      </c>
    </row>
    <row r="706" spans="1:14" ht="12.5" x14ac:dyDescent="0.25">
      <c r="A706" s="63" t="str">
        <f t="shared" si="2"/>
        <v/>
      </c>
      <c r="B706" s="63"/>
      <c r="C706" s="63"/>
      <c r="D706" s="63"/>
      <c r="E706" s="63"/>
      <c r="F706" s="63"/>
      <c r="G706" s="63"/>
      <c r="H706" s="63"/>
      <c r="I706" s="63"/>
      <c r="J706" s="63"/>
      <c r="K706" s="59"/>
      <c r="L706" s="59"/>
      <c r="N706" s="58" t="str">
        <f t="shared" si="3"/>
        <v/>
      </c>
    </row>
    <row r="707" spans="1:14" ht="12.5" x14ac:dyDescent="0.25">
      <c r="A707" s="63" t="str">
        <f t="shared" si="2"/>
        <v/>
      </c>
      <c r="B707" s="63"/>
      <c r="C707" s="63"/>
      <c r="D707" s="63"/>
      <c r="E707" s="63"/>
      <c r="F707" s="63"/>
      <c r="G707" s="63"/>
      <c r="H707" s="63"/>
      <c r="I707" s="63"/>
      <c r="J707" s="63"/>
      <c r="K707" s="59"/>
      <c r="L707" s="59"/>
      <c r="N707" s="58" t="str">
        <f t="shared" si="3"/>
        <v/>
      </c>
    </row>
    <row r="708" spans="1:14" ht="12.5" x14ac:dyDescent="0.25">
      <c r="A708" s="63" t="str">
        <f t="shared" si="2"/>
        <v/>
      </c>
      <c r="B708" s="63"/>
      <c r="C708" s="63"/>
      <c r="D708" s="63"/>
      <c r="E708" s="63"/>
      <c r="F708" s="63"/>
      <c r="G708" s="63"/>
      <c r="H708" s="63"/>
      <c r="I708" s="63"/>
      <c r="J708" s="63"/>
      <c r="K708" s="59"/>
      <c r="L708" s="59"/>
      <c r="N708" s="58" t="str">
        <f t="shared" si="3"/>
        <v/>
      </c>
    </row>
    <row r="709" spans="1:14" ht="12.5" x14ac:dyDescent="0.25">
      <c r="A709" s="63" t="str">
        <f t="shared" si="2"/>
        <v/>
      </c>
      <c r="B709" s="63"/>
      <c r="C709" s="63"/>
      <c r="D709" s="63"/>
      <c r="E709" s="63"/>
      <c r="F709" s="63"/>
      <c r="G709" s="63"/>
      <c r="H709" s="63"/>
      <c r="I709" s="63"/>
      <c r="J709" s="63"/>
      <c r="K709" s="59"/>
      <c r="L709" s="59"/>
      <c r="N709" s="58" t="str">
        <f t="shared" si="3"/>
        <v/>
      </c>
    </row>
    <row r="710" spans="1:14" ht="12.5" x14ac:dyDescent="0.25">
      <c r="A710" s="63" t="str">
        <f t="shared" si="2"/>
        <v/>
      </c>
      <c r="B710" s="63"/>
      <c r="C710" s="63"/>
      <c r="D710" s="63"/>
      <c r="E710" s="63"/>
      <c r="F710" s="63"/>
      <c r="G710" s="63"/>
      <c r="H710" s="63"/>
      <c r="I710" s="63"/>
      <c r="J710" s="63"/>
      <c r="K710" s="59"/>
      <c r="L710" s="59"/>
      <c r="N710" s="58" t="str">
        <f t="shared" si="3"/>
        <v/>
      </c>
    </row>
    <row r="711" spans="1:14" ht="12.5" x14ac:dyDescent="0.25">
      <c r="A711" s="63" t="str">
        <f t="shared" si="2"/>
        <v/>
      </c>
      <c r="B711" s="63"/>
      <c r="C711" s="63"/>
      <c r="D711" s="63"/>
      <c r="E711" s="63"/>
      <c r="F711" s="63"/>
      <c r="G711" s="63"/>
      <c r="H711" s="63"/>
      <c r="I711" s="63"/>
      <c r="J711" s="63"/>
      <c r="K711" s="59"/>
      <c r="L711" s="59"/>
      <c r="N711" s="58" t="str">
        <f t="shared" si="3"/>
        <v/>
      </c>
    </row>
    <row r="712" spans="1:14" ht="12.5" x14ac:dyDescent="0.25">
      <c r="A712" s="63" t="str">
        <f t="shared" si="2"/>
        <v/>
      </c>
      <c r="B712" s="63"/>
      <c r="C712" s="63"/>
      <c r="D712" s="63"/>
      <c r="E712" s="63"/>
      <c r="F712" s="63"/>
      <c r="G712" s="63"/>
      <c r="H712" s="63"/>
      <c r="I712" s="63"/>
      <c r="J712" s="63"/>
      <c r="K712" s="59"/>
      <c r="L712" s="59"/>
      <c r="N712" s="58" t="str">
        <f t="shared" si="3"/>
        <v/>
      </c>
    </row>
    <row r="713" spans="1:14" ht="12.5" x14ac:dyDescent="0.25">
      <c r="A713" s="63" t="str">
        <f t="shared" si="2"/>
        <v/>
      </c>
      <c r="B713" s="63"/>
      <c r="C713" s="63"/>
      <c r="D713" s="63"/>
      <c r="E713" s="63"/>
      <c r="F713" s="63"/>
      <c r="G713" s="63"/>
      <c r="H713" s="63"/>
      <c r="I713" s="63"/>
      <c r="J713" s="63"/>
      <c r="K713" s="59"/>
      <c r="L713" s="59"/>
      <c r="N713" s="58" t="str">
        <f t="shared" si="3"/>
        <v/>
      </c>
    </row>
    <row r="714" spans="1:14" ht="12.5" x14ac:dyDescent="0.25">
      <c r="A714" s="63" t="str">
        <f t="shared" si="2"/>
        <v/>
      </c>
      <c r="B714" s="63"/>
      <c r="C714" s="63"/>
      <c r="D714" s="63"/>
      <c r="E714" s="63"/>
      <c r="F714" s="63"/>
      <c r="G714" s="63"/>
      <c r="H714" s="63"/>
      <c r="I714" s="63"/>
      <c r="J714" s="63"/>
      <c r="K714" s="59"/>
      <c r="L714" s="59"/>
      <c r="N714" s="58" t="str">
        <f t="shared" si="3"/>
        <v/>
      </c>
    </row>
    <row r="715" spans="1:14" ht="12.5" x14ac:dyDescent="0.25">
      <c r="A715" s="63" t="str">
        <f t="shared" si="2"/>
        <v/>
      </c>
      <c r="B715" s="63"/>
      <c r="C715" s="63"/>
      <c r="D715" s="63"/>
      <c r="E715" s="63"/>
      <c r="F715" s="63"/>
      <c r="G715" s="63"/>
      <c r="H715" s="63"/>
      <c r="I715" s="63"/>
      <c r="J715" s="63"/>
      <c r="K715" s="59"/>
      <c r="L715" s="59"/>
      <c r="N715" s="58" t="str">
        <f t="shared" si="3"/>
        <v/>
      </c>
    </row>
    <row r="716" spans="1:14" ht="12.5" x14ac:dyDescent="0.25">
      <c r="A716" s="63" t="str">
        <f t="shared" si="2"/>
        <v/>
      </c>
      <c r="B716" s="63"/>
      <c r="C716" s="63"/>
      <c r="D716" s="63"/>
      <c r="E716" s="63"/>
      <c r="F716" s="63"/>
      <c r="G716" s="63"/>
      <c r="H716" s="63"/>
      <c r="I716" s="63"/>
      <c r="J716" s="63"/>
      <c r="K716" s="59"/>
      <c r="L716" s="59"/>
      <c r="N716" s="58" t="str">
        <f t="shared" si="3"/>
        <v/>
      </c>
    </row>
    <row r="717" spans="1:14" ht="12.5" x14ac:dyDescent="0.25">
      <c r="A717" s="63" t="str">
        <f t="shared" si="2"/>
        <v/>
      </c>
      <c r="B717" s="63"/>
      <c r="C717" s="63"/>
      <c r="D717" s="63"/>
      <c r="E717" s="63"/>
      <c r="F717" s="63"/>
      <c r="G717" s="63"/>
      <c r="H717" s="63"/>
      <c r="I717" s="63"/>
      <c r="J717" s="63"/>
      <c r="K717" s="59"/>
      <c r="L717" s="59"/>
      <c r="N717" s="58" t="str">
        <f t="shared" si="3"/>
        <v/>
      </c>
    </row>
    <row r="718" spans="1:14" ht="12.5" x14ac:dyDescent="0.25">
      <c r="A718" s="63" t="str">
        <f t="shared" si="2"/>
        <v/>
      </c>
      <c r="B718" s="63"/>
      <c r="C718" s="63"/>
      <c r="D718" s="63"/>
      <c r="E718" s="63"/>
      <c r="F718" s="63"/>
      <c r="G718" s="63"/>
      <c r="H718" s="63"/>
      <c r="I718" s="63"/>
      <c r="J718" s="63"/>
      <c r="K718" s="59"/>
      <c r="L718" s="59"/>
      <c r="N718" s="58" t="str">
        <f t="shared" si="3"/>
        <v/>
      </c>
    </row>
    <row r="719" spans="1:14" ht="12.5" x14ac:dyDescent="0.25">
      <c r="A719" s="63" t="str">
        <f t="shared" si="2"/>
        <v/>
      </c>
      <c r="B719" s="63"/>
      <c r="C719" s="63"/>
      <c r="D719" s="63"/>
      <c r="E719" s="63"/>
      <c r="F719" s="63"/>
      <c r="G719" s="63"/>
      <c r="H719" s="63"/>
      <c r="I719" s="63"/>
      <c r="J719" s="63"/>
      <c r="K719" s="59"/>
      <c r="L719" s="59"/>
      <c r="N719" s="58" t="str">
        <f t="shared" si="3"/>
        <v/>
      </c>
    </row>
    <row r="720" spans="1:14" ht="12.5" x14ac:dyDescent="0.25">
      <c r="A720" s="63" t="str">
        <f t="shared" si="2"/>
        <v/>
      </c>
      <c r="B720" s="63"/>
      <c r="C720" s="63"/>
      <c r="D720" s="63"/>
      <c r="E720" s="63"/>
      <c r="F720" s="63"/>
      <c r="G720" s="63"/>
      <c r="H720" s="63"/>
      <c r="I720" s="63"/>
      <c r="J720" s="63"/>
      <c r="K720" s="59"/>
      <c r="L720" s="59"/>
      <c r="N720" s="58" t="str">
        <f t="shared" si="3"/>
        <v/>
      </c>
    </row>
    <row r="721" spans="1:14" ht="12.5" x14ac:dyDescent="0.25">
      <c r="A721" s="63" t="str">
        <f t="shared" si="2"/>
        <v/>
      </c>
      <c r="B721" s="63"/>
      <c r="C721" s="63"/>
      <c r="D721" s="63"/>
      <c r="E721" s="63"/>
      <c r="F721" s="63"/>
      <c r="G721" s="63"/>
      <c r="H721" s="63"/>
      <c r="I721" s="63"/>
      <c r="J721" s="63"/>
      <c r="K721" s="59"/>
      <c r="L721" s="59"/>
      <c r="N721" s="58" t="str">
        <f t="shared" si="3"/>
        <v/>
      </c>
    </row>
    <row r="722" spans="1:14" ht="12.5" x14ac:dyDescent="0.25">
      <c r="A722" s="63" t="str">
        <f t="shared" si="2"/>
        <v/>
      </c>
      <c r="B722" s="63"/>
      <c r="C722" s="63"/>
      <c r="D722" s="63"/>
      <c r="E722" s="63"/>
      <c r="F722" s="63"/>
      <c r="G722" s="63"/>
      <c r="H722" s="63"/>
      <c r="I722" s="63"/>
      <c r="J722" s="63"/>
      <c r="K722" s="59"/>
      <c r="L722" s="59"/>
      <c r="N722" s="58" t="str">
        <f t="shared" si="3"/>
        <v/>
      </c>
    </row>
    <row r="723" spans="1:14" ht="12.5" x14ac:dyDescent="0.25">
      <c r="A723" s="63" t="str">
        <f t="shared" si="2"/>
        <v/>
      </c>
      <c r="B723" s="63"/>
      <c r="C723" s="63"/>
      <c r="D723" s="63"/>
      <c r="E723" s="63"/>
      <c r="F723" s="63"/>
      <c r="G723" s="63"/>
      <c r="H723" s="63"/>
      <c r="I723" s="63"/>
      <c r="J723" s="63"/>
      <c r="K723" s="59"/>
      <c r="L723" s="59"/>
      <c r="N723" s="58" t="str">
        <f t="shared" si="3"/>
        <v/>
      </c>
    </row>
    <row r="724" spans="1:14" ht="12.5" x14ac:dyDescent="0.25">
      <c r="A724" s="63" t="str">
        <f t="shared" si="2"/>
        <v/>
      </c>
      <c r="B724" s="63"/>
      <c r="C724" s="63"/>
      <c r="D724" s="63"/>
      <c r="E724" s="63"/>
      <c r="F724" s="63"/>
      <c r="G724" s="63"/>
      <c r="H724" s="63"/>
      <c r="I724" s="63"/>
      <c r="J724" s="63"/>
      <c r="K724" s="59"/>
      <c r="L724" s="59"/>
      <c r="N724" s="58" t="str">
        <f t="shared" si="3"/>
        <v/>
      </c>
    </row>
    <row r="725" spans="1:14" ht="12.5" x14ac:dyDescent="0.25">
      <c r="A725" s="63" t="str">
        <f t="shared" si="2"/>
        <v/>
      </c>
      <c r="B725" s="63"/>
      <c r="C725" s="63"/>
      <c r="D725" s="63"/>
      <c r="E725" s="63"/>
      <c r="F725" s="63"/>
      <c r="G725" s="63"/>
      <c r="H725" s="63"/>
      <c r="I725" s="63"/>
      <c r="J725" s="63"/>
      <c r="K725" s="59"/>
      <c r="L725" s="59"/>
      <c r="N725" s="58" t="str">
        <f t="shared" si="3"/>
        <v/>
      </c>
    </row>
    <row r="726" spans="1:14" ht="12.5" x14ac:dyDescent="0.25">
      <c r="A726" s="63" t="str">
        <f t="shared" si="2"/>
        <v/>
      </c>
      <c r="B726" s="63"/>
      <c r="C726" s="63"/>
      <c r="D726" s="63"/>
      <c r="E726" s="63"/>
      <c r="F726" s="63"/>
      <c r="G726" s="63"/>
      <c r="H726" s="63"/>
      <c r="I726" s="63"/>
      <c r="J726" s="63"/>
      <c r="K726" s="59"/>
      <c r="L726" s="59"/>
      <c r="N726" s="58" t="str">
        <f t="shared" si="3"/>
        <v/>
      </c>
    </row>
    <row r="727" spans="1:14" ht="12.5" x14ac:dyDescent="0.25">
      <c r="A727" s="63" t="str">
        <f t="shared" si="2"/>
        <v/>
      </c>
      <c r="B727" s="63"/>
      <c r="C727" s="63"/>
      <c r="D727" s="63"/>
      <c r="E727" s="63"/>
      <c r="F727" s="63"/>
      <c r="G727" s="63"/>
      <c r="H727" s="63"/>
      <c r="I727" s="63"/>
      <c r="J727" s="63"/>
      <c r="K727" s="59"/>
      <c r="L727" s="59"/>
      <c r="N727" s="58" t="str">
        <f t="shared" si="3"/>
        <v/>
      </c>
    </row>
    <row r="728" spans="1:14" ht="12.5" x14ac:dyDescent="0.25">
      <c r="A728" s="63" t="str">
        <f t="shared" si="2"/>
        <v/>
      </c>
      <c r="B728" s="63"/>
      <c r="C728" s="63"/>
      <c r="D728" s="63"/>
      <c r="E728" s="63"/>
      <c r="F728" s="63"/>
      <c r="G728" s="63"/>
      <c r="H728" s="63"/>
      <c r="I728" s="63"/>
      <c r="J728" s="63"/>
      <c r="K728" s="59"/>
      <c r="L728" s="59"/>
      <c r="N728" s="58" t="str">
        <f t="shared" si="3"/>
        <v/>
      </c>
    </row>
    <row r="729" spans="1:14" ht="12.5" x14ac:dyDescent="0.25">
      <c r="A729" s="63" t="str">
        <f t="shared" si="2"/>
        <v/>
      </c>
      <c r="B729" s="63"/>
      <c r="C729" s="63"/>
      <c r="D729" s="63"/>
      <c r="E729" s="63"/>
      <c r="F729" s="63"/>
      <c r="G729" s="63"/>
      <c r="H729" s="63"/>
      <c r="I729" s="63"/>
      <c r="J729" s="63"/>
      <c r="K729" s="59"/>
      <c r="L729" s="59"/>
      <c r="N729" s="58" t="str">
        <f t="shared" si="3"/>
        <v/>
      </c>
    </row>
    <row r="730" spans="1:14" ht="12.5" x14ac:dyDescent="0.25">
      <c r="A730" s="63" t="str">
        <f t="shared" si="2"/>
        <v/>
      </c>
      <c r="B730" s="63"/>
      <c r="C730" s="63"/>
      <c r="D730" s="63"/>
      <c r="E730" s="63"/>
      <c r="F730" s="63"/>
      <c r="G730" s="63"/>
      <c r="H730" s="63"/>
      <c r="I730" s="63"/>
      <c r="J730" s="63"/>
      <c r="K730" s="59"/>
      <c r="L730" s="59"/>
      <c r="N730" s="58" t="str">
        <f t="shared" si="3"/>
        <v/>
      </c>
    </row>
    <row r="731" spans="1:14" ht="12.5" x14ac:dyDescent="0.25">
      <c r="A731" s="63" t="str">
        <f t="shared" si="2"/>
        <v/>
      </c>
      <c r="B731" s="63"/>
      <c r="C731" s="63"/>
      <c r="D731" s="63"/>
      <c r="E731" s="63"/>
      <c r="F731" s="63"/>
      <c r="G731" s="63"/>
      <c r="H731" s="63"/>
      <c r="I731" s="63"/>
      <c r="J731" s="63"/>
      <c r="K731" s="59"/>
      <c r="L731" s="59"/>
      <c r="N731" s="58" t="str">
        <f t="shared" si="3"/>
        <v/>
      </c>
    </row>
    <row r="732" spans="1:14" ht="12.5" x14ac:dyDescent="0.25">
      <c r="A732" s="63" t="str">
        <f t="shared" si="2"/>
        <v/>
      </c>
      <c r="B732" s="63"/>
      <c r="C732" s="63"/>
      <c r="D732" s="63"/>
      <c r="E732" s="63"/>
      <c r="F732" s="63"/>
      <c r="G732" s="63"/>
      <c r="H732" s="63"/>
      <c r="I732" s="63"/>
      <c r="J732" s="63"/>
      <c r="K732" s="59"/>
      <c r="L732" s="59"/>
      <c r="N732" s="58" t="str">
        <f t="shared" si="3"/>
        <v/>
      </c>
    </row>
    <row r="733" spans="1:14" ht="12.5" x14ac:dyDescent="0.25">
      <c r="A733" s="63" t="str">
        <f t="shared" si="2"/>
        <v/>
      </c>
      <c r="B733" s="63"/>
      <c r="C733" s="63"/>
      <c r="D733" s="63"/>
      <c r="E733" s="63"/>
      <c r="F733" s="63"/>
      <c r="G733" s="63"/>
      <c r="H733" s="63"/>
      <c r="I733" s="63"/>
      <c r="J733" s="63"/>
      <c r="K733" s="59"/>
      <c r="L733" s="59"/>
      <c r="N733" s="58" t="str">
        <f t="shared" si="3"/>
        <v/>
      </c>
    </row>
    <row r="734" spans="1:14" ht="12.5" x14ac:dyDescent="0.25">
      <c r="A734" s="63" t="str">
        <f t="shared" si="2"/>
        <v/>
      </c>
      <c r="B734" s="63"/>
      <c r="C734" s="63"/>
      <c r="D734" s="63"/>
      <c r="E734" s="63"/>
      <c r="F734" s="63"/>
      <c r="G734" s="63"/>
      <c r="H734" s="63"/>
      <c r="I734" s="63"/>
      <c r="J734" s="63"/>
      <c r="K734" s="59"/>
      <c r="L734" s="59"/>
      <c r="N734" s="58" t="str">
        <f t="shared" si="3"/>
        <v/>
      </c>
    </row>
    <row r="735" spans="1:14" ht="12.5" x14ac:dyDescent="0.25">
      <c r="A735" s="63" t="str">
        <f t="shared" si="2"/>
        <v/>
      </c>
      <c r="B735" s="63"/>
      <c r="C735" s="63"/>
      <c r="D735" s="63"/>
      <c r="E735" s="63"/>
      <c r="F735" s="63"/>
      <c r="G735" s="63"/>
      <c r="H735" s="63"/>
      <c r="I735" s="63"/>
      <c r="J735" s="63"/>
      <c r="K735" s="59"/>
      <c r="L735" s="59"/>
      <c r="N735" s="58" t="str">
        <f t="shared" si="3"/>
        <v/>
      </c>
    </row>
    <row r="736" spans="1:14" ht="12.5" x14ac:dyDescent="0.25">
      <c r="A736" s="63" t="str">
        <f t="shared" si="2"/>
        <v/>
      </c>
      <c r="B736" s="63"/>
      <c r="C736" s="63"/>
      <c r="D736" s="63"/>
      <c r="E736" s="63"/>
      <c r="F736" s="63"/>
      <c r="G736" s="63"/>
      <c r="H736" s="63"/>
      <c r="I736" s="63"/>
      <c r="J736" s="63"/>
      <c r="K736" s="59"/>
      <c r="L736" s="59"/>
      <c r="N736" s="58" t="str">
        <f t="shared" si="3"/>
        <v/>
      </c>
    </row>
    <row r="737" spans="1:14" ht="12.5" x14ac:dyDescent="0.25">
      <c r="A737" s="63" t="str">
        <f t="shared" si="2"/>
        <v/>
      </c>
      <c r="B737" s="63"/>
      <c r="C737" s="63"/>
      <c r="D737" s="63"/>
      <c r="E737" s="63"/>
      <c r="F737" s="63"/>
      <c r="G737" s="63"/>
      <c r="H737" s="63"/>
      <c r="I737" s="63"/>
      <c r="J737" s="63"/>
      <c r="K737" s="59"/>
      <c r="L737" s="59"/>
      <c r="N737" s="58" t="str">
        <f t="shared" si="3"/>
        <v/>
      </c>
    </row>
    <row r="738" spans="1:14" ht="12.5" x14ac:dyDescent="0.25">
      <c r="A738" s="63" t="str">
        <f t="shared" si="2"/>
        <v/>
      </c>
      <c r="B738" s="63"/>
      <c r="C738" s="63"/>
      <c r="D738" s="63"/>
      <c r="E738" s="63"/>
      <c r="F738" s="63"/>
      <c r="G738" s="63"/>
      <c r="H738" s="63"/>
      <c r="I738" s="63"/>
      <c r="J738" s="63"/>
      <c r="K738" s="59"/>
      <c r="L738" s="59"/>
      <c r="N738" s="58" t="str">
        <f t="shared" si="3"/>
        <v/>
      </c>
    </row>
    <row r="739" spans="1:14" ht="12.5" x14ac:dyDescent="0.25">
      <c r="A739" s="63" t="str">
        <f t="shared" si="2"/>
        <v/>
      </c>
      <c r="B739" s="63"/>
      <c r="C739" s="63"/>
      <c r="D739" s="63"/>
      <c r="E739" s="63"/>
      <c r="F739" s="63"/>
      <c r="G739" s="63"/>
      <c r="H739" s="63"/>
      <c r="I739" s="63"/>
      <c r="J739" s="63"/>
      <c r="K739" s="59"/>
      <c r="L739" s="59"/>
      <c r="N739" s="58" t="str">
        <f t="shared" si="3"/>
        <v/>
      </c>
    </row>
    <row r="740" spans="1:14" ht="12.5" x14ac:dyDescent="0.25">
      <c r="A740" s="63" t="str">
        <f t="shared" si="2"/>
        <v/>
      </c>
      <c r="B740" s="63"/>
      <c r="C740" s="63"/>
      <c r="D740" s="63"/>
      <c r="E740" s="63"/>
      <c r="F740" s="63"/>
      <c r="G740" s="63"/>
      <c r="H740" s="63"/>
      <c r="I740" s="63"/>
      <c r="J740" s="63"/>
      <c r="K740" s="59"/>
      <c r="L740" s="59"/>
      <c r="N740" s="58" t="str">
        <f t="shared" si="3"/>
        <v/>
      </c>
    </row>
    <row r="741" spans="1:14" ht="12.5" x14ac:dyDescent="0.25">
      <c r="A741" s="63" t="str">
        <f t="shared" si="2"/>
        <v/>
      </c>
      <c r="B741" s="63"/>
      <c r="C741" s="63"/>
      <c r="D741" s="63"/>
      <c r="E741" s="63"/>
      <c r="F741" s="63"/>
      <c r="G741" s="63"/>
      <c r="H741" s="63"/>
      <c r="I741" s="63"/>
      <c r="J741" s="63"/>
      <c r="K741" s="59"/>
      <c r="L741" s="59"/>
      <c r="N741" s="58" t="str">
        <f t="shared" si="3"/>
        <v/>
      </c>
    </row>
    <row r="742" spans="1:14" ht="12.5" x14ac:dyDescent="0.25">
      <c r="A742" s="63" t="str">
        <f t="shared" si="2"/>
        <v/>
      </c>
      <c r="B742" s="63"/>
      <c r="C742" s="63"/>
      <c r="D742" s="63"/>
      <c r="E742" s="63"/>
      <c r="F742" s="63"/>
      <c r="G742" s="63"/>
      <c r="H742" s="63"/>
      <c r="I742" s="63"/>
      <c r="J742" s="63"/>
      <c r="K742" s="59"/>
      <c r="L742" s="59"/>
      <c r="N742" s="58" t="str">
        <f t="shared" si="3"/>
        <v/>
      </c>
    </row>
    <row r="743" spans="1:14" ht="12.5" x14ac:dyDescent="0.25">
      <c r="A743" s="63" t="str">
        <f t="shared" si="2"/>
        <v/>
      </c>
      <c r="B743" s="63"/>
      <c r="C743" s="63"/>
      <c r="D743" s="63"/>
      <c r="E743" s="63"/>
      <c r="F743" s="63"/>
      <c r="G743" s="63"/>
      <c r="H743" s="63"/>
      <c r="I743" s="63"/>
      <c r="J743" s="63"/>
      <c r="K743" s="59"/>
      <c r="L743" s="59"/>
      <c r="N743" s="58" t="str">
        <f t="shared" si="3"/>
        <v/>
      </c>
    </row>
    <row r="744" spans="1:14" ht="12.5" x14ac:dyDescent="0.25">
      <c r="A744" s="63" t="str">
        <f t="shared" si="2"/>
        <v/>
      </c>
      <c r="B744" s="63"/>
      <c r="C744" s="63"/>
      <c r="D744" s="63"/>
      <c r="E744" s="63"/>
      <c r="F744" s="63"/>
      <c r="G744" s="63"/>
      <c r="H744" s="63"/>
      <c r="I744" s="63"/>
      <c r="J744" s="63"/>
      <c r="K744" s="59"/>
      <c r="L744" s="59"/>
      <c r="N744" s="58" t="str">
        <f t="shared" si="3"/>
        <v/>
      </c>
    </row>
    <row r="745" spans="1:14" ht="12.5" x14ac:dyDescent="0.25">
      <c r="A745" s="63" t="str">
        <f t="shared" si="2"/>
        <v/>
      </c>
      <c r="B745" s="63"/>
      <c r="C745" s="63"/>
      <c r="D745" s="63"/>
      <c r="E745" s="63"/>
      <c r="F745" s="63"/>
      <c r="G745" s="63"/>
      <c r="H745" s="63"/>
      <c r="I745" s="63"/>
      <c r="J745" s="63"/>
      <c r="K745" s="59"/>
      <c r="L745" s="59"/>
      <c r="N745" s="58" t="str">
        <f t="shared" si="3"/>
        <v/>
      </c>
    </row>
    <row r="746" spans="1:14" ht="12.5" x14ac:dyDescent="0.25">
      <c r="A746" s="63" t="str">
        <f t="shared" si="2"/>
        <v/>
      </c>
      <c r="B746" s="63"/>
      <c r="C746" s="63"/>
      <c r="D746" s="63"/>
      <c r="E746" s="63"/>
      <c r="F746" s="63"/>
      <c r="G746" s="63"/>
      <c r="H746" s="63"/>
      <c r="I746" s="63"/>
      <c r="J746" s="63"/>
      <c r="K746" s="59"/>
      <c r="L746" s="59"/>
      <c r="N746" s="58" t="str">
        <f t="shared" si="3"/>
        <v/>
      </c>
    </row>
    <row r="747" spans="1:14" ht="12.5" x14ac:dyDescent="0.25">
      <c r="A747" s="63" t="str">
        <f t="shared" si="2"/>
        <v/>
      </c>
      <c r="B747" s="63"/>
      <c r="C747" s="63"/>
      <c r="D747" s="63"/>
      <c r="E747" s="63"/>
      <c r="F747" s="63"/>
      <c r="G747" s="63"/>
      <c r="H747" s="63"/>
      <c r="I747" s="63"/>
      <c r="J747" s="63"/>
      <c r="K747" s="59"/>
      <c r="L747" s="59"/>
      <c r="N747" s="58" t="str">
        <f t="shared" si="3"/>
        <v/>
      </c>
    </row>
    <row r="748" spans="1:14" ht="12.5" x14ac:dyDescent="0.25">
      <c r="A748" s="63" t="str">
        <f t="shared" si="2"/>
        <v/>
      </c>
      <c r="B748" s="63"/>
      <c r="C748" s="63"/>
      <c r="D748" s="63"/>
      <c r="E748" s="63"/>
      <c r="F748" s="63"/>
      <c r="G748" s="63"/>
      <c r="H748" s="63"/>
      <c r="I748" s="63"/>
      <c r="J748" s="63"/>
      <c r="K748" s="59"/>
      <c r="L748" s="59"/>
      <c r="N748" s="58" t="str">
        <f t="shared" si="3"/>
        <v/>
      </c>
    </row>
    <row r="749" spans="1:14" ht="12.5" x14ac:dyDescent="0.25">
      <c r="A749" s="63" t="str">
        <f t="shared" si="2"/>
        <v/>
      </c>
      <c r="B749" s="63"/>
      <c r="C749" s="63"/>
      <c r="D749" s="63"/>
      <c r="E749" s="63"/>
      <c r="F749" s="63"/>
      <c r="G749" s="63"/>
      <c r="H749" s="63"/>
      <c r="I749" s="63"/>
      <c r="J749" s="63"/>
      <c r="K749" s="59"/>
      <c r="L749" s="59"/>
      <c r="N749" s="58" t="str">
        <f t="shared" si="3"/>
        <v/>
      </c>
    </row>
    <row r="750" spans="1:14" ht="12.5" x14ac:dyDescent="0.25">
      <c r="A750" s="63" t="str">
        <f t="shared" si="2"/>
        <v/>
      </c>
      <c r="B750" s="63"/>
      <c r="C750" s="63"/>
      <c r="D750" s="63"/>
      <c r="E750" s="63"/>
      <c r="F750" s="63"/>
      <c r="G750" s="63"/>
      <c r="H750" s="63"/>
      <c r="I750" s="63"/>
      <c r="J750" s="63"/>
      <c r="K750" s="59"/>
      <c r="L750" s="59"/>
      <c r="N750" s="58" t="str">
        <f t="shared" si="3"/>
        <v/>
      </c>
    </row>
    <row r="751" spans="1:14" ht="12.5" x14ac:dyDescent="0.25">
      <c r="A751" s="63" t="str">
        <f t="shared" si="2"/>
        <v/>
      </c>
      <c r="B751" s="63"/>
      <c r="C751" s="63"/>
      <c r="D751" s="63"/>
      <c r="E751" s="63"/>
      <c r="F751" s="63"/>
      <c r="G751" s="63"/>
      <c r="H751" s="63"/>
      <c r="I751" s="63"/>
      <c r="J751" s="63"/>
      <c r="K751" s="59"/>
      <c r="L751" s="59"/>
      <c r="N751" s="58" t="str">
        <f t="shared" si="3"/>
        <v/>
      </c>
    </row>
    <row r="752" spans="1:14" ht="12.5" x14ac:dyDescent="0.25">
      <c r="A752" s="63" t="str">
        <f t="shared" si="2"/>
        <v/>
      </c>
      <c r="B752" s="63"/>
      <c r="C752" s="63"/>
      <c r="D752" s="63"/>
      <c r="E752" s="63"/>
      <c r="F752" s="63"/>
      <c r="G752" s="63"/>
      <c r="H752" s="63"/>
      <c r="I752" s="63"/>
      <c r="J752" s="63"/>
      <c r="K752" s="59"/>
      <c r="L752" s="59"/>
      <c r="N752" s="58" t="str">
        <f t="shared" si="3"/>
        <v/>
      </c>
    </row>
    <row r="753" spans="1:14" ht="12.5" x14ac:dyDescent="0.25">
      <c r="A753" s="63" t="str">
        <f t="shared" si="2"/>
        <v/>
      </c>
      <c r="B753" s="63"/>
      <c r="C753" s="63"/>
      <c r="D753" s="63"/>
      <c r="E753" s="63"/>
      <c r="F753" s="63"/>
      <c r="G753" s="63"/>
      <c r="H753" s="63"/>
      <c r="I753" s="63"/>
      <c r="J753" s="63"/>
      <c r="K753" s="59"/>
      <c r="L753" s="59"/>
      <c r="N753" s="58" t="str">
        <f t="shared" si="3"/>
        <v/>
      </c>
    </row>
    <row r="754" spans="1:14" ht="12.5" x14ac:dyDescent="0.25">
      <c r="A754" s="63" t="str">
        <f t="shared" si="2"/>
        <v/>
      </c>
      <c r="B754" s="63"/>
      <c r="C754" s="63"/>
      <c r="D754" s="63"/>
      <c r="E754" s="63"/>
      <c r="F754" s="63"/>
      <c r="G754" s="63"/>
      <c r="H754" s="63"/>
      <c r="I754" s="63"/>
      <c r="J754" s="63"/>
      <c r="K754" s="59"/>
      <c r="L754" s="59"/>
      <c r="N754" s="58" t="str">
        <f t="shared" si="3"/>
        <v/>
      </c>
    </row>
    <row r="755" spans="1:14" ht="12.5" x14ac:dyDescent="0.25">
      <c r="A755" s="63" t="str">
        <f t="shared" si="2"/>
        <v/>
      </c>
      <c r="B755" s="63"/>
      <c r="C755" s="63"/>
      <c r="D755" s="63"/>
      <c r="E755" s="63"/>
      <c r="F755" s="63"/>
      <c r="G755" s="63"/>
      <c r="H755" s="63"/>
      <c r="I755" s="63"/>
      <c r="J755" s="63"/>
      <c r="K755" s="59"/>
      <c r="L755" s="59"/>
      <c r="N755" s="58" t="str">
        <f t="shared" si="3"/>
        <v/>
      </c>
    </row>
    <row r="756" spans="1:14" ht="12.5" x14ac:dyDescent="0.25">
      <c r="A756" s="63" t="str">
        <f t="shared" si="2"/>
        <v/>
      </c>
      <c r="B756" s="63"/>
      <c r="C756" s="63"/>
      <c r="D756" s="63"/>
      <c r="E756" s="63"/>
      <c r="F756" s="63"/>
      <c r="G756" s="63"/>
      <c r="H756" s="63"/>
      <c r="I756" s="63"/>
      <c r="J756" s="63"/>
      <c r="K756" s="59"/>
      <c r="L756" s="59"/>
      <c r="N756" s="58" t="str">
        <f t="shared" si="3"/>
        <v/>
      </c>
    </row>
    <row r="757" spans="1:14" ht="12.5" x14ac:dyDescent="0.25">
      <c r="A757" s="63" t="str">
        <f t="shared" si="2"/>
        <v/>
      </c>
      <c r="B757" s="63"/>
      <c r="C757" s="63"/>
      <c r="D757" s="63"/>
      <c r="E757" s="63"/>
      <c r="F757" s="63"/>
      <c r="G757" s="63"/>
      <c r="H757" s="63"/>
      <c r="I757" s="63"/>
      <c r="J757" s="63"/>
      <c r="K757" s="59"/>
      <c r="L757" s="59"/>
      <c r="N757" s="58" t="str">
        <f t="shared" si="3"/>
        <v/>
      </c>
    </row>
    <row r="758" spans="1:14" ht="12.5" x14ac:dyDescent="0.25">
      <c r="A758" s="63" t="str">
        <f t="shared" si="2"/>
        <v/>
      </c>
      <c r="B758" s="63"/>
      <c r="C758" s="63"/>
      <c r="D758" s="63"/>
      <c r="E758" s="63"/>
      <c r="F758" s="63"/>
      <c r="G758" s="63"/>
      <c r="H758" s="63"/>
      <c r="I758" s="63"/>
      <c r="J758" s="63"/>
      <c r="K758" s="59"/>
      <c r="L758" s="59"/>
      <c r="N758" s="58" t="str">
        <f t="shared" si="3"/>
        <v/>
      </c>
    </row>
    <row r="759" spans="1:14" ht="12.5" x14ac:dyDescent="0.25">
      <c r="A759" s="63" t="str">
        <f t="shared" si="2"/>
        <v/>
      </c>
      <c r="B759" s="63"/>
      <c r="C759" s="63"/>
      <c r="D759" s="63"/>
      <c r="E759" s="63"/>
      <c r="F759" s="63"/>
      <c r="G759" s="63"/>
      <c r="H759" s="63"/>
      <c r="I759" s="63"/>
      <c r="J759" s="63"/>
      <c r="K759" s="59"/>
      <c r="L759" s="59"/>
      <c r="N759" s="58" t="str">
        <f t="shared" si="3"/>
        <v/>
      </c>
    </row>
    <row r="760" spans="1:14" ht="12.5" x14ac:dyDescent="0.25">
      <c r="A760" s="63" t="str">
        <f t="shared" si="2"/>
        <v/>
      </c>
      <c r="B760" s="63"/>
      <c r="C760" s="63"/>
      <c r="D760" s="63"/>
      <c r="E760" s="63"/>
      <c r="F760" s="63"/>
      <c r="G760" s="63"/>
      <c r="H760" s="63"/>
      <c r="I760" s="63"/>
      <c r="J760" s="63"/>
      <c r="K760" s="59"/>
      <c r="L760" s="59"/>
      <c r="N760" s="58" t="str">
        <f t="shared" si="3"/>
        <v/>
      </c>
    </row>
    <row r="761" spans="1:14" ht="12.5" x14ac:dyDescent="0.25">
      <c r="A761" s="63" t="str">
        <f t="shared" si="2"/>
        <v/>
      </c>
      <c r="B761" s="63"/>
      <c r="C761" s="63"/>
      <c r="D761" s="63"/>
      <c r="E761" s="63"/>
      <c r="F761" s="63"/>
      <c r="G761" s="63"/>
      <c r="H761" s="63"/>
      <c r="I761" s="63"/>
      <c r="J761" s="63"/>
      <c r="K761" s="59"/>
      <c r="L761" s="59"/>
      <c r="N761" s="58" t="str">
        <f t="shared" si="3"/>
        <v/>
      </c>
    </row>
    <row r="762" spans="1:14" ht="12.5" x14ac:dyDescent="0.25">
      <c r="A762" s="63" t="str">
        <f t="shared" si="2"/>
        <v/>
      </c>
      <c r="B762" s="63"/>
      <c r="C762" s="63"/>
      <c r="D762" s="63"/>
      <c r="E762" s="63"/>
      <c r="F762" s="63"/>
      <c r="G762" s="63"/>
      <c r="H762" s="63"/>
      <c r="I762" s="63"/>
      <c r="J762" s="63"/>
      <c r="K762" s="59"/>
      <c r="L762" s="59"/>
      <c r="N762" s="58" t="str">
        <f t="shared" si="3"/>
        <v/>
      </c>
    </row>
    <row r="763" spans="1:14" ht="12.5" x14ac:dyDescent="0.25">
      <c r="A763" s="63" t="str">
        <f t="shared" si="2"/>
        <v/>
      </c>
      <c r="B763" s="63"/>
      <c r="C763" s="63"/>
      <c r="D763" s="63"/>
      <c r="E763" s="63"/>
      <c r="F763" s="63"/>
      <c r="G763" s="63"/>
      <c r="H763" s="63"/>
      <c r="I763" s="63"/>
      <c r="J763" s="63"/>
      <c r="K763" s="59"/>
      <c r="L763" s="59"/>
      <c r="N763" s="58" t="str">
        <f t="shared" si="3"/>
        <v/>
      </c>
    </row>
    <row r="764" spans="1:14" ht="12.5" x14ac:dyDescent="0.25">
      <c r="A764" s="63" t="str">
        <f t="shared" si="2"/>
        <v/>
      </c>
      <c r="B764" s="63"/>
      <c r="C764" s="63"/>
      <c r="D764" s="63"/>
      <c r="E764" s="63"/>
      <c r="F764" s="63"/>
      <c r="G764" s="63"/>
      <c r="H764" s="63"/>
      <c r="I764" s="63"/>
      <c r="J764" s="63"/>
      <c r="K764" s="59"/>
      <c r="L764" s="59"/>
      <c r="N764" s="58" t="str">
        <f t="shared" si="3"/>
        <v/>
      </c>
    </row>
    <row r="765" spans="1:14" ht="12.5" x14ac:dyDescent="0.25">
      <c r="A765" s="63" t="str">
        <f t="shared" si="2"/>
        <v/>
      </c>
      <c r="B765" s="63"/>
      <c r="C765" s="63"/>
      <c r="D765" s="63"/>
      <c r="E765" s="63"/>
      <c r="F765" s="63"/>
      <c r="G765" s="63"/>
      <c r="H765" s="63"/>
      <c r="I765" s="63"/>
      <c r="J765" s="63"/>
      <c r="K765" s="59"/>
      <c r="L765" s="59"/>
      <c r="N765" s="58" t="str">
        <f t="shared" si="3"/>
        <v/>
      </c>
    </row>
    <row r="766" spans="1:14" ht="12.5" x14ac:dyDescent="0.25">
      <c r="A766" s="63" t="str">
        <f t="shared" si="2"/>
        <v/>
      </c>
      <c r="B766" s="63"/>
      <c r="C766" s="63"/>
      <c r="D766" s="63"/>
      <c r="E766" s="63"/>
      <c r="F766" s="63"/>
      <c r="G766" s="63"/>
      <c r="H766" s="63"/>
      <c r="I766" s="63"/>
      <c r="J766" s="63"/>
      <c r="K766" s="59"/>
      <c r="L766" s="59"/>
      <c r="N766" s="58" t="str">
        <f t="shared" si="3"/>
        <v/>
      </c>
    </row>
    <row r="767" spans="1:14" ht="12.5" x14ac:dyDescent="0.25">
      <c r="A767" s="63" t="str">
        <f t="shared" si="2"/>
        <v/>
      </c>
      <c r="B767" s="63"/>
      <c r="C767" s="63"/>
      <c r="D767" s="63"/>
      <c r="E767" s="63"/>
      <c r="F767" s="63"/>
      <c r="G767" s="63"/>
      <c r="H767" s="63"/>
      <c r="I767" s="63"/>
      <c r="J767" s="63"/>
      <c r="K767" s="59"/>
      <c r="L767" s="59"/>
      <c r="N767" s="58" t="str">
        <f t="shared" si="3"/>
        <v/>
      </c>
    </row>
    <row r="768" spans="1:14" ht="12.5" x14ac:dyDescent="0.25">
      <c r="A768" s="63" t="str">
        <f t="shared" si="2"/>
        <v/>
      </c>
      <c r="B768" s="63"/>
      <c r="C768" s="63"/>
      <c r="D768" s="63"/>
      <c r="E768" s="63"/>
      <c r="F768" s="63"/>
      <c r="G768" s="63"/>
      <c r="H768" s="63"/>
      <c r="I768" s="63"/>
      <c r="J768" s="63"/>
      <c r="K768" s="59"/>
      <c r="L768" s="59"/>
      <c r="N768" s="58" t="str">
        <f t="shared" si="3"/>
        <v/>
      </c>
    </row>
    <row r="769" spans="1:14" ht="12.5" x14ac:dyDescent="0.25">
      <c r="A769" s="63" t="str">
        <f t="shared" si="2"/>
        <v/>
      </c>
      <c r="B769" s="63"/>
      <c r="C769" s="63"/>
      <c r="D769" s="63"/>
      <c r="E769" s="63"/>
      <c r="F769" s="63"/>
      <c r="G769" s="63"/>
      <c r="H769" s="63"/>
      <c r="I769" s="63"/>
      <c r="J769" s="63"/>
      <c r="K769" s="59"/>
      <c r="L769" s="59"/>
      <c r="N769" s="58" t="str">
        <f t="shared" si="3"/>
        <v/>
      </c>
    </row>
    <row r="770" spans="1:14" ht="12.5" x14ac:dyDescent="0.25">
      <c r="A770" s="63" t="str">
        <f t="shared" si="2"/>
        <v/>
      </c>
      <c r="B770" s="63"/>
      <c r="C770" s="63"/>
      <c r="D770" s="63"/>
      <c r="E770" s="63"/>
      <c r="F770" s="63"/>
      <c r="G770" s="63"/>
      <c r="H770" s="63"/>
      <c r="I770" s="63"/>
      <c r="J770" s="63"/>
      <c r="K770" s="59"/>
      <c r="L770" s="59"/>
      <c r="N770" s="58" t="str">
        <f t="shared" si="3"/>
        <v/>
      </c>
    </row>
    <row r="771" spans="1:14" ht="12.5" x14ac:dyDescent="0.25">
      <c r="A771" s="63" t="str">
        <f t="shared" si="2"/>
        <v/>
      </c>
      <c r="B771" s="63"/>
      <c r="C771" s="63"/>
      <c r="D771" s="63"/>
      <c r="E771" s="63"/>
      <c r="F771" s="63"/>
      <c r="G771" s="63"/>
      <c r="H771" s="63"/>
      <c r="I771" s="63"/>
      <c r="J771" s="63"/>
      <c r="K771" s="59"/>
      <c r="L771" s="59"/>
      <c r="N771" s="58" t="str">
        <f t="shared" si="3"/>
        <v/>
      </c>
    </row>
    <row r="772" spans="1:14" ht="12.5" x14ac:dyDescent="0.25">
      <c r="A772" s="63" t="str">
        <f t="shared" si="2"/>
        <v/>
      </c>
      <c r="B772" s="63"/>
      <c r="C772" s="63"/>
      <c r="D772" s="63"/>
      <c r="E772" s="63"/>
      <c r="F772" s="63"/>
      <c r="G772" s="63"/>
      <c r="H772" s="63"/>
      <c r="I772" s="63"/>
      <c r="J772" s="63"/>
      <c r="K772" s="59"/>
      <c r="L772" s="59"/>
      <c r="N772" s="58" t="str">
        <f t="shared" si="3"/>
        <v/>
      </c>
    </row>
    <row r="773" spans="1:14" ht="12.5" x14ac:dyDescent="0.25">
      <c r="A773" s="63" t="str">
        <f t="shared" si="2"/>
        <v/>
      </c>
      <c r="B773" s="63"/>
      <c r="C773" s="63"/>
      <c r="D773" s="63"/>
      <c r="E773" s="63"/>
      <c r="F773" s="63"/>
      <c r="G773" s="63"/>
      <c r="H773" s="63"/>
      <c r="I773" s="63"/>
      <c r="J773" s="63"/>
      <c r="K773" s="59"/>
      <c r="L773" s="59"/>
      <c r="N773" s="58" t="str">
        <f t="shared" si="3"/>
        <v/>
      </c>
    </row>
    <row r="774" spans="1:14" ht="12.5" x14ac:dyDescent="0.25">
      <c r="A774" s="63" t="str">
        <f t="shared" si="2"/>
        <v/>
      </c>
      <c r="B774" s="63"/>
      <c r="C774" s="63"/>
      <c r="D774" s="63"/>
      <c r="E774" s="63"/>
      <c r="F774" s="63"/>
      <c r="G774" s="63"/>
      <c r="H774" s="63"/>
      <c r="I774" s="63"/>
      <c r="J774" s="63"/>
      <c r="K774" s="59"/>
      <c r="L774" s="59"/>
      <c r="N774" s="58" t="str">
        <f t="shared" si="3"/>
        <v/>
      </c>
    </row>
    <row r="775" spans="1:14" ht="12.5" x14ac:dyDescent="0.25">
      <c r="A775" s="63" t="str">
        <f t="shared" si="2"/>
        <v/>
      </c>
      <c r="B775" s="63"/>
      <c r="C775" s="63"/>
      <c r="D775" s="63"/>
      <c r="E775" s="63"/>
      <c r="F775" s="63"/>
      <c r="G775" s="63"/>
      <c r="H775" s="63"/>
      <c r="I775" s="63"/>
      <c r="J775" s="63"/>
      <c r="K775" s="59"/>
      <c r="L775" s="59"/>
      <c r="N775" s="58" t="str">
        <f t="shared" si="3"/>
        <v/>
      </c>
    </row>
    <row r="776" spans="1:14" ht="12.5" x14ac:dyDescent="0.25">
      <c r="A776" s="63" t="str">
        <f t="shared" si="2"/>
        <v/>
      </c>
      <c r="B776" s="63"/>
      <c r="C776" s="63"/>
      <c r="D776" s="63"/>
      <c r="E776" s="63"/>
      <c r="F776" s="63"/>
      <c r="G776" s="63"/>
      <c r="H776" s="63"/>
      <c r="I776" s="63"/>
      <c r="J776" s="63"/>
      <c r="K776" s="59"/>
      <c r="L776" s="59"/>
      <c r="N776" s="58" t="str">
        <f t="shared" si="3"/>
        <v/>
      </c>
    </row>
    <row r="777" spans="1:14" ht="12.5" x14ac:dyDescent="0.25">
      <c r="A777" s="63" t="str">
        <f t="shared" si="2"/>
        <v/>
      </c>
      <c r="B777" s="63"/>
      <c r="C777" s="63"/>
      <c r="D777" s="63"/>
      <c r="E777" s="63"/>
      <c r="F777" s="63"/>
      <c r="G777" s="63"/>
      <c r="H777" s="63"/>
      <c r="I777" s="63"/>
      <c r="J777" s="63"/>
      <c r="K777" s="59"/>
      <c r="L777" s="59"/>
      <c r="N777" s="58" t="str">
        <f t="shared" si="3"/>
        <v/>
      </c>
    </row>
    <row r="778" spans="1:14" ht="12.5" x14ac:dyDescent="0.25">
      <c r="A778" s="63" t="str">
        <f t="shared" si="2"/>
        <v/>
      </c>
      <c r="B778" s="63"/>
      <c r="C778" s="63"/>
      <c r="D778" s="63"/>
      <c r="E778" s="63"/>
      <c r="F778" s="63"/>
      <c r="G778" s="63"/>
      <c r="H778" s="63"/>
      <c r="I778" s="63"/>
      <c r="J778" s="63"/>
      <c r="K778" s="59"/>
      <c r="L778" s="59"/>
      <c r="N778" s="58" t="str">
        <f t="shared" si="3"/>
        <v/>
      </c>
    </row>
    <row r="779" spans="1:14" ht="12.5" x14ac:dyDescent="0.25">
      <c r="A779" s="63" t="str">
        <f t="shared" si="2"/>
        <v/>
      </c>
      <c r="B779" s="63"/>
      <c r="C779" s="63"/>
      <c r="D779" s="63"/>
      <c r="E779" s="63"/>
      <c r="F779" s="63"/>
      <c r="G779" s="63"/>
      <c r="H779" s="63"/>
      <c r="I779" s="63"/>
      <c r="J779" s="63"/>
      <c r="K779" s="59"/>
      <c r="L779" s="59"/>
      <c r="N779" s="58" t="str">
        <f t="shared" si="3"/>
        <v/>
      </c>
    </row>
    <row r="780" spans="1:14" ht="12.5" x14ac:dyDescent="0.25">
      <c r="A780" s="63" t="str">
        <f t="shared" si="2"/>
        <v/>
      </c>
      <c r="B780" s="63"/>
      <c r="C780" s="63"/>
      <c r="D780" s="63"/>
      <c r="E780" s="63"/>
      <c r="F780" s="63"/>
      <c r="G780" s="63"/>
      <c r="H780" s="63"/>
      <c r="I780" s="63"/>
      <c r="J780" s="63"/>
      <c r="K780" s="59"/>
      <c r="L780" s="59"/>
      <c r="N780" s="58" t="str">
        <f t="shared" si="3"/>
        <v/>
      </c>
    </row>
    <row r="781" spans="1:14" ht="12.5" x14ac:dyDescent="0.25">
      <c r="A781" s="63" t="str">
        <f t="shared" si="2"/>
        <v/>
      </c>
      <c r="B781" s="63"/>
      <c r="C781" s="63"/>
      <c r="D781" s="63"/>
      <c r="E781" s="63"/>
      <c r="F781" s="63"/>
      <c r="G781" s="63"/>
      <c r="H781" s="63"/>
      <c r="I781" s="63"/>
      <c r="J781" s="63"/>
      <c r="K781" s="59"/>
      <c r="L781" s="59"/>
      <c r="N781" s="58" t="str">
        <f t="shared" si="3"/>
        <v/>
      </c>
    </row>
    <row r="782" spans="1:14" ht="12.5" x14ac:dyDescent="0.25">
      <c r="A782" s="63" t="str">
        <f t="shared" si="2"/>
        <v/>
      </c>
      <c r="B782" s="63"/>
      <c r="C782" s="63"/>
      <c r="D782" s="63"/>
      <c r="E782" s="63"/>
      <c r="F782" s="63"/>
      <c r="G782" s="63"/>
      <c r="H782" s="63"/>
      <c r="I782" s="63"/>
      <c r="J782" s="63"/>
      <c r="K782" s="59"/>
      <c r="L782" s="59"/>
      <c r="N782" s="58" t="str">
        <f t="shared" si="3"/>
        <v/>
      </c>
    </row>
    <row r="783" spans="1:14" ht="12.5" x14ac:dyDescent="0.25">
      <c r="A783" s="63" t="str">
        <f t="shared" si="2"/>
        <v/>
      </c>
      <c r="B783" s="63"/>
      <c r="C783" s="63"/>
      <c r="D783" s="63"/>
      <c r="E783" s="63"/>
      <c r="F783" s="63"/>
      <c r="G783" s="63"/>
      <c r="H783" s="63"/>
      <c r="I783" s="63"/>
      <c r="J783" s="63"/>
      <c r="K783" s="59"/>
      <c r="L783" s="59"/>
      <c r="N783" s="58" t="str">
        <f t="shared" si="3"/>
        <v/>
      </c>
    </row>
    <row r="784" spans="1:14" ht="12.5" x14ac:dyDescent="0.25">
      <c r="A784" s="63" t="str">
        <f t="shared" si="2"/>
        <v/>
      </c>
      <c r="B784" s="63"/>
      <c r="C784" s="63"/>
      <c r="D784" s="63"/>
      <c r="E784" s="63"/>
      <c r="F784" s="63"/>
      <c r="G784" s="63"/>
      <c r="H784" s="63"/>
      <c r="I784" s="63"/>
      <c r="J784" s="63"/>
      <c r="K784" s="59"/>
      <c r="L784" s="59"/>
      <c r="N784" s="58" t="str">
        <f t="shared" si="3"/>
        <v/>
      </c>
    </row>
    <row r="785" spans="1:14" ht="12.5" x14ac:dyDescent="0.25">
      <c r="A785" s="63" t="str">
        <f t="shared" si="2"/>
        <v/>
      </c>
      <c r="B785" s="63"/>
      <c r="C785" s="63"/>
      <c r="D785" s="63"/>
      <c r="E785" s="63"/>
      <c r="F785" s="63"/>
      <c r="G785" s="63"/>
      <c r="H785" s="63"/>
      <c r="I785" s="63"/>
      <c r="J785" s="63"/>
      <c r="K785" s="59"/>
      <c r="L785" s="59"/>
      <c r="N785" s="58" t="str">
        <f t="shared" si="3"/>
        <v/>
      </c>
    </row>
    <row r="786" spans="1:14" ht="12.5" x14ac:dyDescent="0.25">
      <c r="A786" s="63" t="str">
        <f t="shared" si="2"/>
        <v/>
      </c>
      <c r="B786" s="63"/>
      <c r="C786" s="63"/>
      <c r="D786" s="63"/>
      <c r="E786" s="63"/>
      <c r="F786" s="63"/>
      <c r="G786" s="63"/>
      <c r="H786" s="63"/>
      <c r="I786" s="63"/>
      <c r="J786" s="63"/>
      <c r="K786" s="59"/>
      <c r="L786" s="59"/>
      <c r="N786" s="58" t="str">
        <f t="shared" si="3"/>
        <v/>
      </c>
    </row>
    <row r="787" spans="1:14" ht="12.5" x14ac:dyDescent="0.25">
      <c r="A787" s="63" t="str">
        <f t="shared" si="2"/>
        <v/>
      </c>
      <c r="B787" s="63"/>
      <c r="C787" s="63"/>
      <c r="D787" s="63"/>
      <c r="E787" s="63"/>
      <c r="F787" s="63"/>
      <c r="G787" s="63"/>
      <c r="H787" s="63"/>
      <c r="I787" s="63"/>
      <c r="J787" s="63"/>
      <c r="K787" s="59"/>
      <c r="L787" s="59"/>
      <c r="N787" s="58" t="str">
        <f t="shared" si="3"/>
        <v/>
      </c>
    </row>
    <row r="788" spans="1:14" ht="12.5" x14ac:dyDescent="0.25">
      <c r="A788" s="63" t="str">
        <f t="shared" si="2"/>
        <v/>
      </c>
      <c r="B788" s="63"/>
      <c r="C788" s="63"/>
      <c r="D788" s="63"/>
      <c r="E788" s="63"/>
      <c r="F788" s="63"/>
      <c r="G788" s="63"/>
      <c r="H788" s="63"/>
      <c r="I788" s="63"/>
      <c r="J788" s="63"/>
      <c r="K788" s="59"/>
      <c r="L788" s="59"/>
      <c r="N788" s="58" t="str">
        <f t="shared" si="3"/>
        <v/>
      </c>
    </row>
    <row r="789" spans="1:14" ht="12.5" x14ac:dyDescent="0.25">
      <c r="A789" s="63" t="str">
        <f t="shared" si="2"/>
        <v/>
      </c>
      <c r="B789" s="63"/>
      <c r="C789" s="63"/>
      <c r="D789" s="63"/>
      <c r="E789" s="63"/>
      <c r="F789" s="63"/>
      <c r="G789" s="63"/>
      <c r="H789" s="63"/>
      <c r="I789" s="63"/>
      <c r="J789" s="63"/>
      <c r="K789" s="59"/>
      <c r="L789" s="59"/>
      <c r="N789" s="58" t="str">
        <f t="shared" si="3"/>
        <v/>
      </c>
    </row>
    <row r="790" spans="1:14" ht="12.5" x14ac:dyDescent="0.25">
      <c r="A790" s="63" t="str">
        <f t="shared" si="2"/>
        <v/>
      </c>
      <c r="B790" s="63"/>
      <c r="C790" s="63"/>
      <c r="D790" s="63"/>
      <c r="E790" s="63"/>
      <c r="F790" s="63"/>
      <c r="G790" s="63"/>
      <c r="H790" s="63"/>
      <c r="I790" s="63"/>
      <c r="J790" s="63"/>
      <c r="K790" s="59"/>
      <c r="L790" s="59"/>
      <c r="N790" s="58" t="str">
        <f t="shared" si="3"/>
        <v/>
      </c>
    </row>
    <row r="791" spans="1:14" ht="12.5" x14ac:dyDescent="0.25">
      <c r="A791" s="63" t="str">
        <f t="shared" si="2"/>
        <v/>
      </c>
      <c r="B791" s="63"/>
      <c r="C791" s="63"/>
      <c r="D791" s="63"/>
      <c r="E791" s="63"/>
      <c r="F791" s="63"/>
      <c r="G791" s="63"/>
      <c r="H791" s="63"/>
      <c r="I791" s="63"/>
      <c r="J791" s="63"/>
      <c r="K791" s="59"/>
      <c r="L791" s="59"/>
      <c r="N791" s="58" t="str">
        <f t="shared" si="3"/>
        <v/>
      </c>
    </row>
    <row r="792" spans="1:14" ht="12.5" x14ac:dyDescent="0.25">
      <c r="A792" s="63" t="str">
        <f t="shared" si="2"/>
        <v/>
      </c>
      <c r="B792" s="63"/>
      <c r="C792" s="63"/>
      <c r="D792" s="63"/>
      <c r="E792" s="63"/>
      <c r="F792" s="63"/>
      <c r="G792" s="63"/>
      <c r="H792" s="63"/>
      <c r="I792" s="63"/>
      <c r="J792" s="63"/>
      <c r="K792" s="59"/>
      <c r="L792" s="59"/>
      <c r="N792" s="58" t="str">
        <f t="shared" si="3"/>
        <v/>
      </c>
    </row>
    <row r="793" spans="1:14" ht="12.5" x14ac:dyDescent="0.25">
      <c r="A793" s="63" t="str">
        <f t="shared" si="2"/>
        <v/>
      </c>
      <c r="B793" s="63"/>
      <c r="C793" s="63"/>
      <c r="D793" s="63"/>
      <c r="E793" s="63"/>
      <c r="F793" s="63"/>
      <c r="G793" s="63"/>
      <c r="H793" s="63"/>
      <c r="I793" s="63"/>
      <c r="J793" s="63"/>
      <c r="K793" s="59"/>
      <c r="L793" s="59"/>
      <c r="N793" s="58" t="str">
        <f t="shared" si="3"/>
        <v/>
      </c>
    </row>
    <row r="794" spans="1:14" ht="12.5" x14ac:dyDescent="0.25">
      <c r="A794" s="63" t="str">
        <f t="shared" si="2"/>
        <v/>
      </c>
      <c r="B794" s="63"/>
      <c r="C794" s="63"/>
      <c r="D794" s="63"/>
      <c r="E794" s="63"/>
      <c r="F794" s="63"/>
      <c r="G794" s="63"/>
      <c r="H794" s="63"/>
      <c r="I794" s="63"/>
      <c r="J794" s="63"/>
      <c r="K794" s="59"/>
      <c r="L794" s="59"/>
      <c r="N794" s="58" t="str">
        <f t="shared" si="3"/>
        <v/>
      </c>
    </row>
    <row r="795" spans="1:14" ht="12.5" x14ac:dyDescent="0.25">
      <c r="A795" s="63" t="str">
        <f t="shared" si="2"/>
        <v/>
      </c>
      <c r="B795" s="63"/>
      <c r="C795" s="63"/>
      <c r="D795" s="63"/>
      <c r="E795" s="63"/>
      <c r="F795" s="63"/>
      <c r="G795" s="63"/>
      <c r="H795" s="63"/>
      <c r="I795" s="63"/>
      <c r="J795" s="63"/>
      <c r="K795" s="59"/>
      <c r="L795" s="59"/>
      <c r="N795" s="58" t="str">
        <f t="shared" si="3"/>
        <v/>
      </c>
    </row>
    <row r="796" spans="1:14" ht="12.5" x14ac:dyDescent="0.25">
      <c r="A796" s="63" t="str">
        <f t="shared" si="2"/>
        <v/>
      </c>
      <c r="B796" s="63"/>
      <c r="C796" s="63"/>
      <c r="D796" s="63"/>
      <c r="E796" s="63"/>
      <c r="F796" s="63"/>
      <c r="G796" s="63"/>
      <c r="H796" s="63"/>
      <c r="I796" s="63"/>
      <c r="J796" s="63"/>
      <c r="K796" s="59"/>
      <c r="L796" s="59"/>
      <c r="N796" s="58" t="str">
        <f t="shared" si="3"/>
        <v/>
      </c>
    </row>
    <row r="797" spans="1:14" ht="12.5" x14ac:dyDescent="0.25">
      <c r="A797" s="63" t="str">
        <f t="shared" si="2"/>
        <v/>
      </c>
      <c r="B797" s="63"/>
      <c r="C797" s="63"/>
      <c r="D797" s="63"/>
      <c r="E797" s="63"/>
      <c r="F797" s="63"/>
      <c r="G797" s="63"/>
      <c r="H797" s="63"/>
      <c r="I797" s="63"/>
      <c r="J797" s="63"/>
      <c r="K797" s="59"/>
      <c r="L797" s="59"/>
      <c r="N797" s="58" t="str">
        <f t="shared" si="3"/>
        <v/>
      </c>
    </row>
    <row r="798" spans="1:14" ht="12.5" x14ac:dyDescent="0.25">
      <c r="A798" s="63" t="str">
        <f t="shared" si="2"/>
        <v/>
      </c>
      <c r="B798" s="63"/>
      <c r="C798" s="63"/>
      <c r="D798" s="63"/>
      <c r="E798" s="63"/>
      <c r="F798" s="63"/>
      <c r="G798" s="63"/>
      <c r="H798" s="63"/>
      <c r="I798" s="63"/>
      <c r="J798" s="63"/>
      <c r="K798" s="59"/>
      <c r="L798" s="59"/>
      <c r="N798" s="58" t="str">
        <f t="shared" si="3"/>
        <v/>
      </c>
    </row>
    <row r="799" spans="1:14" ht="12.5" x14ac:dyDescent="0.25">
      <c r="A799" s="63" t="str">
        <f t="shared" si="2"/>
        <v/>
      </c>
      <c r="B799" s="63"/>
      <c r="C799" s="63"/>
      <c r="D799" s="63"/>
      <c r="E799" s="63"/>
      <c r="F799" s="63"/>
      <c r="G799" s="63"/>
      <c r="H799" s="63"/>
      <c r="I799" s="63"/>
      <c r="J799" s="63"/>
      <c r="K799" s="59"/>
      <c r="L799" s="59"/>
      <c r="N799" s="58" t="str">
        <f t="shared" si="3"/>
        <v/>
      </c>
    </row>
    <row r="800" spans="1:14" ht="12.5" x14ac:dyDescent="0.25">
      <c r="A800" s="63" t="str">
        <f t="shared" si="2"/>
        <v/>
      </c>
      <c r="B800" s="63"/>
      <c r="C800" s="63"/>
      <c r="D800" s="63"/>
      <c r="E800" s="63"/>
      <c r="F800" s="63"/>
      <c r="G800" s="63"/>
      <c r="H800" s="63"/>
      <c r="I800" s="63"/>
      <c r="J800" s="63"/>
      <c r="K800" s="59"/>
      <c r="L800" s="59"/>
      <c r="N800" s="58" t="str">
        <f t="shared" si="3"/>
        <v/>
      </c>
    </row>
    <row r="801" spans="1:14" ht="12.5" x14ac:dyDescent="0.25">
      <c r="A801" s="63" t="str">
        <f t="shared" si="2"/>
        <v/>
      </c>
      <c r="B801" s="63"/>
      <c r="C801" s="63"/>
      <c r="D801" s="63"/>
      <c r="E801" s="63"/>
      <c r="F801" s="63"/>
      <c r="G801" s="63"/>
      <c r="H801" s="63"/>
      <c r="I801" s="63"/>
      <c r="J801" s="63"/>
      <c r="K801" s="59"/>
      <c r="L801" s="59"/>
      <c r="N801" s="58" t="str">
        <f t="shared" si="3"/>
        <v/>
      </c>
    </row>
    <row r="802" spans="1:14" ht="12.5" x14ac:dyDescent="0.25">
      <c r="A802" s="63" t="str">
        <f t="shared" si="2"/>
        <v/>
      </c>
      <c r="B802" s="63"/>
      <c r="C802" s="63"/>
      <c r="D802" s="63"/>
      <c r="E802" s="63"/>
      <c r="F802" s="63"/>
      <c r="G802" s="63"/>
      <c r="H802" s="63"/>
      <c r="I802" s="63"/>
      <c r="J802" s="63"/>
      <c r="K802" s="59"/>
      <c r="L802" s="59"/>
      <c r="N802" s="58" t="str">
        <f t="shared" si="3"/>
        <v/>
      </c>
    </row>
    <row r="803" spans="1:14" ht="12.5" x14ac:dyDescent="0.25">
      <c r="A803" s="63" t="str">
        <f t="shared" si="2"/>
        <v/>
      </c>
      <c r="B803" s="63"/>
      <c r="C803" s="63"/>
      <c r="D803" s="63"/>
      <c r="E803" s="63"/>
      <c r="F803" s="63"/>
      <c r="G803" s="63"/>
      <c r="H803" s="63"/>
      <c r="I803" s="63"/>
      <c r="J803" s="63"/>
      <c r="K803" s="59"/>
      <c r="L803" s="59"/>
      <c r="N803" s="58" t="str">
        <f t="shared" si="3"/>
        <v/>
      </c>
    </row>
    <row r="804" spans="1:14" ht="12.5" x14ac:dyDescent="0.25">
      <c r="A804" s="63" t="str">
        <f t="shared" si="2"/>
        <v/>
      </c>
      <c r="B804" s="63"/>
      <c r="C804" s="63"/>
      <c r="D804" s="63"/>
      <c r="E804" s="63"/>
      <c r="F804" s="63"/>
      <c r="G804" s="63"/>
      <c r="H804" s="63"/>
      <c r="I804" s="63"/>
      <c r="J804" s="63"/>
      <c r="K804" s="59"/>
      <c r="L804" s="59"/>
      <c r="N804" s="58" t="str">
        <f t="shared" si="3"/>
        <v/>
      </c>
    </row>
    <row r="805" spans="1:14" ht="12.5" x14ac:dyDescent="0.25">
      <c r="A805" s="63" t="str">
        <f t="shared" si="2"/>
        <v/>
      </c>
      <c r="B805" s="63"/>
      <c r="C805" s="63"/>
      <c r="D805" s="63"/>
      <c r="E805" s="63"/>
      <c r="F805" s="63"/>
      <c r="G805" s="63"/>
      <c r="H805" s="63"/>
      <c r="I805" s="63"/>
      <c r="J805" s="63"/>
      <c r="K805" s="59"/>
      <c r="L805" s="59"/>
      <c r="N805" s="58" t="str">
        <f t="shared" si="3"/>
        <v/>
      </c>
    </row>
    <row r="806" spans="1:14" ht="12.5" x14ac:dyDescent="0.25">
      <c r="A806" s="63" t="str">
        <f t="shared" si="2"/>
        <v/>
      </c>
      <c r="B806" s="63"/>
      <c r="C806" s="63"/>
      <c r="D806" s="63"/>
      <c r="E806" s="63"/>
      <c r="F806" s="63"/>
      <c r="G806" s="63"/>
      <c r="H806" s="63"/>
      <c r="I806" s="63"/>
      <c r="J806" s="63"/>
      <c r="K806" s="59"/>
      <c r="L806" s="59"/>
      <c r="N806" s="58" t="str">
        <f t="shared" si="3"/>
        <v/>
      </c>
    </row>
    <row r="807" spans="1:14" ht="12.5" x14ac:dyDescent="0.25">
      <c r="A807" s="63" t="str">
        <f t="shared" si="2"/>
        <v/>
      </c>
      <c r="B807" s="63"/>
      <c r="C807" s="63"/>
      <c r="D807" s="63"/>
      <c r="E807" s="63"/>
      <c r="F807" s="63"/>
      <c r="G807" s="63"/>
      <c r="H807" s="63"/>
      <c r="I807" s="63"/>
      <c r="J807" s="63"/>
      <c r="K807" s="59"/>
      <c r="L807" s="59"/>
      <c r="N807" s="58" t="str">
        <f t="shared" si="3"/>
        <v/>
      </c>
    </row>
    <row r="808" spans="1:14" ht="12.5" x14ac:dyDescent="0.25">
      <c r="A808" s="63" t="str">
        <f t="shared" si="2"/>
        <v/>
      </c>
      <c r="B808" s="63"/>
      <c r="C808" s="63"/>
      <c r="D808" s="63"/>
      <c r="E808" s="63"/>
      <c r="F808" s="63"/>
      <c r="G808" s="63"/>
      <c r="H808" s="63"/>
      <c r="I808" s="63"/>
      <c r="J808" s="63"/>
      <c r="K808" s="59"/>
      <c r="L808" s="59"/>
      <c r="N808" s="58" t="str">
        <f t="shared" si="3"/>
        <v/>
      </c>
    </row>
    <row r="809" spans="1:14" ht="12.5" x14ac:dyDescent="0.25">
      <c r="A809" s="63" t="str">
        <f t="shared" si="2"/>
        <v/>
      </c>
      <c r="B809" s="63"/>
      <c r="C809" s="63"/>
      <c r="D809" s="63"/>
      <c r="E809" s="63"/>
      <c r="F809" s="63"/>
      <c r="G809" s="63"/>
      <c r="H809" s="63"/>
      <c r="I809" s="63"/>
      <c r="J809" s="63"/>
      <c r="K809" s="59"/>
      <c r="L809" s="59"/>
      <c r="N809" s="58" t="str">
        <f t="shared" si="3"/>
        <v/>
      </c>
    </row>
    <row r="810" spans="1:14" ht="12.5" x14ac:dyDescent="0.25">
      <c r="A810" s="63" t="str">
        <f t="shared" si="2"/>
        <v/>
      </c>
      <c r="B810" s="63"/>
      <c r="C810" s="63"/>
      <c r="D810" s="63"/>
      <c r="E810" s="63"/>
      <c r="F810" s="63"/>
      <c r="G810" s="63"/>
      <c r="H810" s="63"/>
      <c r="I810" s="63"/>
      <c r="J810" s="63"/>
      <c r="K810" s="59"/>
      <c r="L810" s="59"/>
      <c r="N810" s="58" t="str">
        <f t="shared" si="3"/>
        <v/>
      </c>
    </row>
    <row r="811" spans="1:14" ht="12.5" x14ac:dyDescent="0.25">
      <c r="A811" s="63" t="str">
        <f t="shared" si="2"/>
        <v/>
      </c>
      <c r="B811" s="63"/>
      <c r="C811" s="63"/>
      <c r="D811" s="63"/>
      <c r="E811" s="63"/>
      <c r="F811" s="63"/>
      <c r="G811" s="63"/>
      <c r="H811" s="63"/>
      <c r="I811" s="63"/>
      <c r="J811" s="63"/>
      <c r="K811" s="59"/>
      <c r="L811" s="59"/>
      <c r="N811" s="58" t="str">
        <f t="shared" si="3"/>
        <v/>
      </c>
    </row>
    <row r="812" spans="1:14" ht="12.5" x14ac:dyDescent="0.25">
      <c r="A812" s="63" t="str">
        <f t="shared" si="2"/>
        <v/>
      </c>
      <c r="B812" s="63"/>
      <c r="C812" s="63"/>
      <c r="D812" s="63"/>
      <c r="E812" s="63"/>
      <c r="F812" s="63"/>
      <c r="G812" s="63"/>
      <c r="H812" s="63"/>
      <c r="I812" s="63"/>
      <c r="J812" s="63"/>
      <c r="K812" s="59"/>
      <c r="L812" s="59"/>
      <c r="N812" s="58" t="str">
        <f t="shared" si="3"/>
        <v/>
      </c>
    </row>
    <row r="813" spans="1:14" ht="12.5" x14ac:dyDescent="0.25">
      <c r="A813" s="63" t="str">
        <f t="shared" si="2"/>
        <v/>
      </c>
      <c r="B813" s="63"/>
      <c r="C813" s="63"/>
      <c r="D813" s="63"/>
      <c r="E813" s="63"/>
      <c r="F813" s="63"/>
      <c r="G813" s="63"/>
      <c r="H813" s="63"/>
      <c r="I813" s="63"/>
      <c r="J813" s="63"/>
      <c r="K813" s="59"/>
      <c r="L813" s="59"/>
      <c r="N813" s="58" t="str">
        <f t="shared" si="3"/>
        <v/>
      </c>
    </row>
    <row r="814" spans="1:14" ht="12.5" x14ac:dyDescent="0.25">
      <c r="A814" s="63" t="str">
        <f t="shared" si="2"/>
        <v/>
      </c>
      <c r="B814" s="63"/>
      <c r="C814" s="63"/>
      <c r="D814" s="63"/>
      <c r="E814" s="63"/>
      <c r="F814" s="63"/>
      <c r="G814" s="63"/>
      <c r="H814" s="63"/>
      <c r="I814" s="63"/>
      <c r="J814" s="63"/>
      <c r="K814" s="59"/>
      <c r="L814" s="59"/>
      <c r="N814" s="58" t="str">
        <f t="shared" si="3"/>
        <v/>
      </c>
    </row>
    <row r="815" spans="1:14" ht="12.5" x14ac:dyDescent="0.25">
      <c r="A815" s="63" t="str">
        <f t="shared" si="2"/>
        <v/>
      </c>
      <c r="B815" s="63"/>
      <c r="C815" s="63"/>
      <c r="D815" s="63"/>
      <c r="E815" s="63"/>
      <c r="F815" s="63"/>
      <c r="G815" s="63"/>
      <c r="H815" s="63"/>
      <c r="I815" s="63"/>
      <c r="J815" s="63"/>
      <c r="K815" s="59"/>
      <c r="L815" s="59"/>
      <c r="N815" s="58" t="str">
        <f t="shared" si="3"/>
        <v/>
      </c>
    </row>
    <row r="816" spans="1:14" ht="12.5" x14ac:dyDescent="0.25">
      <c r="A816" s="63" t="str">
        <f t="shared" si="2"/>
        <v/>
      </c>
      <c r="B816" s="63"/>
      <c r="C816" s="63"/>
      <c r="D816" s="63"/>
      <c r="E816" s="63"/>
      <c r="F816" s="63"/>
      <c r="G816" s="63"/>
      <c r="H816" s="63"/>
      <c r="I816" s="63"/>
      <c r="J816" s="63"/>
      <c r="K816" s="59"/>
      <c r="L816" s="59"/>
      <c r="N816" s="58" t="str">
        <f t="shared" si="3"/>
        <v/>
      </c>
    </row>
    <row r="817" spans="1:14" ht="12.5" x14ac:dyDescent="0.25">
      <c r="A817" s="63" t="str">
        <f t="shared" si="2"/>
        <v/>
      </c>
      <c r="B817" s="63"/>
      <c r="C817" s="63"/>
      <c r="D817" s="63"/>
      <c r="E817" s="63"/>
      <c r="F817" s="63"/>
      <c r="G817" s="63"/>
      <c r="H817" s="63"/>
      <c r="I817" s="63"/>
      <c r="J817" s="63"/>
      <c r="K817" s="59"/>
      <c r="L817" s="59"/>
      <c r="N817" s="58" t="str">
        <f t="shared" si="3"/>
        <v/>
      </c>
    </row>
    <row r="818" spans="1:14" ht="12.5" x14ac:dyDescent="0.25">
      <c r="A818" s="63" t="str">
        <f t="shared" si="2"/>
        <v/>
      </c>
      <c r="B818" s="63"/>
      <c r="C818" s="63"/>
      <c r="D818" s="63"/>
      <c r="E818" s="63"/>
      <c r="F818" s="63"/>
      <c r="G818" s="63"/>
      <c r="H818" s="63"/>
      <c r="I818" s="63"/>
      <c r="J818" s="63"/>
      <c r="K818" s="59"/>
      <c r="L818" s="59"/>
      <c r="N818" s="58" t="str">
        <f t="shared" si="3"/>
        <v/>
      </c>
    </row>
    <row r="819" spans="1:14" ht="12.5" x14ac:dyDescent="0.25">
      <c r="A819" s="63" t="str">
        <f t="shared" si="2"/>
        <v/>
      </c>
      <c r="B819" s="63"/>
      <c r="C819" s="63"/>
      <c r="D819" s="63"/>
      <c r="E819" s="63"/>
      <c r="F819" s="63"/>
      <c r="G819" s="63"/>
      <c r="H819" s="63"/>
      <c r="I819" s="63"/>
      <c r="J819" s="63"/>
      <c r="K819" s="59"/>
      <c r="L819" s="59"/>
      <c r="N819" s="58" t="str">
        <f t="shared" si="3"/>
        <v/>
      </c>
    </row>
    <row r="820" spans="1:14" ht="12.5" x14ac:dyDescent="0.25">
      <c r="A820" s="63" t="str">
        <f t="shared" si="2"/>
        <v/>
      </c>
      <c r="B820" s="63"/>
      <c r="C820" s="63"/>
      <c r="D820" s="63"/>
      <c r="E820" s="63"/>
      <c r="F820" s="63"/>
      <c r="G820" s="63"/>
      <c r="H820" s="63"/>
      <c r="I820" s="63"/>
      <c r="J820" s="63"/>
      <c r="K820" s="59"/>
      <c r="L820" s="59"/>
      <c r="N820" s="58" t="str">
        <f t="shared" si="3"/>
        <v/>
      </c>
    </row>
    <row r="821" spans="1:14" ht="12.5" x14ac:dyDescent="0.25">
      <c r="A821" s="63" t="str">
        <f t="shared" si="2"/>
        <v/>
      </c>
      <c r="B821" s="63"/>
      <c r="C821" s="63"/>
      <c r="D821" s="63"/>
      <c r="E821" s="63"/>
      <c r="F821" s="63"/>
      <c r="G821" s="63"/>
      <c r="H821" s="63"/>
      <c r="I821" s="63"/>
      <c r="J821" s="63"/>
      <c r="K821" s="59"/>
      <c r="L821" s="59"/>
      <c r="N821" s="58" t="str">
        <f t="shared" si="3"/>
        <v/>
      </c>
    </row>
    <row r="822" spans="1:14" ht="12.5" x14ac:dyDescent="0.25">
      <c r="A822" s="63" t="str">
        <f t="shared" si="2"/>
        <v/>
      </c>
      <c r="B822" s="63"/>
      <c r="C822" s="63"/>
      <c r="D822" s="63"/>
      <c r="E822" s="63"/>
      <c r="F822" s="63"/>
      <c r="G822" s="63"/>
      <c r="H822" s="63"/>
      <c r="I822" s="63"/>
      <c r="J822" s="63"/>
      <c r="K822" s="59"/>
      <c r="L822" s="59"/>
      <c r="N822" s="58" t="str">
        <f t="shared" si="3"/>
        <v/>
      </c>
    </row>
    <row r="823" spans="1:14" ht="12.5" x14ac:dyDescent="0.25">
      <c r="A823" s="63" t="str">
        <f t="shared" si="2"/>
        <v/>
      </c>
      <c r="B823" s="63"/>
      <c r="C823" s="63"/>
      <c r="D823" s="63"/>
      <c r="E823" s="63"/>
      <c r="F823" s="63"/>
      <c r="G823" s="63"/>
      <c r="H823" s="63"/>
      <c r="I823" s="63"/>
      <c r="J823" s="63"/>
      <c r="K823" s="59"/>
      <c r="L823" s="59"/>
      <c r="N823" s="58" t="str">
        <f t="shared" si="3"/>
        <v/>
      </c>
    </row>
    <row r="824" spans="1:14" ht="12.5" x14ac:dyDescent="0.25">
      <c r="A824" s="63" t="str">
        <f t="shared" si="2"/>
        <v/>
      </c>
      <c r="B824" s="63"/>
      <c r="C824" s="63"/>
      <c r="D824" s="63"/>
      <c r="E824" s="63"/>
      <c r="F824" s="63"/>
      <c r="G824" s="63"/>
      <c r="H824" s="63"/>
      <c r="I824" s="63"/>
      <c r="J824" s="63"/>
      <c r="K824" s="59"/>
      <c r="L824" s="59"/>
      <c r="N824" s="58" t="str">
        <f t="shared" si="3"/>
        <v/>
      </c>
    </row>
    <row r="825" spans="1:14" ht="12.5" x14ac:dyDescent="0.25">
      <c r="A825" s="63" t="str">
        <f t="shared" si="2"/>
        <v/>
      </c>
      <c r="B825" s="63"/>
      <c r="C825" s="63"/>
      <c r="D825" s="63"/>
      <c r="E825" s="63"/>
      <c r="F825" s="63"/>
      <c r="G825" s="63"/>
      <c r="H825" s="63"/>
      <c r="I825" s="63"/>
      <c r="J825" s="63"/>
      <c r="K825" s="59"/>
      <c r="L825" s="59"/>
      <c r="N825" s="58" t="str">
        <f t="shared" si="3"/>
        <v/>
      </c>
    </row>
    <row r="826" spans="1:14" ht="12.5" x14ac:dyDescent="0.25">
      <c r="A826" s="63" t="str">
        <f t="shared" si="2"/>
        <v/>
      </c>
      <c r="B826" s="63"/>
      <c r="C826" s="63"/>
      <c r="D826" s="63"/>
      <c r="E826" s="63"/>
      <c r="F826" s="63"/>
      <c r="G826" s="63"/>
      <c r="H826" s="63"/>
      <c r="I826" s="63"/>
      <c r="J826" s="63"/>
      <c r="K826" s="59"/>
      <c r="L826" s="59"/>
      <c r="N826" s="58" t="str">
        <f t="shared" si="3"/>
        <v/>
      </c>
    </row>
    <row r="827" spans="1:14" ht="12.5" x14ac:dyDescent="0.25">
      <c r="A827" s="63" t="str">
        <f t="shared" si="2"/>
        <v/>
      </c>
      <c r="B827" s="63"/>
      <c r="C827" s="63"/>
      <c r="D827" s="63"/>
      <c r="E827" s="63"/>
      <c r="F827" s="63"/>
      <c r="G827" s="63"/>
      <c r="H827" s="63"/>
      <c r="I827" s="63"/>
      <c r="J827" s="63"/>
      <c r="K827" s="59"/>
      <c r="L827" s="59"/>
      <c r="N827" s="58" t="str">
        <f t="shared" si="3"/>
        <v/>
      </c>
    </row>
    <row r="828" spans="1:14" ht="12.5" x14ac:dyDescent="0.25">
      <c r="A828" s="63" t="str">
        <f t="shared" si="2"/>
        <v/>
      </c>
      <c r="B828" s="63"/>
      <c r="C828" s="63"/>
      <c r="D828" s="63"/>
      <c r="E828" s="63"/>
      <c r="F828" s="63"/>
      <c r="G828" s="63"/>
      <c r="H828" s="63"/>
      <c r="I828" s="63"/>
      <c r="J828" s="63"/>
      <c r="K828" s="59"/>
      <c r="L828" s="59"/>
      <c r="N828" s="58" t="str">
        <f t="shared" si="3"/>
        <v/>
      </c>
    </row>
    <row r="829" spans="1:14" ht="12.5" x14ac:dyDescent="0.25">
      <c r="A829" s="63" t="str">
        <f t="shared" si="2"/>
        <v/>
      </c>
      <c r="B829" s="63"/>
      <c r="C829" s="63"/>
      <c r="D829" s="63"/>
      <c r="E829" s="63"/>
      <c r="F829" s="63"/>
      <c r="G829" s="63"/>
      <c r="H829" s="63"/>
      <c r="I829" s="63"/>
      <c r="J829" s="63"/>
      <c r="K829" s="59"/>
      <c r="L829" s="59"/>
      <c r="N829" s="58" t="str">
        <f t="shared" si="3"/>
        <v/>
      </c>
    </row>
    <row r="830" spans="1:14" ht="12.5" x14ac:dyDescent="0.25">
      <c r="A830" s="63" t="str">
        <f t="shared" si="2"/>
        <v/>
      </c>
      <c r="B830" s="63"/>
      <c r="C830" s="63"/>
      <c r="D830" s="63"/>
      <c r="E830" s="63"/>
      <c r="F830" s="63"/>
      <c r="G830" s="63"/>
      <c r="H830" s="63"/>
      <c r="I830" s="63"/>
      <c r="J830" s="63"/>
      <c r="K830" s="59"/>
      <c r="L830" s="59"/>
      <c r="N830" s="58" t="str">
        <f t="shared" si="3"/>
        <v/>
      </c>
    </row>
    <row r="831" spans="1:14" ht="12.5" x14ac:dyDescent="0.25">
      <c r="A831" s="63" t="str">
        <f t="shared" si="2"/>
        <v/>
      </c>
      <c r="B831" s="63"/>
      <c r="C831" s="63"/>
      <c r="D831" s="63"/>
      <c r="E831" s="63"/>
      <c r="F831" s="63"/>
      <c r="G831" s="63"/>
      <c r="H831" s="63"/>
      <c r="I831" s="63"/>
      <c r="J831" s="63"/>
      <c r="K831" s="59"/>
      <c r="L831" s="59"/>
      <c r="N831" s="58" t="str">
        <f t="shared" si="3"/>
        <v/>
      </c>
    </row>
    <row r="832" spans="1:14" ht="12.5" x14ac:dyDescent="0.25">
      <c r="A832" s="63" t="str">
        <f t="shared" si="2"/>
        <v/>
      </c>
      <c r="B832" s="63"/>
      <c r="C832" s="63"/>
      <c r="D832" s="63"/>
      <c r="E832" s="63"/>
      <c r="F832" s="63"/>
      <c r="G832" s="63"/>
      <c r="H832" s="63"/>
      <c r="I832" s="63"/>
      <c r="J832" s="63"/>
      <c r="K832" s="59"/>
      <c r="L832" s="59"/>
      <c r="N832" s="58" t="str">
        <f t="shared" si="3"/>
        <v/>
      </c>
    </row>
    <row r="833" spans="1:14" ht="12.5" x14ac:dyDescent="0.25">
      <c r="A833" s="63" t="str">
        <f t="shared" si="2"/>
        <v/>
      </c>
      <c r="B833" s="63"/>
      <c r="C833" s="63"/>
      <c r="D833" s="63"/>
      <c r="E833" s="63"/>
      <c r="F833" s="63"/>
      <c r="G833" s="63"/>
      <c r="H833" s="63"/>
      <c r="I833" s="63"/>
      <c r="J833" s="63"/>
      <c r="K833" s="59"/>
      <c r="L833" s="59"/>
      <c r="N833" s="58" t="str">
        <f t="shared" si="3"/>
        <v/>
      </c>
    </row>
    <row r="834" spans="1:14" ht="12.5" x14ac:dyDescent="0.25">
      <c r="A834" s="63" t="str">
        <f t="shared" si="2"/>
        <v/>
      </c>
      <c r="B834" s="63"/>
      <c r="C834" s="63"/>
      <c r="D834" s="63"/>
      <c r="E834" s="63"/>
      <c r="F834" s="63"/>
      <c r="G834" s="63"/>
      <c r="H834" s="63"/>
      <c r="I834" s="63"/>
      <c r="J834" s="63"/>
      <c r="K834" s="59"/>
      <c r="L834" s="59"/>
      <c r="N834" s="58" t="str">
        <f t="shared" si="3"/>
        <v/>
      </c>
    </row>
    <row r="835" spans="1:14" ht="12.5" x14ac:dyDescent="0.25">
      <c r="A835" s="63" t="str">
        <f t="shared" si="2"/>
        <v/>
      </c>
      <c r="B835" s="63"/>
      <c r="C835" s="63"/>
      <c r="D835" s="63"/>
      <c r="E835" s="63"/>
      <c r="F835" s="63"/>
      <c r="G835" s="63"/>
      <c r="H835" s="63"/>
      <c r="I835" s="63"/>
      <c r="J835" s="63"/>
      <c r="K835" s="59"/>
      <c r="L835" s="59"/>
      <c r="N835" s="58" t="str">
        <f t="shared" si="3"/>
        <v/>
      </c>
    </row>
    <row r="836" spans="1:14" ht="12.5" x14ac:dyDescent="0.25">
      <c r="A836" s="63" t="str">
        <f t="shared" si="2"/>
        <v/>
      </c>
      <c r="B836" s="63"/>
      <c r="C836" s="63"/>
      <c r="D836" s="63"/>
      <c r="E836" s="63"/>
      <c r="F836" s="63"/>
      <c r="G836" s="63"/>
      <c r="H836" s="63"/>
      <c r="I836" s="63"/>
      <c r="J836" s="63"/>
      <c r="K836" s="59"/>
      <c r="L836" s="59"/>
      <c r="N836" s="58" t="str">
        <f t="shared" si="3"/>
        <v/>
      </c>
    </row>
    <row r="837" spans="1:14" ht="12.5" x14ac:dyDescent="0.25">
      <c r="A837" s="63" t="str">
        <f t="shared" si="2"/>
        <v/>
      </c>
      <c r="B837" s="63"/>
      <c r="C837" s="63"/>
      <c r="D837" s="63"/>
      <c r="E837" s="63"/>
      <c r="F837" s="63"/>
      <c r="G837" s="63"/>
      <c r="H837" s="63"/>
      <c r="I837" s="63"/>
      <c r="J837" s="63"/>
      <c r="K837" s="59"/>
      <c r="L837" s="59"/>
      <c r="N837" s="58" t="str">
        <f t="shared" si="3"/>
        <v/>
      </c>
    </row>
    <row r="838" spans="1:14" ht="12.5" x14ac:dyDescent="0.25">
      <c r="A838" s="63" t="str">
        <f t="shared" si="2"/>
        <v/>
      </c>
      <c r="B838" s="63"/>
      <c r="C838" s="63"/>
      <c r="D838" s="63"/>
      <c r="E838" s="63"/>
      <c r="F838" s="63"/>
      <c r="G838" s="63"/>
      <c r="H838" s="63"/>
      <c r="I838" s="63"/>
      <c r="J838" s="63"/>
      <c r="K838" s="59"/>
      <c r="L838" s="59"/>
      <c r="N838" s="58" t="str">
        <f t="shared" si="3"/>
        <v/>
      </c>
    </row>
    <row r="839" spans="1:14" ht="12.5" x14ac:dyDescent="0.25">
      <c r="A839" s="63" t="str">
        <f t="shared" si="2"/>
        <v/>
      </c>
      <c r="B839" s="63"/>
      <c r="C839" s="63"/>
      <c r="D839" s="63"/>
      <c r="E839" s="63"/>
      <c r="F839" s="63"/>
      <c r="G839" s="63"/>
      <c r="H839" s="63"/>
      <c r="I839" s="63"/>
      <c r="J839" s="63"/>
      <c r="K839" s="59"/>
      <c r="L839" s="59"/>
      <c r="N839" s="58" t="str">
        <f t="shared" si="3"/>
        <v/>
      </c>
    </row>
    <row r="840" spans="1:14" ht="12.5" x14ac:dyDescent="0.25">
      <c r="A840" s="63" t="str">
        <f t="shared" si="2"/>
        <v/>
      </c>
      <c r="B840" s="63"/>
      <c r="C840" s="63"/>
      <c r="D840" s="63"/>
      <c r="E840" s="63"/>
      <c r="F840" s="63"/>
      <c r="G840" s="63"/>
      <c r="H840" s="63"/>
      <c r="I840" s="63"/>
      <c r="J840" s="63"/>
      <c r="K840" s="59"/>
      <c r="L840" s="59"/>
      <c r="N840" s="58" t="str">
        <f t="shared" si="3"/>
        <v/>
      </c>
    </row>
    <row r="841" spans="1:14" ht="12.5" x14ac:dyDescent="0.25">
      <c r="A841" s="63" t="str">
        <f t="shared" si="2"/>
        <v/>
      </c>
      <c r="B841" s="63"/>
      <c r="C841" s="63"/>
      <c r="D841" s="63"/>
      <c r="E841" s="63"/>
      <c r="F841" s="63"/>
      <c r="G841" s="63"/>
      <c r="H841" s="63"/>
      <c r="I841" s="63"/>
      <c r="J841" s="63"/>
      <c r="K841" s="59"/>
      <c r="L841" s="59"/>
      <c r="N841" s="58" t="str">
        <f t="shared" si="3"/>
        <v/>
      </c>
    </row>
    <row r="842" spans="1:14" ht="12.5" x14ac:dyDescent="0.25">
      <c r="A842" s="63" t="str">
        <f t="shared" si="2"/>
        <v/>
      </c>
      <c r="B842" s="63"/>
      <c r="C842" s="63"/>
      <c r="D842" s="63"/>
      <c r="E842" s="63"/>
      <c r="F842" s="63"/>
      <c r="G842" s="63"/>
      <c r="H842" s="63"/>
      <c r="I842" s="63"/>
      <c r="J842" s="63"/>
      <c r="K842" s="59"/>
      <c r="L842" s="59"/>
      <c r="N842" s="58" t="str">
        <f t="shared" si="3"/>
        <v/>
      </c>
    </row>
    <row r="843" spans="1:14" ht="12.5" x14ac:dyDescent="0.25">
      <c r="A843" s="63" t="str">
        <f t="shared" si="2"/>
        <v/>
      </c>
      <c r="B843" s="63"/>
      <c r="C843" s="63"/>
      <c r="D843" s="63"/>
      <c r="E843" s="63"/>
      <c r="F843" s="63"/>
      <c r="G843" s="63"/>
      <c r="H843" s="63"/>
      <c r="I843" s="63"/>
      <c r="J843" s="63"/>
      <c r="K843" s="59"/>
      <c r="L843" s="59"/>
      <c r="N843" s="58" t="str">
        <f t="shared" si="3"/>
        <v/>
      </c>
    </row>
    <row r="844" spans="1:14" ht="12.5" x14ac:dyDescent="0.25">
      <c r="A844" s="63" t="str">
        <f t="shared" si="2"/>
        <v/>
      </c>
      <c r="B844" s="63"/>
      <c r="C844" s="63"/>
      <c r="D844" s="63"/>
      <c r="E844" s="63"/>
      <c r="F844" s="63"/>
      <c r="G844" s="63"/>
      <c r="H844" s="63"/>
      <c r="I844" s="63"/>
      <c r="J844" s="63"/>
      <c r="K844" s="59"/>
      <c r="L844" s="59"/>
      <c r="N844" s="58" t="str">
        <f t="shared" si="3"/>
        <v/>
      </c>
    </row>
    <row r="845" spans="1:14" ht="12.5" x14ac:dyDescent="0.25">
      <c r="A845" s="63" t="str">
        <f t="shared" si="2"/>
        <v/>
      </c>
      <c r="B845" s="63"/>
      <c r="C845" s="63"/>
      <c r="D845" s="63"/>
      <c r="E845" s="63"/>
      <c r="F845" s="63"/>
      <c r="G845" s="63"/>
      <c r="H845" s="63"/>
      <c r="I845" s="63"/>
      <c r="J845" s="63"/>
      <c r="K845" s="59"/>
      <c r="L845" s="59"/>
      <c r="N845" s="58" t="str">
        <f t="shared" si="3"/>
        <v/>
      </c>
    </row>
    <row r="846" spans="1:14" ht="12.5" x14ac:dyDescent="0.25">
      <c r="A846" s="63" t="str">
        <f t="shared" si="2"/>
        <v/>
      </c>
      <c r="B846" s="63"/>
      <c r="C846" s="63"/>
      <c r="D846" s="63"/>
      <c r="E846" s="63"/>
      <c r="F846" s="63"/>
      <c r="G846" s="63"/>
      <c r="H846" s="63"/>
      <c r="I846" s="63"/>
      <c r="J846" s="63"/>
      <c r="K846" s="59"/>
      <c r="L846" s="59"/>
      <c r="N846" s="58" t="str">
        <f t="shared" si="3"/>
        <v/>
      </c>
    </row>
    <row r="847" spans="1:14" ht="12.5" x14ac:dyDescent="0.25">
      <c r="A847" s="63" t="str">
        <f t="shared" si="2"/>
        <v/>
      </c>
      <c r="B847" s="63"/>
      <c r="C847" s="63"/>
      <c r="D847" s="63"/>
      <c r="E847" s="63"/>
      <c r="F847" s="63"/>
      <c r="G847" s="63"/>
      <c r="H847" s="63"/>
      <c r="I847" s="63"/>
      <c r="J847" s="63"/>
      <c r="K847" s="59"/>
      <c r="L847" s="59"/>
      <c r="N847" s="58" t="str">
        <f t="shared" si="3"/>
        <v/>
      </c>
    </row>
    <row r="848" spans="1:14" ht="12.5" x14ac:dyDescent="0.25">
      <c r="A848" s="63" t="str">
        <f t="shared" si="2"/>
        <v/>
      </c>
      <c r="B848" s="63"/>
      <c r="C848" s="63"/>
      <c r="D848" s="63"/>
      <c r="E848" s="63"/>
      <c r="F848" s="63"/>
      <c r="G848" s="63"/>
      <c r="H848" s="63"/>
      <c r="I848" s="63"/>
      <c r="J848" s="63"/>
      <c r="K848" s="59"/>
      <c r="L848" s="59"/>
      <c r="N848" s="58" t="str">
        <f t="shared" si="3"/>
        <v/>
      </c>
    </row>
    <row r="849" spans="1:14" ht="12.5" x14ac:dyDescent="0.25">
      <c r="A849" s="63" t="str">
        <f t="shared" si="2"/>
        <v/>
      </c>
      <c r="B849" s="63"/>
      <c r="C849" s="63"/>
      <c r="D849" s="63"/>
      <c r="E849" s="63"/>
      <c r="F849" s="63"/>
      <c r="G849" s="63"/>
      <c r="H849" s="63"/>
      <c r="I849" s="63"/>
      <c r="J849" s="63"/>
      <c r="K849" s="59"/>
      <c r="L849" s="59"/>
      <c r="N849" s="58" t="str">
        <f t="shared" si="3"/>
        <v/>
      </c>
    </row>
    <row r="850" spans="1:14" ht="12.5" x14ac:dyDescent="0.25">
      <c r="A850" s="63" t="str">
        <f t="shared" si="2"/>
        <v/>
      </c>
      <c r="B850" s="63"/>
      <c r="C850" s="63"/>
      <c r="D850" s="63"/>
      <c r="E850" s="63"/>
      <c r="F850" s="63"/>
      <c r="G850" s="63"/>
      <c r="H850" s="63"/>
      <c r="I850" s="63"/>
      <c r="J850" s="63"/>
      <c r="K850" s="59"/>
      <c r="L850" s="59"/>
      <c r="N850" s="58" t="str">
        <f t="shared" si="3"/>
        <v/>
      </c>
    </row>
    <row r="851" spans="1:14" ht="12.5" x14ac:dyDescent="0.25">
      <c r="A851" s="63" t="str">
        <f t="shared" si="2"/>
        <v/>
      </c>
      <c r="B851" s="63"/>
      <c r="C851" s="63"/>
      <c r="D851" s="63"/>
      <c r="E851" s="63"/>
      <c r="F851" s="63"/>
      <c r="G851" s="63"/>
      <c r="H851" s="63"/>
      <c r="I851" s="63"/>
      <c r="J851" s="63"/>
      <c r="K851" s="59"/>
      <c r="L851" s="59"/>
      <c r="N851" s="58" t="str">
        <f t="shared" si="3"/>
        <v/>
      </c>
    </row>
    <row r="852" spans="1:14" ht="12.5" x14ac:dyDescent="0.25">
      <c r="A852" s="63" t="str">
        <f t="shared" si="2"/>
        <v/>
      </c>
      <c r="B852" s="63"/>
      <c r="C852" s="63"/>
      <c r="D852" s="63"/>
      <c r="E852" s="63"/>
      <c r="F852" s="63"/>
      <c r="G852" s="63"/>
      <c r="H852" s="63"/>
      <c r="I852" s="63"/>
      <c r="J852" s="63"/>
      <c r="K852" s="59"/>
      <c r="L852" s="59"/>
      <c r="N852" s="58" t="str">
        <f t="shared" si="3"/>
        <v/>
      </c>
    </row>
    <row r="853" spans="1:14" ht="12.5" x14ac:dyDescent="0.25">
      <c r="A853" s="63" t="str">
        <f t="shared" si="2"/>
        <v/>
      </c>
      <c r="B853" s="63"/>
      <c r="C853" s="63"/>
      <c r="D853" s="63"/>
      <c r="E853" s="63"/>
      <c r="F853" s="63"/>
      <c r="G853" s="63"/>
      <c r="H853" s="63"/>
      <c r="I853" s="63"/>
      <c r="J853" s="63"/>
      <c r="K853" s="59"/>
      <c r="L853" s="59"/>
      <c r="N853" s="58" t="str">
        <f t="shared" si="3"/>
        <v/>
      </c>
    </row>
    <row r="854" spans="1:14" ht="12.5" x14ac:dyDescent="0.25">
      <c r="A854" s="63" t="str">
        <f t="shared" si="2"/>
        <v/>
      </c>
      <c r="B854" s="63"/>
      <c r="C854" s="63"/>
      <c r="D854" s="63"/>
      <c r="E854" s="63"/>
      <c r="F854" s="63"/>
      <c r="G854" s="63"/>
      <c r="H854" s="63"/>
      <c r="I854" s="63"/>
      <c r="J854" s="63"/>
      <c r="K854" s="59"/>
      <c r="L854" s="59"/>
      <c r="N854" s="58" t="str">
        <f t="shared" si="3"/>
        <v/>
      </c>
    </row>
    <row r="855" spans="1:14" ht="12.5" x14ac:dyDescent="0.25">
      <c r="A855" s="63" t="str">
        <f t="shared" si="2"/>
        <v/>
      </c>
      <c r="B855" s="63"/>
      <c r="C855" s="63"/>
      <c r="D855" s="63"/>
      <c r="E855" s="63"/>
      <c r="F855" s="63"/>
      <c r="G855" s="63"/>
      <c r="H855" s="63"/>
      <c r="I855" s="63"/>
      <c r="J855" s="63"/>
      <c r="K855" s="59"/>
      <c r="L855" s="59"/>
      <c r="N855" s="58" t="str">
        <f t="shared" si="3"/>
        <v/>
      </c>
    </row>
    <row r="856" spans="1:14" ht="12.5" x14ac:dyDescent="0.25">
      <c r="A856" s="63" t="str">
        <f t="shared" si="2"/>
        <v/>
      </c>
      <c r="B856" s="63"/>
      <c r="C856" s="63"/>
      <c r="D856" s="63"/>
      <c r="E856" s="63"/>
      <c r="F856" s="63"/>
      <c r="G856" s="63"/>
      <c r="H856" s="63"/>
      <c r="I856" s="63"/>
      <c r="J856" s="63"/>
      <c r="K856" s="59"/>
      <c r="L856" s="59"/>
      <c r="N856" s="58" t="str">
        <f t="shared" si="3"/>
        <v/>
      </c>
    </row>
    <row r="857" spans="1:14" ht="12.5" x14ac:dyDescent="0.25">
      <c r="A857" s="63" t="str">
        <f t="shared" si="2"/>
        <v/>
      </c>
      <c r="B857" s="63"/>
      <c r="C857" s="63"/>
      <c r="D857" s="63"/>
      <c r="E857" s="63"/>
      <c r="F857" s="63"/>
      <c r="G857" s="63"/>
      <c r="H857" s="63"/>
      <c r="I857" s="63"/>
      <c r="J857" s="63"/>
      <c r="K857" s="59"/>
      <c r="L857" s="59"/>
      <c r="N857" s="58" t="str">
        <f t="shared" si="3"/>
        <v/>
      </c>
    </row>
    <row r="858" spans="1:14" ht="12.5" x14ac:dyDescent="0.25">
      <c r="A858" s="63" t="str">
        <f t="shared" si="2"/>
        <v/>
      </c>
      <c r="B858" s="63"/>
      <c r="C858" s="63"/>
      <c r="D858" s="63"/>
      <c r="E858" s="63"/>
      <c r="F858" s="63"/>
      <c r="G858" s="63"/>
      <c r="H858" s="63"/>
      <c r="I858" s="63"/>
      <c r="J858" s="63"/>
      <c r="K858" s="59"/>
      <c r="L858" s="59"/>
      <c r="N858" s="58" t="str">
        <f t="shared" si="3"/>
        <v/>
      </c>
    </row>
    <row r="859" spans="1:14" ht="12.5" x14ac:dyDescent="0.25">
      <c r="A859" s="63" t="str">
        <f t="shared" si="2"/>
        <v/>
      </c>
      <c r="B859" s="63"/>
      <c r="C859" s="63"/>
      <c r="D859" s="63"/>
      <c r="E859" s="63"/>
      <c r="F859" s="63"/>
      <c r="G859" s="63"/>
      <c r="H859" s="63"/>
      <c r="I859" s="63"/>
      <c r="J859" s="63"/>
      <c r="K859" s="59"/>
      <c r="L859" s="59"/>
      <c r="N859" s="58" t="str">
        <f t="shared" si="3"/>
        <v/>
      </c>
    </row>
    <row r="860" spans="1:14" ht="12.5" x14ac:dyDescent="0.25">
      <c r="A860" s="63" t="str">
        <f t="shared" si="2"/>
        <v/>
      </c>
      <c r="B860" s="63"/>
      <c r="C860" s="63"/>
      <c r="D860" s="63"/>
      <c r="E860" s="63"/>
      <c r="F860" s="63"/>
      <c r="G860" s="63"/>
      <c r="H860" s="63"/>
      <c r="I860" s="63"/>
      <c r="J860" s="63"/>
      <c r="K860" s="59"/>
      <c r="L860" s="59"/>
      <c r="N860" s="58" t="str">
        <f t="shared" si="3"/>
        <v/>
      </c>
    </row>
    <row r="861" spans="1:14" ht="12.5" x14ac:dyDescent="0.25">
      <c r="A861" s="63" t="str">
        <f t="shared" si="2"/>
        <v/>
      </c>
      <c r="B861" s="63"/>
      <c r="C861" s="63"/>
      <c r="D861" s="63"/>
      <c r="E861" s="63"/>
      <c r="F861" s="63"/>
      <c r="G861" s="63"/>
      <c r="H861" s="63"/>
      <c r="I861" s="63"/>
      <c r="J861" s="63"/>
      <c r="K861" s="59"/>
      <c r="L861" s="59"/>
      <c r="N861" s="58" t="str">
        <f t="shared" si="3"/>
        <v/>
      </c>
    </row>
    <row r="862" spans="1:14" ht="12.5" x14ac:dyDescent="0.25">
      <c r="A862" s="63" t="str">
        <f t="shared" si="2"/>
        <v/>
      </c>
      <c r="B862" s="63"/>
      <c r="C862" s="63"/>
      <c r="D862" s="63"/>
      <c r="E862" s="63"/>
      <c r="F862" s="63"/>
      <c r="G862" s="63"/>
      <c r="H862" s="63"/>
      <c r="I862" s="63"/>
      <c r="J862" s="63"/>
      <c r="K862" s="59"/>
      <c r="L862" s="59"/>
      <c r="N862" s="58" t="str">
        <f t="shared" si="3"/>
        <v/>
      </c>
    </row>
    <row r="863" spans="1:14" ht="12.5" x14ac:dyDescent="0.25">
      <c r="A863" s="63" t="str">
        <f t="shared" si="2"/>
        <v/>
      </c>
      <c r="B863" s="63"/>
      <c r="C863" s="63"/>
      <c r="D863" s="63"/>
      <c r="E863" s="63"/>
      <c r="F863" s="63"/>
      <c r="G863" s="63"/>
      <c r="H863" s="63"/>
      <c r="I863" s="63"/>
      <c r="J863" s="63"/>
      <c r="K863" s="59"/>
      <c r="L863" s="59"/>
      <c r="N863" s="58" t="str">
        <f t="shared" si="3"/>
        <v/>
      </c>
    </row>
    <row r="864" spans="1:14" ht="12.5" x14ac:dyDescent="0.25">
      <c r="A864" s="63" t="str">
        <f t="shared" si="2"/>
        <v/>
      </c>
      <c r="B864" s="63"/>
      <c r="C864" s="63"/>
      <c r="D864" s="63"/>
      <c r="E864" s="63"/>
      <c r="F864" s="63"/>
      <c r="G864" s="63"/>
      <c r="H864" s="63"/>
      <c r="I864" s="63"/>
      <c r="J864" s="63"/>
      <c r="K864" s="59"/>
      <c r="L864" s="59"/>
      <c r="N864" s="58" t="str">
        <f t="shared" si="3"/>
        <v/>
      </c>
    </row>
    <row r="865" spans="1:14" ht="12.5" x14ac:dyDescent="0.25">
      <c r="A865" s="63" t="str">
        <f t="shared" si="2"/>
        <v/>
      </c>
      <c r="B865" s="63"/>
      <c r="C865" s="63"/>
      <c r="D865" s="63"/>
      <c r="E865" s="63"/>
      <c r="F865" s="63"/>
      <c r="G865" s="63"/>
      <c r="H865" s="63"/>
      <c r="I865" s="63"/>
      <c r="J865" s="63"/>
      <c r="K865" s="59"/>
      <c r="L865" s="59"/>
      <c r="N865" s="58" t="str">
        <f t="shared" si="3"/>
        <v/>
      </c>
    </row>
    <row r="866" spans="1:14" ht="12.5" x14ac:dyDescent="0.25">
      <c r="A866" s="63" t="str">
        <f t="shared" si="2"/>
        <v/>
      </c>
      <c r="B866" s="63"/>
      <c r="C866" s="63"/>
      <c r="D866" s="63"/>
      <c r="E866" s="63"/>
      <c r="F866" s="63"/>
      <c r="G866" s="63"/>
      <c r="H866" s="63"/>
      <c r="I866" s="63"/>
      <c r="J866" s="63"/>
      <c r="K866" s="59"/>
      <c r="L866" s="59"/>
      <c r="N866" s="58" t="str">
        <f t="shared" si="3"/>
        <v/>
      </c>
    </row>
    <row r="867" spans="1:14" ht="12.5" x14ac:dyDescent="0.25">
      <c r="A867" s="63" t="str">
        <f t="shared" si="2"/>
        <v/>
      </c>
      <c r="B867" s="63"/>
      <c r="C867" s="63"/>
      <c r="D867" s="63"/>
      <c r="E867" s="63"/>
      <c r="F867" s="63"/>
      <c r="G867" s="63"/>
      <c r="H867" s="63"/>
      <c r="I867" s="63"/>
      <c r="J867" s="63"/>
      <c r="K867" s="59"/>
      <c r="L867" s="59"/>
      <c r="N867" s="58" t="str">
        <f t="shared" si="3"/>
        <v/>
      </c>
    </row>
    <row r="868" spans="1:14" ht="12.5" x14ac:dyDescent="0.25">
      <c r="A868" s="63" t="str">
        <f t="shared" si="2"/>
        <v/>
      </c>
      <c r="B868" s="63"/>
      <c r="C868" s="63"/>
      <c r="D868" s="63"/>
      <c r="E868" s="63"/>
      <c r="F868" s="63"/>
      <c r="G868" s="63"/>
      <c r="H868" s="63"/>
      <c r="I868" s="63"/>
      <c r="J868" s="63"/>
      <c r="K868" s="59"/>
      <c r="L868" s="59"/>
      <c r="N868" s="58" t="str">
        <f t="shared" si="3"/>
        <v/>
      </c>
    </row>
    <row r="869" spans="1:14" ht="12.5" x14ac:dyDescent="0.25">
      <c r="A869" s="63" t="str">
        <f t="shared" si="2"/>
        <v/>
      </c>
      <c r="B869" s="63"/>
      <c r="C869" s="63"/>
      <c r="D869" s="63"/>
      <c r="E869" s="63"/>
      <c r="F869" s="63"/>
      <c r="G869" s="63"/>
      <c r="H869" s="63"/>
      <c r="I869" s="63"/>
      <c r="J869" s="63"/>
      <c r="K869" s="59"/>
      <c r="L869" s="59"/>
      <c r="N869" s="58" t="str">
        <f t="shared" si="3"/>
        <v/>
      </c>
    </row>
    <row r="870" spans="1:14" ht="12.5" x14ac:dyDescent="0.25">
      <c r="A870" s="63" t="str">
        <f t="shared" si="2"/>
        <v/>
      </c>
      <c r="B870" s="63"/>
      <c r="C870" s="63"/>
      <c r="D870" s="63"/>
      <c r="E870" s="63"/>
      <c r="F870" s="63"/>
      <c r="G870" s="63"/>
      <c r="H870" s="63"/>
      <c r="I870" s="63"/>
      <c r="J870" s="63"/>
      <c r="K870" s="59"/>
      <c r="L870" s="59"/>
      <c r="N870" s="58" t="str">
        <f t="shared" si="3"/>
        <v/>
      </c>
    </row>
    <row r="871" spans="1:14" ht="12.5" x14ac:dyDescent="0.25">
      <c r="A871" s="63" t="str">
        <f t="shared" si="2"/>
        <v/>
      </c>
      <c r="B871" s="63"/>
      <c r="C871" s="63"/>
      <c r="D871" s="63"/>
      <c r="E871" s="63"/>
      <c r="F871" s="63"/>
      <c r="G871" s="63"/>
      <c r="H871" s="63"/>
      <c r="I871" s="63"/>
      <c r="J871" s="63"/>
      <c r="K871" s="59"/>
      <c r="L871" s="59"/>
      <c r="N871" s="58" t="str">
        <f t="shared" si="3"/>
        <v/>
      </c>
    </row>
    <row r="872" spans="1:14" ht="12.5" x14ac:dyDescent="0.25">
      <c r="A872" s="63" t="str">
        <f t="shared" si="2"/>
        <v/>
      </c>
      <c r="B872" s="63"/>
      <c r="C872" s="63"/>
      <c r="D872" s="63"/>
      <c r="E872" s="63"/>
      <c r="F872" s="63"/>
      <c r="G872" s="63"/>
      <c r="H872" s="63"/>
      <c r="I872" s="63"/>
      <c r="J872" s="63"/>
      <c r="K872" s="59"/>
      <c r="L872" s="59"/>
      <c r="N872" s="58" t="str">
        <f t="shared" si="3"/>
        <v/>
      </c>
    </row>
    <row r="873" spans="1:14" ht="12.5" x14ac:dyDescent="0.25">
      <c r="A873" s="63" t="str">
        <f t="shared" si="2"/>
        <v/>
      </c>
      <c r="B873" s="63"/>
      <c r="C873" s="63"/>
      <c r="D873" s="63"/>
      <c r="E873" s="63"/>
      <c r="F873" s="63"/>
      <c r="G873" s="63"/>
      <c r="H873" s="63"/>
      <c r="I873" s="63"/>
      <c r="J873" s="63"/>
      <c r="K873" s="59"/>
      <c r="L873" s="59"/>
      <c r="N873" s="58" t="str">
        <f t="shared" si="3"/>
        <v/>
      </c>
    </row>
    <row r="874" spans="1:14" ht="12.5" x14ac:dyDescent="0.25">
      <c r="A874" s="63" t="str">
        <f t="shared" si="2"/>
        <v/>
      </c>
      <c r="B874" s="63"/>
      <c r="C874" s="63"/>
      <c r="D874" s="63"/>
      <c r="E874" s="63"/>
      <c r="F874" s="63"/>
      <c r="G874" s="63"/>
      <c r="H874" s="63"/>
      <c r="I874" s="63"/>
      <c r="J874" s="63"/>
      <c r="K874" s="59"/>
      <c r="L874" s="59"/>
      <c r="N874" s="58" t="str">
        <f t="shared" si="3"/>
        <v/>
      </c>
    </row>
    <row r="875" spans="1:14" ht="12.5" x14ac:dyDescent="0.25">
      <c r="A875" s="63" t="str">
        <f t="shared" si="2"/>
        <v/>
      </c>
      <c r="B875" s="63"/>
      <c r="C875" s="63"/>
      <c r="D875" s="63"/>
      <c r="E875" s="63"/>
      <c r="F875" s="63"/>
      <c r="G875" s="63"/>
      <c r="H875" s="63"/>
      <c r="I875" s="63"/>
      <c r="J875" s="63"/>
      <c r="K875" s="59"/>
      <c r="L875" s="59"/>
      <c r="N875" s="58" t="str">
        <f t="shared" si="3"/>
        <v/>
      </c>
    </row>
    <row r="876" spans="1:14" ht="12.5" x14ac:dyDescent="0.25">
      <c r="A876" s="63" t="str">
        <f t="shared" si="2"/>
        <v/>
      </c>
      <c r="B876" s="63"/>
      <c r="C876" s="63"/>
      <c r="D876" s="63"/>
      <c r="E876" s="63"/>
      <c r="F876" s="63"/>
      <c r="G876" s="63"/>
      <c r="H876" s="63"/>
      <c r="I876" s="63"/>
      <c r="J876" s="63"/>
      <c r="K876" s="59"/>
      <c r="L876" s="59"/>
      <c r="N876" s="58" t="str">
        <f t="shared" si="3"/>
        <v/>
      </c>
    </row>
    <row r="877" spans="1:14" ht="12.5" x14ac:dyDescent="0.25">
      <c r="A877" s="63" t="str">
        <f t="shared" si="2"/>
        <v/>
      </c>
      <c r="B877" s="63"/>
      <c r="C877" s="63"/>
      <c r="D877" s="63"/>
      <c r="E877" s="63"/>
      <c r="F877" s="63"/>
      <c r="G877" s="63"/>
      <c r="H877" s="63"/>
      <c r="I877" s="63"/>
      <c r="J877" s="63"/>
      <c r="K877" s="59"/>
      <c r="L877" s="59"/>
      <c r="N877" s="58" t="str">
        <f t="shared" si="3"/>
        <v/>
      </c>
    </row>
    <row r="878" spans="1:14" ht="12.5" x14ac:dyDescent="0.25">
      <c r="A878" s="63" t="str">
        <f t="shared" si="2"/>
        <v/>
      </c>
      <c r="B878" s="63"/>
      <c r="C878" s="63"/>
      <c r="D878" s="63"/>
      <c r="E878" s="63"/>
      <c r="F878" s="63"/>
      <c r="G878" s="63"/>
      <c r="H878" s="63"/>
      <c r="I878" s="63"/>
      <c r="J878" s="63"/>
      <c r="K878" s="59"/>
      <c r="L878" s="59"/>
      <c r="N878" s="58" t="str">
        <f t="shared" si="3"/>
        <v/>
      </c>
    </row>
    <row r="879" spans="1:14" ht="12.5" x14ac:dyDescent="0.25">
      <c r="A879" s="63" t="str">
        <f t="shared" si="2"/>
        <v/>
      </c>
      <c r="B879" s="63"/>
      <c r="C879" s="63"/>
      <c r="D879" s="63"/>
      <c r="E879" s="63"/>
      <c r="F879" s="63"/>
      <c r="G879" s="63"/>
      <c r="H879" s="63"/>
      <c r="I879" s="63"/>
      <c r="J879" s="63"/>
      <c r="K879" s="59"/>
      <c r="L879" s="59"/>
      <c r="N879" s="58" t="str">
        <f t="shared" si="3"/>
        <v/>
      </c>
    </row>
    <row r="880" spans="1:14" ht="12.5" x14ac:dyDescent="0.25">
      <c r="A880" s="63" t="str">
        <f t="shared" si="2"/>
        <v/>
      </c>
      <c r="B880" s="63"/>
      <c r="C880" s="63"/>
      <c r="D880" s="63"/>
      <c r="E880" s="63"/>
      <c r="F880" s="63"/>
      <c r="G880" s="63"/>
      <c r="H880" s="63"/>
      <c r="I880" s="63"/>
      <c r="J880" s="63"/>
      <c r="K880" s="59"/>
      <c r="L880" s="59"/>
      <c r="N880" s="58" t="str">
        <f t="shared" si="3"/>
        <v/>
      </c>
    </row>
    <row r="881" spans="1:14" ht="12.5" x14ac:dyDescent="0.25">
      <c r="A881" s="63" t="str">
        <f t="shared" si="2"/>
        <v/>
      </c>
      <c r="B881" s="63"/>
      <c r="C881" s="63"/>
      <c r="D881" s="63"/>
      <c r="E881" s="63"/>
      <c r="F881" s="63"/>
      <c r="G881" s="63"/>
      <c r="H881" s="63"/>
      <c r="I881" s="63"/>
      <c r="J881" s="63"/>
      <c r="K881" s="59"/>
      <c r="L881" s="59"/>
      <c r="N881" s="58" t="str">
        <f t="shared" si="3"/>
        <v/>
      </c>
    </row>
    <row r="882" spans="1:14" ht="12.5" x14ac:dyDescent="0.25">
      <c r="A882" s="63" t="str">
        <f t="shared" si="2"/>
        <v/>
      </c>
      <c r="B882" s="63"/>
      <c r="C882" s="63"/>
      <c r="D882" s="63"/>
      <c r="E882" s="63"/>
      <c r="F882" s="63"/>
      <c r="G882" s="63"/>
      <c r="H882" s="63"/>
      <c r="I882" s="63"/>
      <c r="J882" s="63"/>
      <c r="K882" s="59"/>
      <c r="L882" s="59"/>
      <c r="N882" s="58" t="str">
        <f t="shared" si="3"/>
        <v/>
      </c>
    </row>
    <row r="883" spans="1:14" ht="12.5" x14ac:dyDescent="0.25">
      <c r="A883" s="63" t="str">
        <f t="shared" si="2"/>
        <v/>
      </c>
      <c r="B883" s="63"/>
      <c r="C883" s="63"/>
      <c r="D883" s="63"/>
      <c r="E883" s="63"/>
      <c r="F883" s="63"/>
      <c r="G883" s="63"/>
      <c r="H883" s="63"/>
      <c r="I883" s="63"/>
      <c r="J883" s="63"/>
      <c r="K883" s="59"/>
      <c r="L883" s="59"/>
      <c r="N883" s="58" t="str">
        <f t="shared" si="3"/>
        <v/>
      </c>
    </row>
    <row r="884" spans="1:14" ht="12.5" x14ac:dyDescent="0.25">
      <c r="A884" s="63" t="str">
        <f t="shared" si="2"/>
        <v/>
      </c>
      <c r="B884" s="63"/>
      <c r="C884" s="63"/>
      <c r="D884" s="63"/>
      <c r="E884" s="63"/>
      <c r="F884" s="63"/>
      <c r="G884" s="63"/>
      <c r="H884" s="63"/>
      <c r="I884" s="63"/>
      <c r="J884" s="63"/>
      <c r="K884" s="59"/>
      <c r="L884" s="59"/>
      <c r="N884" s="58" t="str">
        <f t="shared" si="3"/>
        <v/>
      </c>
    </row>
    <row r="885" spans="1:14" ht="12.5" x14ac:dyDescent="0.25">
      <c r="A885" s="63" t="str">
        <f t="shared" si="2"/>
        <v/>
      </c>
      <c r="B885" s="63"/>
      <c r="C885" s="63"/>
      <c r="D885" s="63"/>
      <c r="E885" s="63"/>
      <c r="F885" s="63"/>
      <c r="G885" s="63"/>
      <c r="H885" s="63"/>
      <c r="I885" s="63"/>
      <c r="J885" s="63"/>
      <c r="K885" s="59"/>
      <c r="L885" s="59"/>
      <c r="N885" s="58" t="str">
        <f t="shared" si="3"/>
        <v/>
      </c>
    </row>
    <row r="886" spans="1:14" ht="12.5" x14ac:dyDescent="0.25">
      <c r="A886" s="63" t="str">
        <f t="shared" si="2"/>
        <v/>
      </c>
      <c r="B886" s="63"/>
      <c r="C886" s="63"/>
      <c r="D886" s="63"/>
      <c r="E886" s="63"/>
      <c r="F886" s="63"/>
      <c r="G886" s="63"/>
      <c r="H886" s="63"/>
      <c r="I886" s="63"/>
      <c r="J886" s="63"/>
      <c r="K886" s="59"/>
      <c r="L886" s="59"/>
      <c r="N886" s="58" t="str">
        <f t="shared" si="3"/>
        <v/>
      </c>
    </row>
    <row r="887" spans="1:14" ht="12.5" x14ac:dyDescent="0.25">
      <c r="A887" s="63" t="str">
        <f t="shared" si="2"/>
        <v/>
      </c>
      <c r="B887" s="63"/>
      <c r="C887" s="63"/>
      <c r="D887" s="63"/>
      <c r="E887" s="63"/>
      <c r="F887" s="63"/>
      <c r="G887" s="63"/>
      <c r="H887" s="63"/>
      <c r="I887" s="63"/>
      <c r="J887" s="63"/>
      <c r="K887" s="59"/>
      <c r="L887" s="59"/>
      <c r="N887" s="58" t="str">
        <f t="shared" si="3"/>
        <v/>
      </c>
    </row>
    <row r="888" spans="1:14" ht="12.5" x14ac:dyDescent="0.25">
      <c r="A888" s="63" t="str">
        <f t="shared" si="2"/>
        <v/>
      </c>
      <c r="B888" s="63"/>
      <c r="C888" s="63"/>
      <c r="D888" s="63"/>
      <c r="E888" s="63"/>
      <c r="F888" s="63"/>
      <c r="G888" s="63"/>
      <c r="H888" s="63"/>
      <c r="I888" s="63"/>
      <c r="J888" s="63"/>
      <c r="K888" s="59"/>
      <c r="L888" s="59"/>
      <c r="N888" s="58" t="str">
        <f t="shared" si="3"/>
        <v/>
      </c>
    </row>
    <row r="889" spans="1:14" ht="12.5" x14ac:dyDescent="0.25">
      <c r="A889" s="63" t="str">
        <f t="shared" si="2"/>
        <v/>
      </c>
      <c r="B889" s="63"/>
      <c r="C889" s="63"/>
      <c r="D889" s="63"/>
      <c r="E889" s="63"/>
      <c r="F889" s="63"/>
      <c r="G889" s="63"/>
      <c r="H889" s="63"/>
      <c r="I889" s="63"/>
      <c r="J889" s="63"/>
      <c r="K889" s="59"/>
      <c r="L889" s="59"/>
      <c r="N889" s="58" t="str">
        <f t="shared" si="3"/>
        <v/>
      </c>
    </row>
    <row r="890" spans="1:14" ht="12.5" x14ac:dyDescent="0.25">
      <c r="A890" s="63" t="str">
        <f t="shared" si="2"/>
        <v/>
      </c>
      <c r="B890" s="63"/>
      <c r="C890" s="63"/>
      <c r="D890" s="63"/>
      <c r="E890" s="63"/>
      <c r="F890" s="63"/>
      <c r="G890" s="63"/>
      <c r="H890" s="63"/>
      <c r="I890" s="63"/>
      <c r="J890" s="63"/>
      <c r="K890" s="59"/>
      <c r="L890" s="59"/>
      <c r="N890" s="58" t="str">
        <f t="shared" si="3"/>
        <v/>
      </c>
    </row>
    <row r="891" spans="1:14" ht="12.5" x14ac:dyDescent="0.25">
      <c r="A891" s="63" t="str">
        <f t="shared" si="2"/>
        <v/>
      </c>
      <c r="B891" s="63"/>
      <c r="C891" s="63"/>
      <c r="D891" s="63"/>
      <c r="E891" s="63"/>
      <c r="F891" s="63"/>
      <c r="G891" s="63"/>
      <c r="H891" s="63"/>
      <c r="I891" s="63"/>
      <c r="J891" s="63"/>
      <c r="K891" s="59"/>
      <c r="L891" s="59"/>
      <c r="N891" s="58" t="str">
        <f t="shared" si="3"/>
        <v/>
      </c>
    </row>
    <row r="892" spans="1:14" ht="12.5" x14ac:dyDescent="0.25">
      <c r="A892" s="63" t="str">
        <f t="shared" si="2"/>
        <v/>
      </c>
      <c r="B892" s="63"/>
      <c r="C892" s="63"/>
      <c r="D892" s="63"/>
      <c r="E892" s="63"/>
      <c r="F892" s="63"/>
      <c r="G892" s="63"/>
      <c r="H892" s="63"/>
      <c r="I892" s="63"/>
      <c r="J892" s="63"/>
      <c r="K892" s="59"/>
      <c r="L892" s="59"/>
      <c r="N892" s="58" t="str">
        <f t="shared" si="3"/>
        <v/>
      </c>
    </row>
    <row r="893" spans="1:14" ht="12.5" x14ac:dyDescent="0.25">
      <c r="A893" s="63" t="str">
        <f t="shared" si="2"/>
        <v/>
      </c>
      <c r="B893" s="63"/>
      <c r="C893" s="63"/>
      <c r="D893" s="63"/>
      <c r="E893" s="63"/>
      <c r="F893" s="63"/>
      <c r="G893" s="63"/>
      <c r="H893" s="63"/>
      <c r="I893" s="63"/>
      <c r="J893" s="63"/>
      <c r="K893" s="59"/>
      <c r="L893" s="59"/>
      <c r="N893" s="58" t="str">
        <f t="shared" si="3"/>
        <v/>
      </c>
    </row>
    <row r="894" spans="1:14" ht="12.5" x14ac:dyDescent="0.25">
      <c r="A894" s="63" t="str">
        <f t="shared" si="2"/>
        <v/>
      </c>
      <c r="B894" s="63"/>
      <c r="C894" s="63"/>
      <c r="D894" s="63"/>
      <c r="E894" s="63"/>
      <c r="F894" s="63"/>
      <c r="G894" s="63"/>
      <c r="H894" s="63"/>
      <c r="I894" s="63"/>
      <c r="J894" s="63"/>
      <c r="K894" s="59"/>
      <c r="L894" s="59"/>
      <c r="N894" s="58" t="str">
        <f t="shared" si="3"/>
        <v/>
      </c>
    </row>
    <row r="895" spans="1:14" ht="12.5" x14ac:dyDescent="0.25">
      <c r="A895" s="63" t="str">
        <f t="shared" si="2"/>
        <v/>
      </c>
      <c r="B895" s="63"/>
      <c r="C895" s="63"/>
      <c r="D895" s="63"/>
      <c r="E895" s="63"/>
      <c r="F895" s="63"/>
      <c r="G895" s="63"/>
      <c r="H895" s="63"/>
      <c r="I895" s="63"/>
      <c r="J895" s="63"/>
      <c r="K895" s="59"/>
      <c r="L895" s="59"/>
      <c r="N895" s="58" t="str">
        <f t="shared" si="3"/>
        <v/>
      </c>
    </row>
    <row r="896" spans="1:14" ht="12.5" x14ac:dyDescent="0.25">
      <c r="A896" s="63" t="str">
        <f t="shared" si="2"/>
        <v/>
      </c>
      <c r="B896" s="63"/>
      <c r="C896" s="63"/>
      <c r="D896" s="63"/>
      <c r="E896" s="63"/>
      <c r="F896" s="63"/>
      <c r="G896" s="63"/>
      <c r="H896" s="63"/>
      <c r="I896" s="63"/>
      <c r="J896" s="63"/>
      <c r="K896" s="59"/>
      <c r="L896" s="59"/>
      <c r="N896" s="58" t="str">
        <f t="shared" si="3"/>
        <v/>
      </c>
    </row>
    <row r="897" spans="1:14" ht="12.5" x14ac:dyDescent="0.25">
      <c r="A897" s="63" t="str">
        <f t="shared" si="2"/>
        <v/>
      </c>
      <c r="B897" s="63"/>
      <c r="C897" s="63"/>
      <c r="D897" s="63"/>
      <c r="E897" s="63"/>
      <c r="F897" s="63"/>
      <c r="G897" s="63"/>
      <c r="H897" s="63"/>
      <c r="I897" s="63"/>
      <c r="J897" s="63"/>
      <c r="K897" s="59"/>
      <c r="L897" s="59"/>
      <c r="N897" s="58" t="str">
        <f t="shared" si="3"/>
        <v/>
      </c>
    </row>
    <row r="898" spans="1:14" ht="12.5" x14ac:dyDescent="0.25">
      <c r="A898" s="63" t="str">
        <f t="shared" si="2"/>
        <v/>
      </c>
      <c r="B898" s="63"/>
      <c r="C898" s="63"/>
      <c r="D898" s="63"/>
      <c r="E898" s="63"/>
      <c r="F898" s="63"/>
      <c r="G898" s="63"/>
      <c r="H898" s="63"/>
      <c r="I898" s="63"/>
      <c r="J898" s="63"/>
      <c r="K898" s="59"/>
      <c r="L898" s="59"/>
      <c r="N898" s="58" t="str">
        <f t="shared" si="3"/>
        <v/>
      </c>
    </row>
    <row r="899" spans="1:14" ht="12.5" x14ac:dyDescent="0.25">
      <c r="A899" s="63" t="str">
        <f t="shared" si="2"/>
        <v/>
      </c>
      <c r="B899" s="63"/>
      <c r="C899" s="63"/>
      <c r="D899" s="63"/>
      <c r="E899" s="63"/>
      <c r="F899" s="63"/>
      <c r="G899" s="63"/>
      <c r="H899" s="63"/>
      <c r="I899" s="63"/>
      <c r="J899" s="63"/>
      <c r="K899" s="59"/>
      <c r="L899" s="59"/>
      <c r="N899" s="58" t="str">
        <f t="shared" si="3"/>
        <v/>
      </c>
    </row>
    <row r="900" spans="1:14" ht="12.5" x14ac:dyDescent="0.25">
      <c r="A900" s="63" t="str">
        <f t="shared" si="2"/>
        <v/>
      </c>
      <c r="B900" s="63"/>
      <c r="C900" s="63"/>
      <c r="D900" s="63"/>
      <c r="E900" s="63"/>
      <c r="F900" s="63"/>
      <c r="G900" s="63"/>
      <c r="H900" s="63"/>
      <c r="I900" s="63"/>
      <c r="J900" s="63"/>
      <c r="K900" s="59"/>
      <c r="L900" s="59"/>
      <c r="N900" s="58" t="str">
        <f t="shared" si="3"/>
        <v/>
      </c>
    </row>
    <row r="901" spans="1:14" ht="12.5" x14ac:dyDescent="0.25">
      <c r="A901" s="63" t="str">
        <f t="shared" si="2"/>
        <v/>
      </c>
      <c r="B901" s="63"/>
      <c r="C901" s="63"/>
      <c r="D901" s="63"/>
      <c r="E901" s="63"/>
      <c r="F901" s="63"/>
      <c r="G901" s="63"/>
      <c r="H901" s="63"/>
      <c r="I901" s="63"/>
      <c r="J901" s="63"/>
      <c r="K901" s="59"/>
      <c r="L901" s="59"/>
      <c r="N901" s="58" t="str">
        <f t="shared" si="3"/>
        <v/>
      </c>
    </row>
    <row r="902" spans="1:14" ht="12.5" x14ac:dyDescent="0.25">
      <c r="A902" s="63" t="str">
        <f t="shared" si="2"/>
        <v/>
      </c>
      <c r="B902" s="63"/>
      <c r="C902" s="63"/>
      <c r="D902" s="63"/>
      <c r="E902" s="63"/>
      <c r="F902" s="63"/>
      <c r="G902" s="63"/>
      <c r="H902" s="63"/>
      <c r="I902" s="63"/>
      <c r="J902" s="63"/>
      <c r="K902" s="59"/>
      <c r="L902" s="59"/>
      <c r="N902" s="58" t="str">
        <f t="shared" si="3"/>
        <v/>
      </c>
    </row>
    <row r="903" spans="1:14" ht="12.5" x14ac:dyDescent="0.25">
      <c r="A903" s="63" t="str">
        <f t="shared" si="2"/>
        <v/>
      </c>
      <c r="B903" s="63"/>
      <c r="C903" s="63"/>
      <c r="D903" s="63"/>
      <c r="E903" s="63"/>
      <c r="F903" s="63"/>
      <c r="G903" s="63"/>
      <c r="H903" s="63"/>
      <c r="I903" s="63"/>
      <c r="J903" s="63"/>
      <c r="K903" s="59"/>
      <c r="L903" s="59"/>
      <c r="N903" s="58" t="str">
        <f t="shared" si="3"/>
        <v/>
      </c>
    </row>
    <row r="904" spans="1:14" ht="12.5" x14ac:dyDescent="0.25">
      <c r="A904" s="63" t="str">
        <f t="shared" si="2"/>
        <v/>
      </c>
      <c r="B904" s="63"/>
      <c r="C904" s="63"/>
      <c r="D904" s="63"/>
      <c r="E904" s="63"/>
      <c r="F904" s="63"/>
      <c r="G904" s="63"/>
      <c r="H904" s="63"/>
      <c r="I904" s="63"/>
      <c r="J904" s="63"/>
      <c r="K904" s="59"/>
      <c r="L904" s="59"/>
      <c r="N904" s="58" t="str">
        <f t="shared" si="3"/>
        <v/>
      </c>
    </row>
    <row r="905" spans="1:14" ht="12.5" x14ac:dyDescent="0.25">
      <c r="A905" s="63" t="str">
        <f t="shared" si="2"/>
        <v/>
      </c>
      <c r="B905" s="63"/>
      <c r="C905" s="63"/>
      <c r="D905" s="63"/>
      <c r="E905" s="63"/>
      <c r="F905" s="63"/>
      <c r="G905" s="63"/>
      <c r="H905" s="63"/>
      <c r="I905" s="63"/>
      <c r="J905" s="63"/>
      <c r="K905" s="59"/>
      <c r="L905" s="59"/>
      <c r="N905" s="58" t="str">
        <f t="shared" si="3"/>
        <v/>
      </c>
    </row>
    <row r="906" spans="1:14" ht="12.5" x14ac:dyDescent="0.25">
      <c r="A906" s="63" t="str">
        <f t="shared" si="2"/>
        <v/>
      </c>
      <c r="B906" s="63"/>
      <c r="C906" s="63"/>
      <c r="D906" s="63"/>
      <c r="E906" s="63"/>
      <c r="F906" s="63"/>
      <c r="G906" s="63"/>
      <c r="H906" s="63"/>
      <c r="I906" s="63"/>
      <c r="J906" s="63"/>
      <c r="K906" s="59"/>
      <c r="L906" s="59"/>
      <c r="N906" s="58" t="str">
        <f t="shared" si="3"/>
        <v/>
      </c>
    </row>
    <row r="907" spans="1:14" ht="12.5" x14ac:dyDescent="0.25">
      <c r="A907" s="63" t="str">
        <f t="shared" si="2"/>
        <v/>
      </c>
      <c r="B907" s="63"/>
      <c r="C907" s="63"/>
      <c r="D907" s="63"/>
      <c r="E907" s="63"/>
      <c r="F907" s="63"/>
      <c r="G907" s="63"/>
      <c r="H907" s="63"/>
      <c r="I907" s="63"/>
      <c r="J907" s="63"/>
      <c r="K907" s="59"/>
      <c r="L907" s="59"/>
      <c r="N907" s="58" t="str">
        <f t="shared" si="3"/>
        <v/>
      </c>
    </row>
    <row r="908" spans="1:14" ht="12.5" x14ac:dyDescent="0.25">
      <c r="A908" s="63" t="str">
        <f t="shared" si="2"/>
        <v/>
      </c>
      <c r="B908" s="63"/>
      <c r="C908" s="63"/>
      <c r="D908" s="63"/>
      <c r="E908" s="63"/>
      <c r="F908" s="63"/>
      <c r="G908" s="63"/>
      <c r="H908" s="63"/>
      <c r="I908" s="63"/>
      <c r="J908" s="63"/>
      <c r="K908" s="59"/>
      <c r="L908" s="59"/>
      <c r="N908" s="58" t="str">
        <f t="shared" si="3"/>
        <v/>
      </c>
    </row>
    <row r="909" spans="1:14" ht="12.5" x14ac:dyDescent="0.25">
      <c r="A909" s="63" t="str">
        <f t="shared" si="2"/>
        <v/>
      </c>
      <c r="B909" s="63"/>
      <c r="C909" s="63"/>
      <c r="D909" s="63"/>
      <c r="E909" s="63"/>
      <c r="F909" s="63"/>
      <c r="G909" s="63"/>
      <c r="H909" s="63"/>
      <c r="I909" s="63"/>
      <c r="J909" s="63"/>
      <c r="K909" s="59"/>
      <c r="L909" s="59"/>
      <c r="N909" s="58" t="str">
        <f t="shared" si="3"/>
        <v/>
      </c>
    </row>
    <row r="910" spans="1:14" ht="12.5" x14ac:dyDescent="0.25">
      <c r="A910" s="63" t="str">
        <f t="shared" si="2"/>
        <v/>
      </c>
      <c r="B910" s="63"/>
      <c r="C910" s="63"/>
      <c r="D910" s="63"/>
      <c r="E910" s="63"/>
      <c r="F910" s="63"/>
      <c r="G910" s="63"/>
      <c r="H910" s="63"/>
      <c r="I910" s="63"/>
      <c r="J910" s="63"/>
      <c r="K910" s="59"/>
      <c r="L910" s="59"/>
      <c r="N910" s="58" t="str">
        <f t="shared" si="3"/>
        <v/>
      </c>
    </row>
    <row r="911" spans="1:14" ht="12.5" x14ac:dyDescent="0.25">
      <c r="A911" s="63" t="str">
        <f t="shared" si="2"/>
        <v/>
      </c>
      <c r="B911" s="63"/>
      <c r="C911" s="63"/>
      <c r="D911" s="63"/>
      <c r="E911" s="63"/>
      <c r="F911" s="63"/>
      <c r="G911" s="63"/>
      <c r="H911" s="63"/>
      <c r="I911" s="63"/>
      <c r="J911" s="63"/>
      <c r="K911" s="59"/>
      <c r="L911" s="59"/>
      <c r="N911" s="58" t="str">
        <f t="shared" si="3"/>
        <v/>
      </c>
    </row>
    <row r="912" spans="1:14" ht="12.5" x14ac:dyDescent="0.25">
      <c r="A912" s="63" t="str">
        <f t="shared" si="2"/>
        <v/>
      </c>
      <c r="B912" s="63"/>
      <c r="C912" s="63"/>
      <c r="D912" s="63"/>
      <c r="E912" s="63"/>
      <c r="F912" s="63"/>
      <c r="G912" s="63"/>
      <c r="H912" s="63"/>
      <c r="I912" s="63"/>
      <c r="J912" s="63"/>
      <c r="K912" s="59"/>
      <c r="L912" s="59"/>
      <c r="N912" s="58" t="str">
        <f t="shared" si="3"/>
        <v/>
      </c>
    </row>
    <row r="913" spans="1:14" ht="12.5" x14ac:dyDescent="0.25">
      <c r="A913" s="63" t="str">
        <f t="shared" si="2"/>
        <v/>
      </c>
      <c r="B913" s="63"/>
      <c r="C913" s="63"/>
      <c r="D913" s="63"/>
      <c r="E913" s="63"/>
      <c r="F913" s="63"/>
      <c r="G913" s="63"/>
      <c r="H913" s="63"/>
      <c r="I913" s="63"/>
      <c r="J913" s="63"/>
      <c r="K913" s="59"/>
      <c r="L913" s="59"/>
      <c r="N913" s="58" t="str">
        <f t="shared" si="3"/>
        <v/>
      </c>
    </row>
    <row r="914" spans="1:14" ht="12.5" x14ac:dyDescent="0.25">
      <c r="A914" s="63" t="str">
        <f t="shared" si="2"/>
        <v/>
      </c>
      <c r="B914" s="63"/>
      <c r="C914" s="63"/>
      <c r="D914" s="63"/>
      <c r="E914" s="63"/>
      <c r="F914" s="63"/>
      <c r="G914" s="63"/>
      <c r="H914" s="63"/>
      <c r="I914" s="63"/>
      <c r="J914" s="63"/>
      <c r="K914" s="59"/>
      <c r="L914" s="59"/>
      <c r="N914" s="58" t="str">
        <f t="shared" si="3"/>
        <v/>
      </c>
    </row>
    <row r="915" spans="1:14" ht="12.5" x14ac:dyDescent="0.25">
      <c r="A915" s="63" t="str">
        <f t="shared" si="2"/>
        <v/>
      </c>
      <c r="B915" s="63"/>
      <c r="C915" s="63"/>
      <c r="D915" s="63"/>
      <c r="E915" s="63"/>
      <c r="F915" s="63"/>
      <c r="G915" s="63"/>
      <c r="H915" s="63"/>
      <c r="I915" s="63"/>
      <c r="J915" s="63"/>
      <c r="K915" s="59"/>
      <c r="L915" s="59"/>
      <c r="N915" s="58" t="str">
        <f t="shared" si="3"/>
        <v/>
      </c>
    </row>
    <row r="916" spans="1:14" ht="12.5" x14ac:dyDescent="0.25">
      <c r="A916" s="63" t="str">
        <f t="shared" si="2"/>
        <v/>
      </c>
      <c r="B916" s="63"/>
      <c r="C916" s="63"/>
      <c r="D916" s="63"/>
      <c r="E916" s="63"/>
      <c r="F916" s="63"/>
      <c r="G916" s="63"/>
      <c r="H916" s="63"/>
      <c r="I916" s="63"/>
      <c r="J916" s="63"/>
      <c r="K916" s="59"/>
      <c r="L916" s="59"/>
      <c r="N916" s="58" t="str">
        <f t="shared" si="3"/>
        <v/>
      </c>
    </row>
    <row r="917" spans="1:14" ht="12.5" x14ac:dyDescent="0.25">
      <c r="A917" s="63" t="str">
        <f t="shared" si="2"/>
        <v/>
      </c>
      <c r="B917" s="63"/>
      <c r="C917" s="63"/>
      <c r="D917" s="63"/>
      <c r="E917" s="63"/>
      <c r="F917" s="63"/>
      <c r="G917" s="63"/>
      <c r="H917" s="63"/>
      <c r="I917" s="63"/>
      <c r="J917" s="63"/>
      <c r="K917" s="59"/>
      <c r="L917" s="59"/>
      <c r="N917" s="58" t="str">
        <f t="shared" si="3"/>
        <v/>
      </c>
    </row>
    <row r="918" spans="1:14" ht="12.5" x14ac:dyDescent="0.25">
      <c r="A918" s="63" t="str">
        <f t="shared" si="2"/>
        <v/>
      </c>
      <c r="B918" s="63"/>
      <c r="C918" s="63"/>
      <c r="D918" s="63"/>
      <c r="E918" s="63"/>
      <c r="F918" s="63"/>
      <c r="G918" s="63"/>
      <c r="H918" s="63"/>
      <c r="I918" s="63"/>
      <c r="J918" s="63"/>
      <c r="K918" s="59"/>
      <c r="L918" s="59"/>
      <c r="N918" s="58" t="str">
        <f t="shared" si="3"/>
        <v/>
      </c>
    </row>
    <row r="919" spans="1:14" ht="12.5" x14ac:dyDescent="0.25">
      <c r="A919" s="63" t="str">
        <f t="shared" si="2"/>
        <v/>
      </c>
      <c r="B919" s="63"/>
      <c r="C919" s="63"/>
      <c r="D919" s="63"/>
      <c r="E919" s="63"/>
      <c r="F919" s="63"/>
      <c r="G919" s="63"/>
      <c r="H919" s="63"/>
      <c r="I919" s="63"/>
      <c r="J919" s="63"/>
      <c r="K919" s="59"/>
      <c r="L919" s="59"/>
      <c r="N919" s="58" t="str">
        <f t="shared" si="3"/>
        <v/>
      </c>
    </row>
    <row r="920" spans="1:14" ht="12.5" x14ac:dyDescent="0.25">
      <c r="A920" s="63" t="str">
        <f t="shared" si="2"/>
        <v/>
      </c>
      <c r="B920" s="63"/>
      <c r="C920" s="63"/>
      <c r="D920" s="63"/>
      <c r="E920" s="63"/>
      <c r="F920" s="63"/>
      <c r="G920" s="63"/>
      <c r="H920" s="63"/>
      <c r="I920" s="63"/>
      <c r="J920" s="63"/>
      <c r="K920" s="59"/>
      <c r="L920" s="59"/>
      <c r="N920" s="58" t="str">
        <f t="shared" si="3"/>
        <v/>
      </c>
    </row>
    <row r="921" spans="1:14" ht="12.5" x14ac:dyDescent="0.25">
      <c r="A921" s="63" t="str">
        <f t="shared" si="2"/>
        <v/>
      </c>
      <c r="B921" s="63"/>
      <c r="C921" s="63"/>
      <c r="D921" s="63"/>
      <c r="E921" s="63"/>
      <c r="F921" s="63"/>
      <c r="G921" s="63"/>
      <c r="H921" s="63"/>
      <c r="I921" s="63"/>
      <c r="J921" s="63"/>
      <c r="K921" s="59"/>
      <c r="L921" s="59"/>
      <c r="N921" s="58" t="str">
        <f t="shared" si="3"/>
        <v/>
      </c>
    </row>
    <row r="922" spans="1:14" ht="12.5" x14ac:dyDescent="0.25">
      <c r="A922" s="63" t="str">
        <f t="shared" si="2"/>
        <v/>
      </c>
      <c r="B922" s="63"/>
      <c r="C922" s="63"/>
      <c r="D922" s="63"/>
      <c r="E922" s="63"/>
      <c r="F922" s="63"/>
      <c r="G922" s="63"/>
      <c r="H922" s="63"/>
      <c r="I922" s="63"/>
      <c r="J922" s="63"/>
      <c r="K922" s="59"/>
      <c r="L922" s="59"/>
      <c r="N922" s="58" t="str">
        <f t="shared" si="3"/>
        <v/>
      </c>
    </row>
    <row r="923" spans="1:14" ht="12.5" x14ac:dyDescent="0.25">
      <c r="A923" s="63" t="str">
        <f t="shared" si="2"/>
        <v/>
      </c>
      <c r="B923" s="63"/>
      <c r="C923" s="63"/>
      <c r="D923" s="63"/>
      <c r="E923" s="63"/>
      <c r="F923" s="63"/>
      <c r="G923" s="63"/>
      <c r="H923" s="63"/>
      <c r="I923" s="63"/>
      <c r="J923" s="63"/>
      <c r="K923" s="59"/>
      <c r="L923" s="59"/>
      <c r="N923" s="58" t="str">
        <f t="shared" si="3"/>
        <v/>
      </c>
    </row>
    <row r="924" spans="1:14" ht="12.5" x14ac:dyDescent="0.25">
      <c r="A924" s="63" t="str">
        <f t="shared" si="2"/>
        <v/>
      </c>
      <c r="B924" s="63"/>
      <c r="C924" s="63"/>
      <c r="D924" s="63"/>
      <c r="E924" s="63"/>
      <c r="F924" s="63"/>
      <c r="G924" s="63"/>
      <c r="H924" s="63"/>
      <c r="I924" s="63"/>
      <c r="J924" s="63"/>
      <c r="K924" s="59"/>
      <c r="L924" s="59"/>
      <c r="N924" s="58" t="str">
        <f t="shared" si="3"/>
        <v/>
      </c>
    </row>
    <row r="925" spans="1:14" ht="12.5" x14ac:dyDescent="0.25">
      <c r="A925" s="63" t="str">
        <f t="shared" si="2"/>
        <v/>
      </c>
      <c r="B925" s="63"/>
      <c r="C925" s="63"/>
      <c r="D925" s="63"/>
      <c r="E925" s="63"/>
      <c r="F925" s="63"/>
      <c r="G925" s="63"/>
      <c r="H925" s="63"/>
      <c r="I925" s="63"/>
      <c r="J925" s="63"/>
      <c r="K925" s="59"/>
      <c r="L925" s="59"/>
      <c r="N925" s="58" t="str">
        <f t="shared" si="3"/>
        <v/>
      </c>
    </row>
    <row r="926" spans="1:14" ht="12.5" x14ac:dyDescent="0.25">
      <c r="A926" s="63" t="str">
        <f t="shared" si="2"/>
        <v/>
      </c>
      <c r="B926" s="63"/>
      <c r="C926" s="63"/>
      <c r="D926" s="63"/>
      <c r="E926" s="63"/>
      <c r="F926" s="63"/>
      <c r="G926" s="63"/>
      <c r="H926" s="63"/>
      <c r="I926" s="63"/>
      <c r="J926" s="63"/>
      <c r="K926" s="59"/>
      <c r="L926" s="59"/>
      <c r="N926" s="58" t="str">
        <f t="shared" si="3"/>
        <v/>
      </c>
    </row>
    <row r="927" spans="1:14" ht="12.5" x14ac:dyDescent="0.25">
      <c r="A927" s="63" t="str">
        <f t="shared" si="2"/>
        <v/>
      </c>
      <c r="B927" s="63"/>
      <c r="C927" s="63"/>
      <c r="D927" s="63"/>
      <c r="E927" s="63"/>
      <c r="F927" s="63"/>
      <c r="G927" s="63"/>
      <c r="H927" s="63"/>
      <c r="I927" s="63"/>
      <c r="J927" s="63"/>
      <c r="K927" s="59"/>
      <c r="L927" s="59"/>
      <c r="N927" s="58" t="str">
        <f t="shared" si="3"/>
        <v/>
      </c>
    </row>
    <row r="928" spans="1:14" ht="12.5" x14ac:dyDescent="0.25">
      <c r="A928" s="63" t="str">
        <f t="shared" si="2"/>
        <v/>
      </c>
      <c r="B928" s="63"/>
      <c r="C928" s="63"/>
      <c r="D928" s="63"/>
      <c r="E928" s="63"/>
      <c r="F928" s="63"/>
      <c r="G928" s="63"/>
      <c r="H928" s="63"/>
      <c r="I928" s="63"/>
      <c r="J928" s="63"/>
      <c r="K928" s="59"/>
      <c r="L928" s="59"/>
      <c r="N928" s="58" t="str">
        <f t="shared" si="3"/>
        <v/>
      </c>
    </row>
    <row r="929" spans="1:14" ht="12.5" x14ac:dyDescent="0.25">
      <c r="A929" s="63" t="str">
        <f t="shared" si="2"/>
        <v/>
      </c>
      <c r="B929" s="63"/>
      <c r="C929" s="63"/>
      <c r="D929" s="63"/>
      <c r="E929" s="63"/>
      <c r="F929" s="63"/>
      <c r="G929" s="63"/>
      <c r="H929" s="63"/>
      <c r="I929" s="63"/>
      <c r="J929" s="63"/>
      <c r="K929" s="59"/>
      <c r="L929" s="59"/>
      <c r="N929" s="58" t="str">
        <f t="shared" si="3"/>
        <v/>
      </c>
    </row>
    <row r="930" spans="1:14" ht="12.5" x14ac:dyDescent="0.25">
      <c r="A930" s="63" t="str">
        <f t="shared" si="2"/>
        <v/>
      </c>
      <c r="B930" s="63"/>
      <c r="C930" s="63"/>
      <c r="D930" s="63"/>
      <c r="E930" s="63"/>
      <c r="F930" s="63"/>
      <c r="G930" s="63"/>
      <c r="H930" s="63"/>
      <c r="I930" s="63"/>
      <c r="J930" s="63"/>
      <c r="K930" s="59"/>
      <c r="L930" s="59"/>
      <c r="N930" s="58" t="str">
        <f t="shared" si="3"/>
        <v/>
      </c>
    </row>
    <row r="931" spans="1:14" ht="12.5" x14ac:dyDescent="0.25">
      <c r="A931" s="63" t="str">
        <f t="shared" si="2"/>
        <v/>
      </c>
      <c r="B931" s="63"/>
      <c r="C931" s="63"/>
      <c r="D931" s="63"/>
      <c r="E931" s="63"/>
      <c r="F931" s="63"/>
      <c r="G931" s="63"/>
      <c r="H931" s="63"/>
      <c r="I931" s="63"/>
      <c r="J931" s="63"/>
      <c r="K931" s="59"/>
      <c r="L931" s="59"/>
      <c r="N931" s="58" t="str">
        <f t="shared" si="3"/>
        <v/>
      </c>
    </row>
    <row r="932" spans="1:14" ht="12.5" x14ac:dyDescent="0.25">
      <c r="A932" s="63" t="str">
        <f t="shared" si="2"/>
        <v/>
      </c>
      <c r="B932" s="63"/>
      <c r="C932" s="63"/>
      <c r="D932" s="63"/>
      <c r="E932" s="63"/>
      <c r="F932" s="63"/>
      <c r="G932" s="63"/>
      <c r="H932" s="63"/>
      <c r="I932" s="63"/>
      <c r="J932" s="63"/>
      <c r="K932" s="59"/>
      <c r="L932" s="59"/>
      <c r="N932" s="58" t="str">
        <f t="shared" si="3"/>
        <v/>
      </c>
    </row>
    <row r="933" spans="1:14" ht="12.5" x14ac:dyDescent="0.25">
      <c r="A933" s="63" t="str">
        <f t="shared" si="2"/>
        <v/>
      </c>
      <c r="B933" s="63"/>
      <c r="C933" s="63"/>
      <c r="D933" s="63"/>
      <c r="E933" s="63"/>
      <c r="F933" s="63"/>
      <c r="G933" s="63"/>
      <c r="H933" s="63"/>
      <c r="I933" s="63"/>
      <c r="J933" s="63"/>
      <c r="K933" s="59"/>
      <c r="L933" s="59"/>
      <c r="N933" s="58" t="str">
        <f t="shared" si="3"/>
        <v/>
      </c>
    </row>
    <row r="934" spans="1:14" ht="12.5" x14ac:dyDescent="0.25">
      <c r="A934" s="63" t="str">
        <f t="shared" si="2"/>
        <v/>
      </c>
      <c r="B934" s="63"/>
      <c r="C934" s="63"/>
      <c r="D934" s="63"/>
      <c r="E934" s="63"/>
      <c r="F934" s="63"/>
      <c r="G934" s="63"/>
      <c r="H934" s="63"/>
      <c r="I934" s="63"/>
      <c r="J934" s="63"/>
      <c r="K934" s="59"/>
      <c r="L934" s="59"/>
      <c r="N934" s="58" t="str">
        <f t="shared" si="3"/>
        <v/>
      </c>
    </row>
    <row r="935" spans="1:14" ht="12.5" x14ac:dyDescent="0.25">
      <c r="A935" s="63" t="str">
        <f t="shared" si="2"/>
        <v/>
      </c>
      <c r="B935" s="63"/>
      <c r="C935" s="63"/>
      <c r="D935" s="63"/>
      <c r="E935" s="63"/>
      <c r="F935" s="63"/>
      <c r="G935" s="63"/>
      <c r="H935" s="63"/>
      <c r="I935" s="63"/>
      <c r="J935" s="63"/>
      <c r="K935" s="59"/>
      <c r="L935" s="59"/>
      <c r="N935" s="58" t="str">
        <f t="shared" si="3"/>
        <v/>
      </c>
    </row>
    <row r="936" spans="1:14" ht="12.5" x14ac:dyDescent="0.25">
      <c r="A936" s="63" t="str">
        <f t="shared" si="2"/>
        <v/>
      </c>
      <c r="B936" s="63"/>
      <c r="C936" s="63"/>
      <c r="D936" s="63"/>
      <c r="E936" s="63"/>
      <c r="F936" s="63"/>
      <c r="G936" s="63"/>
      <c r="H936" s="63"/>
      <c r="I936" s="63"/>
      <c r="J936" s="63"/>
      <c r="K936" s="59"/>
      <c r="L936" s="59"/>
      <c r="N936" s="58" t="str">
        <f t="shared" si="3"/>
        <v/>
      </c>
    </row>
    <row r="937" spans="1:14" ht="12.5" x14ac:dyDescent="0.25">
      <c r="A937" s="63" t="str">
        <f t="shared" si="2"/>
        <v/>
      </c>
      <c r="B937" s="63"/>
      <c r="C937" s="63"/>
      <c r="D937" s="63"/>
      <c r="E937" s="63"/>
      <c r="F937" s="63"/>
      <c r="G937" s="63"/>
      <c r="H937" s="63"/>
      <c r="I937" s="63"/>
      <c r="J937" s="63"/>
      <c r="K937" s="59"/>
      <c r="L937" s="59"/>
      <c r="N937" s="58" t="str">
        <f t="shared" si="3"/>
        <v/>
      </c>
    </row>
    <row r="938" spans="1:14" ht="12.5" x14ac:dyDescent="0.25">
      <c r="A938" s="63" t="str">
        <f t="shared" si="2"/>
        <v/>
      </c>
      <c r="B938" s="63"/>
      <c r="C938" s="63"/>
      <c r="D938" s="63"/>
      <c r="E938" s="63"/>
      <c r="F938" s="63"/>
      <c r="G938" s="63"/>
      <c r="H938" s="63"/>
      <c r="I938" s="63"/>
      <c r="J938" s="63"/>
      <c r="K938" s="59"/>
      <c r="L938" s="59"/>
      <c r="N938" s="58" t="str">
        <f t="shared" si="3"/>
        <v/>
      </c>
    </row>
    <row r="939" spans="1:14" ht="12.5" x14ac:dyDescent="0.25">
      <c r="A939" s="63" t="str">
        <f t="shared" si="2"/>
        <v/>
      </c>
      <c r="B939" s="63"/>
      <c r="C939" s="63"/>
      <c r="D939" s="63"/>
      <c r="E939" s="63"/>
      <c r="F939" s="63"/>
      <c r="G939" s="63"/>
      <c r="H939" s="63"/>
      <c r="I939" s="63"/>
      <c r="J939" s="63"/>
      <c r="K939" s="59"/>
      <c r="L939" s="59"/>
      <c r="N939" s="58" t="str">
        <f t="shared" si="3"/>
        <v/>
      </c>
    </row>
    <row r="940" spans="1:14" ht="12.5" x14ac:dyDescent="0.25">
      <c r="A940" s="63" t="str">
        <f t="shared" si="2"/>
        <v/>
      </c>
      <c r="B940" s="63"/>
      <c r="C940" s="63"/>
      <c r="D940" s="63"/>
      <c r="E940" s="63"/>
      <c r="F940" s="63"/>
      <c r="G940" s="63"/>
      <c r="H940" s="63"/>
      <c r="I940" s="63"/>
      <c r="J940" s="63"/>
      <c r="K940" s="59"/>
      <c r="L940" s="59"/>
      <c r="N940" s="58" t="str">
        <f t="shared" si="3"/>
        <v/>
      </c>
    </row>
    <row r="941" spans="1:14" ht="12.5" x14ac:dyDescent="0.25">
      <c r="A941" s="63" t="str">
        <f t="shared" si="2"/>
        <v/>
      </c>
      <c r="B941" s="63"/>
      <c r="C941" s="63"/>
      <c r="D941" s="63"/>
      <c r="E941" s="63"/>
      <c r="F941" s="63"/>
      <c r="G941" s="63"/>
      <c r="H941" s="63"/>
      <c r="I941" s="63"/>
      <c r="J941" s="63"/>
      <c r="K941" s="59"/>
      <c r="L941" s="59"/>
      <c r="N941" s="58" t="str">
        <f t="shared" si="3"/>
        <v/>
      </c>
    </row>
    <row r="942" spans="1:14" ht="12.5" x14ac:dyDescent="0.25">
      <c r="A942" s="63" t="str">
        <f t="shared" si="2"/>
        <v/>
      </c>
      <c r="B942" s="63"/>
      <c r="C942" s="63"/>
      <c r="D942" s="63"/>
      <c r="E942" s="63"/>
      <c r="F942" s="63"/>
      <c r="G942" s="63"/>
      <c r="H942" s="63"/>
      <c r="I942" s="63"/>
      <c r="J942" s="63"/>
      <c r="K942" s="59"/>
      <c r="L942" s="59"/>
      <c r="N942" s="58" t="str">
        <f t="shared" si="3"/>
        <v/>
      </c>
    </row>
    <row r="943" spans="1:14" ht="12.5" x14ac:dyDescent="0.25">
      <c r="A943" s="63" t="str">
        <f t="shared" si="2"/>
        <v/>
      </c>
      <c r="B943" s="63"/>
      <c r="C943" s="63"/>
      <c r="D943" s="63"/>
      <c r="E943" s="63"/>
      <c r="F943" s="63"/>
      <c r="G943" s="63"/>
      <c r="H943" s="63"/>
      <c r="I943" s="63"/>
      <c r="J943" s="63"/>
      <c r="K943" s="59"/>
      <c r="L943" s="59"/>
      <c r="N943" s="58" t="str">
        <f t="shared" si="3"/>
        <v/>
      </c>
    </row>
    <row r="944" spans="1:14" ht="12.5" x14ac:dyDescent="0.25">
      <c r="A944" s="63" t="str">
        <f t="shared" si="2"/>
        <v/>
      </c>
      <c r="B944" s="63"/>
      <c r="C944" s="63"/>
      <c r="D944" s="63"/>
      <c r="E944" s="63"/>
      <c r="F944" s="63"/>
      <c r="G944" s="63"/>
      <c r="H944" s="63"/>
      <c r="I944" s="63"/>
      <c r="J944" s="63"/>
      <c r="K944" s="59"/>
      <c r="L944" s="59"/>
      <c r="N944" s="58" t="str">
        <f t="shared" si="3"/>
        <v/>
      </c>
    </row>
    <row r="945" spans="1:14" ht="12.5" x14ac:dyDescent="0.25">
      <c r="A945" s="63" t="str">
        <f t="shared" si="2"/>
        <v/>
      </c>
      <c r="B945" s="63"/>
      <c r="C945" s="63"/>
      <c r="D945" s="63"/>
      <c r="E945" s="63"/>
      <c r="F945" s="63"/>
      <c r="G945" s="63"/>
      <c r="H945" s="63"/>
      <c r="I945" s="63"/>
      <c r="J945" s="63"/>
      <c r="K945" s="59"/>
      <c r="L945" s="59"/>
      <c r="N945" s="58" t="str">
        <f t="shared" si="3"/>
        <v/>
      </c>
    </row>
    <row r="946" spans="1:14" ht="12.5" x14ac:dyDescent="0.25">
      <c r="A946" s="63" t="str">
        <f t="shared" si="2"/>
        <v/>
      </c>
      <c r="B946" s="63"/>
      <c r="C946" s="63"/>
      <c r="D946" s="63"/>
      <c r="E946" s="63"/>
      <c r="F946" s="63"/>
      <c r="G946" s="63"/>
      <c r="H946" s="63"/>
      <c r="I946" s="63"/>
      <c r="J946" s="63"/>
      <c r="K946" s="59"/>
      <c r="L946" s="59"/>
      <c r="N946" s="58" t="str">
        <f t="shared" si="3"/>
        <v/>
      </c>
    </row>
    <row r="947" spans="1:14" ht="12.5" x14ac:dyDescent="0.25">
      <c r="A947" s="63" t="str">
        <f t="shared" si="2"/>
        <v/>
      </c>
      <c r="B947" s="63"/>
      <c r="C947" s="63"/>
      <c r="D947" s="63"/>
      <c r="E947" s="63"/>
      <c r="F947" s="63"/>
      <c r="G947" s="63"/>
      <c r="H947" s="63"/>
      <c r="I947" s="63"/>
      <c r="J947" s="63"/>
      <c r="K947" s="59"/>
      <c r="L947" s="59"/>
      <c r="N947" s="58" t="str">
        <f t="shared" si="3"/>
        <v/>
      </c>
    </row>
    <row r="948" spans="1:14" ht="12.5" x14ac:dyDescent="0.25">
      <c r="A948" s="63" t="str">
        <f t="shared" si="2"/>
        <v/>
      </c>
      <c r="B948" s="63"/>
      <c r="C948" s="63"/>
      <c r="D948" s="63"/>
      <c r="E948" s="63"/>
      <c r="F948" s="63"/>
      <c r="G948" s="63"/>
      <c r="H948" s="63"/>
      <c r="I948" s="63"/>
      <c r="J948" s="63"/>
      <c r="K948" s="59"/>
      <c r="L948" s="59"/>
      <c r="N948" s="58" t="str">
        <f t="shared" si="3"/>
        <v/>
      </c>
    </row>
    <row r="949" spans="1:14" ht="12.5" x14ac:dyDescent="0.25">
      <c r="A949" s="63" t="str">
        <f t="shared" si="2"/>
        <v/>
      </c>
      <c r="B949" s="63"/>
      <c r="C949" s="63"/>
      <c r="D949" s="63"/>
      <c r="E949" s="63"/>
      <c r="F949" s="63"/>
      <c r="G949" s="63"/>
      <c r="H949" s="63"/>
      <c r="I949" s="63"/>
      <c r="J949" s="63"/>
      <c r="K949" s="59"/>
      <c r="L949" s="59"/>
      <c r="N949" s="58" t="str">
        <f t="shared" si="3"/>
        <v/>
      </c>
    </row>
    <row r="950" spans="1:14" ht="12.5" x14ac:dyDescent="0.25">
      <c r="A950" s="63" t="str">
        <f t="shared" si="2"/>
        <v/>
      </c>
      <c r="B950" s="63"/>
      <c r="C950" s="63"/>
      <c r="D950" s="63"/>
      <c r="E950" s="63"/>
      <c r="F950" s="63"/>
      <c r="G950" s="63"/>
      <c r="H950" s="63"/>
      <c r="I950" s="63"/>
      <c r="J950" s="63"/>
      <c r="K950" s="59"/>
      <c r="L950" s="59"/>
      <c r="N950" s="58" t="str">
        <f t="shared" si="3"/>
        <v/>
      </c>
    </row>
    <row r="951" spans="1:14" ht="12.5" x14ac:dyDescent="0.25">
      <c r="A951" s="63" t="str">
        <f t="shared" si="2"/>
        <v/>
      </c>
      <c r="B951" s="63"/>
      <c r="C951" s="63"/>
      <c r="D951" s="63"/>
      <c r="E951" s="63"/>
      <c r="F951" s="63"/>
      <c r="G951" s="63"/>
      <c r="H951" s="63"/>
      <c r="I951" s="63"/>
      <c r="J951" s="63"/>
      <c r="K951" s="59"/>
      <c r="L951" s="59"/>
      <c r="N951" s="58" t="str">
        <f t="shared" si="3"/>
        <v/>
      </c>
    </row>
    <row r="952" spans="1:14" ht="12.5" x14ac:dyDescent="0.25">
      <c r="A952" s="63" t="str">
        <f t="shared" si="2"/>
        <v/>
      </c>
      <c r="B952" s="63"/>
      <c r="C952" s="63"/>
      <c r="D952" s="63"/>
      <c r="E952" s="63"/>
      <c r="F952" s="63"/>
      <c r="G952" s="63"/>
      <c r="H952" s="63"/>
      <c r="I952" s="63"/>
      <c r="J952" s="63"/>
      <c r="K952" s="59"/>
      <c r="L952" s="59"/>
      <c r="N952" s="58" t="str">
        <f t="shared" si="3"/>
        <v/>
      </c>
    </row>
    <row r="953" spans="1:14" ht="12.5" x14ac:dyDescent="0.25">
      <c r="A953" s="63" t="str">
        <f t="shared" si="2"/>
        <v/>
      </c>
      <c r="B953" s="63"/>
      <c r="C953" s="63"/>
      <c r="D953" s="63"/>
      <c r="E953" s="63"/>
      <c r="F953" s="63"/>
      <c r="G953" s="63"/>
      <c r="H953" s="63"/>
      <c r="I953" s="63"/>
      <c r="J953" s="63"/>
      <c r="K953" s="59"/>
      <c r="L953" s="59"/>
      <c r="N953" s="58" t="str">
        <f t="shared" si="3"/>
        <v/>
      </c>
    </row>
    <row r="954" spans="1:14" ht="12.5" x14ac:dyDescent="0.25">
      <c r="A954" s="63" t="str">
        <f t="shared" si="2"/>
        <v/>
      </c>
      <c r="B954" s="63"/>
      <c r="C954" s="63"/>
      <c r="D954" s="63"/>
      <c r="E954" s="63"/>
      <c r="F954" s="63"/>
      <c r="G954" s="63"/>
      <c r="H954" s="63"/>
      <c r="I954" s="63"/>
      <c r="J954" s="63"/>
      <c r="K954" s="59"/>
      <c r="L954" s="59"/>
      <c r="N954" s="58" t="str">
        <f t="shared" si="3"/>
        <v/>
      </c>
    </row>
    <row r="955" spans="1:14" ht="12.5" x14ac:dyDescent="0.25">
      <c r="A955" s="63" t="str">
        <f t="shared" si="2"/>
        <v/>
      </c>
      <c r="B955" s="63"/>
      <c r="C955" s="63"/>
      <c r="D955" s="63"/>
      <c r="E955" s="63"/>
      <c r="F955" s="63"/>
      <c r="G955" s="63"/>
      <c r="H955" s="63"/>
      <c r="I955" s="63"/>
      <c r="J955" s="63"/>
      <c r="K955" s="59"/>
      <c r="L955" s="59"/>
      <c r="N955" s="58" t="str">
        <f t="shared" si="3"/>
        <v/>
      </c>
    </row>
    <row r="956" spans="1:14" ht="12.5" x14ac:dyDescent="0.25">
      <c r="A956" s="63" t="str">
        <f t="shared" si="2"/>
        <v/>
      </c>
      <c r="B956" s="63"/>
      <c r="C956" s="63"/>
      <c r="D956" s="63"/>
      <c r="E956" s="63"/>
      <c r="F956" s="63"/>
      <c r="G956" s="63"/>
      <c r="H956" s="63"/>
      <c r="I956" s="63"/>
      <c r="J956" s="63"/>
      <c r="K956" s="59"/>
      <c r="L956" s="59"/>
      <c r="N956" s="58" t="str">
        <f t="shared" si="3"/>
        <v/>
      </c>
    </row>
    <row r="957" spans="1:14" ht="12.5" x14ac:dyDescent="0.25">
      <c r="A957" s="63" t="str">
        <f t="shared" si="2"/>
        <v/>
      </c>
      <c r="B957" s="63"/>
      <c r="C957" s="63"/>
      <c r="D957" s="63"/>
      <c r="E957" s="63"/>
      <c r="F957" s="63"/>
      <c r="G957" s="63"/>
      <c r="H957" s="63"/>
      <c r="I957" s="63"/>
      <c r="J957" s="63"/>
      <c r="K957" s="59"/>
      <c r="L957" s="59"/>
      <c r="N957" s="58" t="str">
        <f t="shared" si="3"/>
        <v/>
      </c>
    </row>
    <row r="958" spans="1:14" ht="12.5" x14ac:dyDescent="0.25">
      <c r="A958" s="63" t="str">
        <f t="shared" si="2"/>
        <v/>
      </c>
      <c r="B958" s="63"/>
      <c r="C958" s="63"/>
      <c r="D958" s="63"/>
      <c r="E958" s="63"/>
      <c r="F958" s="63"/>
      <c r="G958" s="63"/>
      <c r="H958" s="63"/>
      <c r="I958" s="63"/>
      <c r="J958" s="63"/>
      <c r="K958" s="59"/>
      <c r="L958" s="59"/>
      <c r="N958" s="58" t="str">
        <f t="shared" si="3"/>
        <v/>
      </c>
    </row>
    <row r="959" spans="1:14" ht="12.5" x14ac:dyDescent="0.25">
      <c r="A959" s="63" t="str">
        <f t="shared" si="2"/>
        <v/>
      </c>
      <c r="B959" s="63"/>
      <c r="C959" s="63"/>
      <c r="D959" s="63"/>
      <c r="E959" s="63"/>
      <c r="F959" s="63"/>
      <c r="G959" s="63"/>
      <c r="H959" s="63"/>
      <c r="I959" s="63"/>
      <c r="J959" s="63"/>
      <c r="K959" s="59"/>
      <c r="L959" s="59"/>
      <c r="N959" s="58" t="str">
        <f t="shared" si="3"/>
        <v/>
      </c>
    </row>
    <row r="960" spans="1:14" ht="12.5" x14ac:dyDescent="0.25">
      <c r="A960" s="63" t="str">
        <f t="shared" si="2"/>
        <v/>
      </c>
      <c r="B960" s="63"/>
      <c r="C960" s="63"/>
      <c r="D960" s="63"/>
      <c r="E960" s="63"/>
      <c r="F960" s="63"/>
      <c r="G960" s="63"/>
      <c r="H960" s="63"/>
      <c r="I960" s="63"/>
      <c r="J960" s="63"/>
      <c r="K960" s="59"/>
      <c r="L960" s="59"/>
      <c r="N960" s="58" t="str">
        <f t="shared" si="3"/>
        <v/>
      </c>
    </row>
    <row r="961" spans="1:14" ht="12.5" x14ac:dyDescent="0.25">
      <c r="A961" s="63" t="str">
        <f t="shared" si="2"/>
        <v/>
      </c>
      <c r="B961" s="63"/>
      <c r="C961" s="63"/>
      <c r="D961" s="63"/>
      <c r="E961" s="63"/>
      <c r="F961" s="63"/>
      <c r="G961" s="63"/>
      <c r="H961" s="63"/>
      <c r="I961" s="63"/>
      <c r="J961" s="63"/>
      <c r="K961" s="59"/>
      <c r="L961" s="59"/>
      <c r="N961" s="58" t="str">
        <f t="shared" si="3"/>
        <v/>
      </c>
    </row>
    <row r="962" spans="1:14" ht="12.5" x14ac:dyDescent="0.25">
      <c r="A962" s="63" t="str">
        <f t="shared" si="2"/>
        <v/>
      </c>
      <c r="B962" s="63"/>
      <c r="C962" s="63"/>
      <c r="D962" s="63"/>
      <c r="E962" s="63"/>
      <c r="F962" s="63"/>
      <c r="G962" s="63"/>
      <c r="H962" s="63"/>
      <c r="I962" s="63"/>
      <c r="J962" s="63"/>
      <c r="K962" s="59"/>
      <c r="L962" s="59"/>
      <c r="N962" s="58" t="str">
        <f t="shared" si="3"/>
        <v/>
      </c>
    </row>
    <row r="963" spans="1:14" ht="12.5" x14ac:dyDescent="0.25">
      <c r="A963" s="63" t="str">
        <f t="shared" si="2"/>
        <v/>
      </c>
      <c r="B963" s="63"/>
      <c r="C963" s="63"/>
      <c r="D963" s="63"/>
      <c r="E963" s="63"/>
      <c r="F963" s="63"/>
      <c r="G963" s="63"/>
      <c r="H963" s="63"/>
      <c r="I963" s="63"/>
      <c r="J963" s="63"/>
      <c r="K963" s="59"/>
      <c r="L963" s="59"/>
      <c r="N963" s="58" t="str">
        <f t="shared" si="3"/>
        <v/>
      </c>
    </row>
    <row r="964" spans="1:14" ht="12.5" x14ac:dyDescent="0.25">
      <c r="A964" s="63" t="str">
        <f t="shared" si="2"/>
        <v/>
      </c>
      <c r="B964" s="63"/>
      <c r="C964" s="63"/>
      <c r="D964" s="63"/>
      <c r="E964" s="63"/>
      <c r="F964" s="63"/>
      <c r="G964" s="63"/>
      <c r="H964" s="63"/>
      <c r="I964" s="63"/>
      <c r="J964" s="63"/>
      <c r="K964" s="59"/>
      <c r="L964" s="59"/>
      <c r="N964" s="58" t="str">
        <f t="shared" si="3"/>
        <v/>
      </c>
    </row>
    <row r="965" spans="1:14" ht="12.5" x14ac:dyDescent="0.25">
      <c r="A965" s="63" t="str">
        <f t="shared" si="2"/>
        <v/>
      </c>
      <c r="B965" s="63"/>
      <c r="C965" s="63"/>
      <c r="D965" s="63"/>
      <c r="E965" s="63"/>
      <c r="F965" s="63"/>
      <c r="G965" s="63"/>
      <c r="H965" s="63"/>
      <c r="I965" s="63"/>
      <c r="J965" s="63"/>
      <c r="K965" s="59"/>
      <c r="L965" s="59"/>
      <c r="N965" s="58" t="str">
        <f t="shared" si="3"/>
        <v/>
      </c>
    </row>
    <row r="966" spans="1:14" ht="12.5" x14ac:dyDescent="0.25">
      <c r="A966" s="63" t="str">
        <f t="shared" si="2"/>
        <v/>
      </c>
      <c r="B966" s="63"/>
      <c r="C966" s="63"/>
      <c r="D966" s="63"/>
      <c r="E966" s="63"/>
      <c r="F966" s="63"/>
      <c r="G966" s="63"/>
      <c r="H966" s="63"/>
      <c r="I966" s="63"/>
      <c r="J966" s="63"/>
      <c r="K966" s="59"/>
      <c r="L966" s="59"/>
      <c r="N966" s="58" t="str">
        <f t="shared" si="3"/>
        <v/>
      </c>
    </row>
    <row r="967" spans="1:14" ht="12.5" x14ac:dyDescent="0.25">
      <c r="A967" s="63" t="str">
        <f t="shared" si="2"/>
        <v/>
      </c>
      <c r="B967" s="63"/>
      <c r="C967" s="63"/>
      <c r="D967" s="63"/>
      <c r="E967" s="63"/>
      <c r="F967" s="63"/>
      <c r="G967" s="63"/>
      <c r="H967" s="63"/>
      <c r="I967" s="63"/>
      <c r="J967" s="63"/>
      <c r="K967" s="59"/>
      <c r="L967" s="59"/>
      <c r="N967" s="58" t="str">
        <f t="shared" si="3"/>
        <v/>
      </c>
    </row>
    <row r="968" spans="1:14" ht="12.5" x14ac:dyDescent="0.25">
      <c r="A968" s="63" t="str">
        <f t="shared" si="2"/>
        <v/>
      </c>
      <c r="B968" s="63"/>
      <c r="C968" s="63"/>
      <c r="D968" s="63"/>
      <c r="E968" s="63"/>
      <c r="F968" s="63"/>
      <c r="G968" s="63"/>
      <c r="H968" s="63"/>
      <c r="I968" s="63"/>
      <c r="J968" s="63"/>
      <c r="K968" s="59"/>
      <c r="L968" s="59"/>
      <c r="N968" s="58" t="str">
        <f t="shared" si="3"/>
        <v/>
      </c>
    </row>
    <row r="969" spans="1:14" ht="12.5" x14ac:dyDescent="0.25">
      <c r="A969" s="63" t="str">
        <f t="shared" si="2"/>
        <v/>
      </c>
      <c r="B969" s="63"/>
      <c r="C969" s="63"/>
      <c r="D969" s="63"/>
      <c r="E969" s="63"/>
      <c r="F969" s="63"/>
      <c r="G969" s="63"/>
      <c r="H969" s="63"/>
      <c r="I969" s="63"/>
      <c r="J969" s="63"/>
      <c r="K969" s="59"/>
      <c r="L969" s="59"/>
      <c r="N969" s="58" t="str">
        <f t="shared" si="3"/>
        <v/>
      </c>
    </row>
    <row r="970" spans="1:14" ht="12.5" x14ac:dyDescent="0.25">
      <c r="A970" s="63" t="str">
        <f t="shared" si="2"/>
        <v/>
      </c>
      <c r="B970" s="63"/>
      <c r="C970" s="63"/>
      <c r="D970" s="63"/>
      <c r="E970" s="63"/>
      <c r="F970" s="63"/>
      <c r="G970" s="63"/>
      <c r="H970" s="63"/>
      <c r="I970" s="63"/>
      <c r="J970" s="63"/>
      <c r="K970" s="59"/>
      <c r="L970" s="59"/>
      <c r="N970" s="58" t="str">
        <f t="shared" si="3"/>
        <v/>
      </c>
    </row>
    <row r="971" spans="1:14" ht="12.5" x14ac:dyDescent="0.25">
      <c r="A971" s="63" t="str">
        <f t="shared" si="2"/>
        <v/>
      </c>
      <c r="B971" s="63"/>
      <c r="C971" s="63"/>
      <c r="D971" s="63"/>
      <c r="E971" s="63"/>
      <c r="F971" s="63"/>
      <c r="G971" s="63"/>
      <c r="H971" s="63"/>
      <c r="I971" s="63"/>
      <c r="J971" s="63"/>
      <c r="K971" s="59"/>
      <c r="L971" s="59"/>
      <c r="N971" s="58" t="str">
        <f t="shared" si="3"/>
        <v/>
      </c>
    </row>
    <row r="972" spans="1:14" ht="12.5" x14ac:dyDescent="0.25">
      <c r="A972" s="63" t="str">
        <f t="shared" si="2"/>
        <v/>
      </c>
      <c r="B972" s="63"/>
      <c r="C972" s="63"/>
      <c r="D972" s="63"/>
      <c r="E972" s="63"/>
      <c r="F972" s="63"/>
      <c r="G972" s="63"/>
      <c r="H972" s="63"/>
      <c r="I972" s="63"/>
      <c r="J972" s="63"/>
      <c r="K972" s="59"/>
      <c r="L972" s="59"/>
      <c r="N972" s="58" t="str">
        <f t="shared" si="3"/>
        <v/>
      </c>
    </row>
    <row r="973" spans="1:14" ht="12.5" x14ac:dyDescent="0.25">
      <c r="A973" s="63" t="str">
        <f t="shared" si="2"/>
        <v/>
      </c>
      <c r="B973" s="63"/>
      <c r="C973" s="63"/>
      <c r="D973" s="63"/>
      <c r="E973" s="63"/>
      <c r="F973" s="63"/>
      <c r="G973" s="63"/>
      <c r="H973" s="63"/>
      <c r="I973" s="63"/>
      <c r="J973" s="63"/>
      <c r="K973" s="59"/>
      <c r="L973" s="59"/>
      <c r="N973" s="58" t="str">
        <f t="shared" si="3"/>
        <v/>
      </c>
    </row>
    <row r="974" spans="1:14" ht="12.5" x14ac:dyDescent="0.25">
      <c r="A974" s="63" t="str">
        <f t="shared" si="2"/>
        <v/>
      </c>
      <c r="B974" s="63"/>
      <c r="C974" s="63"/>
      <c r="D974" s="63"/>
      <c r="E974" s="63"/>
      <c r="F974" s="63"/>
      <c r="G974" s="63"/>
      <c r="H974" s="63"/>
      <c r="I974" s="63"/>
      <c r="J974" s="63"/>
      <c r="K974" s="59"/>
      <c r="L974" s="59"/>
      <c r="N974" s="58" t="str">
        <f t="shared" si="3"/>
        <v/>
      </c>
    </row>
    <row r="975" spans="1:14" ht="12.5" x14ac:dyDescent="0.25">
      <c r="A975" s="63" t="str">
        <f t="shared" si="2"/>
        <v/>
      </c>
      <c r="B975" s="63"/>
      <c r="C975" s="63"/>
      <c r="D975" s="63"/>
      <c r="E975" s="63"/>
      <c r="F975" s="63"/>
      <c r="G975" s="63"/>
      <c r="H975" s="63"/>
      <c r="I975" s="63"/>
      <c r="J975" s="63"/>
      <c r="K975" s="59"/>
      <c r="L975" s="59"/>
      <c r="N975" s="58" t="str">
        <f t="shared" si="3"/>
        <v/>
      </c>
    </row>
    <row r="976" spans="1:14" ht="12.5" x14ac:dyDescent="0.25">
      <c r="A976" s="63" t="str">
        <f t="shared" si="2"/>
        <v/>
      </c>
      <c r="B976" s="63"/>
      <c r="C976" s="63"/>
      <c r="D976" s="63"/>
      <c r="E976" s="63"/>
      <c r="F976" s="63"/>
      <c r="G976" s="63"/>
      <c r="H976" s="63"/>
      <c r="I976" s="63"/>
      <c r="J976" s="63"/>
      <c r="K976" s="59"/>
      <c r="L976" s="59"/>
      <c r="N976" s="58" t="str">
        <f t="shared" si="3"/>
        <v/>
      </c>
    </row>
    <row r="977" spans="1:14" ht="12.5" x14ac:dyDescent="0.25">
      <c r="A977" s="63" t="str">
        <f t="shared" si="2"/>
        <v/>
      </c>
      <c r="B977" s="63"/>
      <c r="C977" s="63"/>
      <c r="D977" s="63"/>
      <c r="E977" s="63"/>
      <c r="F977" s="63"/>
      <c r="G977" s="63"/>
      <c r="H977" s="63"/>
      <c r="I977" s="63"/>
      <c r="J977" s="63"/>
      <c r="K977" s="59"/>
      <c r="L977" s="59"/>
      <c r="N977" s="58" t="str">
        <f t="shared" si="3"/>
        <v/>
      </c>
    </row>
    <row r="978" spans="1:14" ht="12.5" x14ac:dyDescent="0.25">
      <c r="A978" s="63" t="str">
        <f t="shared" si="2"/>
        <v/>
      </c>
      <c r="B978" s="63"/>
      <c r="C978" s="63"/>
      <c r="D978" s="63"/>
      <c r="E978" s="63"/>
      <c r="F978" s="63"/>
      <c r="G978" s="63"/>
      <c r="H978" s="63"/>
      <c r="I978" s="63"/>
      <c r="J978" s="63"/>
      <c r="K978" s="59"/>
      <c r="L978" s="59"/>
      <c r="N978" s="58" t="str">
        <f t="shared" si="3"/>
        <v/>
      </c>
    </row>
    <row r="979" spans="1:14" ht="12.5" x14ac:dyDescent="0.25">
      <c r="A979" s="63" t="str">
        <f t="shared" si="2"/>
        <v/>
      </c>
      <c r="B979" s="63"/>
      <c r="C979" s="63"/>
      <c r="D979" s="63"/>
      <c r="E979" s="63"/>
      <c r="F979" s="63"/>
      <c r="G979" s="63"/>
      <c r="H979" s="63"/>
      <c r="I979" s="63"/>
      <c r="J979" s="63"/>
      <c r="K979" s="59"/>
      <c r="L979" s="59"/>
      <c r="N979" s="58" t="str">
        <f t="shared" si="3"/>
        <v/>
      </c>
    </row>
    <row r="980" spans="1:14" ht="12.5" x14ac:dyDescent="0.25">
      <c r="A980" s="63" t="str">
        <f t="shared" si="2"/>
        <v/>
      </c>
      <c r="B980" s="63"/>
      <c r="C980" s="63"/>
      <c r="D980" s="63"/>
      <c r="E980" s="63"/>
      <c r="F980" s="63"/>
      <c r="G980" s="63"/>
      <c r="H980" s="63"/>
      <c r="I980" s="63"/>
      <c r="J980" s="63"/>
      <c r="K980" s="59"/>
      <c r="L980" s="59"/>
      <c r="N980" s="58" t="str">
        <f t="shared" si="3"/>
        <v/>
      </c>
    </row>
    <row r="981" spans="1:14" ht="12.5" x14ac:dyDescent="0.25">
      <c r="A981" s="63" t="str">
        <f t="shared" si="2"/>
        <v/>
      </c>
      <c r="B981" s="63"/>
      <c r="C981" s="63"/>
      <c r="D981" s="63"/>
      <c r="E981" s="63"/>
      <c r="F981" s="63"/>
      <c r="G981" s="63"/>
      <c r="H981" s="63"/>
      <c r="I981" s="63"/>
      <c r="J981" s="63"/>
      <c r="K981" s="59"/>
      <c r="L981" s="59"/>
      <c r="N981" s="58" t="str">
        <f t="shared" si="3"/>
        <v/>
      </c>
    </row>
    <row r="982" spans="1:14" ht="12.5" x14ac:dyDescent="0.25">
      <c r="A982" s="63" t="str">
        <f t="shared" si="2"/>
        <v/>
      </c>
      <c r="B982" s="63"/>
      <c r="C982" s="63"/>
      <c r="D982" s="63"/>
      <c r="E982" s="63"/>
      <c r="F982" s="63"/>
      <c r="G982" s="63"/>
      <c r="H982" s="63"/>
      <c r="I982" s="63"/>
      <c r="J982" s="63"/>
      <c r="K982" s="59"/>
      <c r="L982" s="59"/>
      <c r="N982" s="58" t="str">
        <f t="shared" si="3"/>
        <v/>
      </c>
    </row>
    <row r="983" spans="1:14" ht="12.5" x14ac:dyDescent="0.25">
      <c r="A983" s="63" t="str">
        <f t="shared" si="2"/>
        <v/>
      </c>
      <c r="B983" s="63"/>
      <c r="C983" s="63"/>
      <c r="D983" s="63"/>
      <c r="E983" s="63"/>
      <c r="F983" s="63"/>
      <c r="G983" s="63"/>
      <c r="H983" s="63"/>
      <c r="I983" s="63"/>
      <c r="J983" s="63"/>
      <c r="K983" s="59"/>
      <c r="L983" s="59"/>
      <c r="N983" s="58" t="str">
        <f t="shared" si="3"/>
        <v/>
      </c>
    </row>
    <row r="984" spans="1:14" ht="12.5" x14ac:dyDescent="0.25">
      <c r="A984" s="63" t="str">
        <f t="shared" si="2"/>
        <v/>
      </c>
      <c r="B984" s="63"/>
      <c r="C984" s="63"/>
      <c r="D984" s="63"/>
      <c r="E984" s="63"/>
      <c r="F984" s="63"/>
      <c r="G984" s="63"/>
      <c r="H984" s="63"/>
      <c r="I984" s="63"/>
      <c r="J984" s="63"/>
      <c r="K984" s="59"/>
      <c r="L984" s="59"/>
      <c r="N984" s="58" t="str">
        <f t="shared" si="3"/>
        <v/>
      </c>
    </row>
    <row r="985" spans="1:14" ht="12.5" x14ac:dyDescent="0.25">
      <c r="A985" s="63" t="str">
        <f t="shared" si="2"/>
        <v/>
      </c>
      <c r="B985" s="63"/>
      <c r="C985" s="63"/>
      <c r="D985" s="63"/>
      <c r="E985" s="63"/>
      <c r="F985" s="63"/>
      <c r="G985" s="63"/>
      <c r="H985" s="63"/>
      <c r="I985" s="63"/>
      <c r="J985" s="63"/>
      <c r="K985" s="59"/>
      <c r="L985" s="59"/>
      <c r="N985" s="58" t="str">
        <f t="shared" si="3"/>
        <v/>
      </c>
    </row>
    <row r="986" spans="1:14" ht="12.5" x14ac:dyDescent="0.25">
      <c r="A986" s="63" t="str">
        <f t="shared" si="2"/>
        <v/>
      </c>
      <c r="B986" s="63"/>
      <c r="C986" s="63"/>
      <c r="D986" s="63"/>
      <c r="E986" s="63"/>
      <c r="F986" s="63"/>
      <c r="G986" s="63"/>
      <c r="H986" s="63"/>
      <c r="I986" s="63"/>
      <c r="J986" s="63"/>
      <c r="K986" s="59"/>
      <c r="L986" s="59"/>
      <c r="N986" s="58" t="str">
        <f t="shared" si="3"/>
        <v/>
      </c>
    </row>
    <row r="987" spans="1:14" ht="12.5" x14ac:dyDescent="0.25">
      <c r="A987" s="63" t="str">
        <f t="shared" si="2"/>
        <v/>
      </c>
      <c r="B987" s="63"/>
      <c r="C987" s="63"/>
      <c r="D987" s="63"/>
      <c r="E987" s="63"/>
      <c r="F987" s="63"/>
      <c r="G987" s="63"/>
      <c r="H987" s="63"/>
      <c r="I987" s="63"/>
      <c r="J987" s="63"/>
      <c r="K987" s="59"/>
      <c r="L987" s="59"/>
      <c r="N987" s="58" t="str">
        <f t="shared" si="3"/>
        <v/>
      </c>
    </row>
    <row r="988" spans="1:14" ht="12.5" x14ac:dyDescent="0.25">
      <c r="A988" s="63" t="str">
        <f t="shared" si="2"/>
        <v/>
      </c>
      <c r="B988" s="63"/>
      <c r="C988" s="63"/>
      <c r="D988" s="63"/>
      <c r="E988" s="63"/>
      <c r="F988" s="63"/>
      <c r="G988" s="63"/>
      <c r="H988" s="63"/>
      <c r="I988" s="63"/>
      <c r="J988" s="63"/>
      <c r="K988" s="59"/>
      <c r="L988" s="59"/>
      <c r="N988" s="58" t="str">
        <f t="shared" si="3"/>
        <v/>
      </c>
    </row>
    <row r="989" spans="1:14" ht="12.5" x14ac:dyDescent="0.25">
      <c r="A989" s="63" t="str">
        <f t="shared" si="2"/>
        <v/>
      </c>
      <c r="B989" s="63"/>
      <c r="C989" s="63"/>
      <c r="D989" s="63"/>
      <c r="E989" s="63"/>
      <c r="F989" s="63"/>
      <c r="G989" s="63"/>
      <c r="H989" s="63"/>
      <c r="I989" s="63"/>
      <c r="J989" s="63"/>
      <c r="K989" s="59"/>
      <c r="L989" s="59"/>
      <c r="N989" s="58" t="str">
        <f t="shared" si="3"/>
        <v/>
      </c>
    </row>
    <row r="990" spans="1:14" ht="12.5" x14ac:dyDescent="0.25">
      <c r="A990" s="63" t="str">
        <f t="shared" si="2"/>
        <v/>
      </c>
      <c r="B990" s="63"/>
      <c r="C990" s="63"/>
      <c r="D990" s="63"/>
      <c r="E990" s="63"/>
      <c r="F990" s="63"/>
      <c r="G990" s="63"/>
      <c r="H990" s="63"/>
      <c r="I990" s="63"/>
      <c r="J990" s="63"/>
      <c r="K990" s="59"/>
      <c r="L990" s="59"/>
      <c r="N990" s="58" t="str">
        <f t="shared" si="3"/>
        <v/>
      </c>
    </row>
    <row r="991" spans="1:14" ht="12.5" x14ac:dyDescent="0.25">
      <c r="A991" s="63" t="str">
        <f t="shared" si="2"/>
        <v/>
      </c>
      <c r="B991" s="63"/>
      <c r="C991" s="63"/>
      <c r="D991" s="63"/>
      <c r="E991" s="63"/>
      <c r="F991" s="63"/>
      <c r="G991" s="63"/>
      <c r="H991" s="63"/>
      <c r="I991" s="63"/>
      <c r="J991" s="63"/>
      <c r="K991" s="59"/>
      <c r="L991" s="59"/>
      <c r="N991" s="58" t="str">
        <f t="shared" si="3"/>
        <v/>
      </c>
    </row>
    <row r="992" spans="1:14" ht="12.5" x14ac:dyDescent="0.25">
      <c r="A992" s="63" t="str">
        <f t="shared" si="2"/>
        <v/>
      </c>
      <c r="B992" s="63"/>
      <c r="C992" s="63"/>
      <c r="D992" s="63"/>
      <c r="E992" s="63"/>
      <c r="F992" s="63"/>
      <c r="G992" s="63"/>
      <c r="H992" s="63"/>
      <c r="I992" s="63"/>
      <c r="J992" s="63"/>
      <c r="K992" s="59"/>
      <c r="L992" s="59"/>
      <c r="N992" s="58" t="str">
        <f t="shared" si="3"/>
        <v/>
      </c>
    </row>
    <row r="993" spans="1:14" ht="12.5" x14ac:dyDescent="0.25">
      <c r="A993" s="63" t="str">
        <f t="shared" si="2"/>
        <v/>
      </c>
      <c r="B993" s="63"/>
      <c r="C993" s="63"/>
      <c r="D993" s="63"/>
      <c r="E993" s="63"/>
      <c r="F993" s="63"/>
      <c r="G993" s="63"/>
      <c r="H993" s="63"/>
      <c r="I993" s="63"/>
      <c r="J993" s="63"/>
      <c r="K993" s="59"/>
      <c r="L993" s="59"/>
      <c r="N993" s="58" t="str">
        <f t="shared" si="3"/>
        <v/>
      </c>
    </row>
    <row r="994" spans="1:14" ht="12.5" x14ac:dyDescent="0.25">
      <c r="A994" s="63" t="str">
        <f t="shared" si="2"/>
        <v/>
      </c>
      <c r="B994" s="63"/>
      <c r="C994" s="63"/>
      <c r="D994" s="63"/>
      <c r="E994" s="63"/>
      <c r="F994" s="63"/>
      <c r="G994" s="63"/>
      <c r="H994" s="63"/>
      <c r="I994" s="63"/>
      <c r="J994" s="63"/>
      <c r="K994" s="59"/>
      <c r="L994" s="59"/>
      <c r="N994" s="58" t="str">
        <f t="shared" si="3"/>
        <v/>
      </c>
    </row>
    <row r="995" spans="1:14" ht="12.5" x14ac:dyDescent="0.25">
      <c r="A995" s="63" t="str">
        <f t="shared" si="2"/>
        <v/>
      </c>
      <c r="B995" s="63"/>
      <c r="C995" s="63"/>
      <c r="D995" s="63"/>
      <c r="E995" s="63"/>
      <c r="F995" s="63"/>
      <c r="G995" s="63"/>
      <c r="H995" s="63"/>
      <c r="I995" s="63"/>
      <c r="J995" s="63"/>
      <c r="K995" s="59"/>
      <c r="L995" s="59"/>
      <c r="N995" s="58" t="str">
        <f t="shared" si="3"/>
        <v/>
      </c>
    </row>
    <row r="996" spans="1:14" ht="12.5" x14ac:dyDescent="0.25">
      <c r="A996" s="63" t="str">
        <f t="shared" si="2"/>
        <v/>
      </c>
      <c r="B996" s="63"/>
      <c r="C996" s="63"/>
      <c r="D996" s="63"/>
      <c r="E996" s="63"/>
      <c r="F996" s="63"/>
      <c r="G996" s="63"/>
      <c r="H996" s="63"/>
      <c r="I996" s="63"/>
      <c r="J996" s="63"/>
      <c r="K996" s="59"/>
      <c r="L996" s="59"/>
      <c r="N996" s="58" t="str">
        <f t="shared" si="3"/>
        <v/>
      </c>
    </row>
    <row r="997" spans="1:14" ht="12.5" x14ac:dyDescent="0.25">
      <c r="A997" s="63" t="str">
        <f t="shared" si="2"/>
        <v/>
      </c>
      <c r="B997" s="63"/>
      <c r="C997" s="63"/>
      <c r="D997" s="63"/>
      <c r="E997" s="63"/>
      <c r="F997" s="63"/>
      <c r="G997" s="63"/>
      <c r="H997" s="63"/>
      <c r="I997" s="63"/>
      <c r="J997" s="63"/>
      <c r="K997" s="59"/>
      <c r="L997" s="59"/>
      <c r="N997" s="58" t="str">
        <f t="shared" si="3"/>
        <v/>
      </c>
    </row>
    <row r="998" spans="1:14" ht="12.5" x14ac:dyDescent="0.25">
      <c r="A998" s="63" t="str">
        <f t="shared" si="2"/>
        <v/>
      </c>
      <c r="B998" s="63"/>
      <c r="C998" s="63"/>
      <c r="D998" s="63"/>
      <c r="E998" s="63"/>
      <c r="F998" s="63"/>
      <c r="G998" s="63"/>
      <c r="H998" s="63"/>
      <c r="I998" s="63"/>
      <c r="J998" s="63"/>
      <c r="K998" s="59"/>
      <c r="L998" s="59"/>
      <c r="N998" s="58" t="str">
        <f t="shared" si="3"/>
        <v/>
      </c>
    </row>
    <row r="999" spans="1:14" ht="12.5" x14ac:dyDescent="0.25">
      <c r="A999" s="63" t="str">
        <f t="shared" si="2"/>
        <v/>
      </c>
      <c r="B999" s="63"/>
      <c r="C999" s="63"/>
      <c r="D999" s="63"/>
      <c r="E999" s="63"/>
      <c r="F999" s="63"/>
      <c r="G999" s="63"/>
      <c r="H999" s="63"/>
      <c r="I999" s="63"/>
      <c r="J999" s="63"/>
      <c r="K999" s="59"/>
      <c r="L999" s="59"/>
      <c r="N999" s="58" t="str">
        <f t="shared" si="3"/>
        <v/>
      </c>
    </row>
    <row r="1000" spans="1:14" ht="12.5" x14ac:dyDescent="0.25">
      <c r="A1000" s="63" t="str">
        <f t="shared" si="2"/>
        <v/>
      </c>
      <c r="B1000" s="63"/>
      <c r="C1000" s="63"/>
      <c r="D1000" s="63"/>
      <c r="E1000" s="63"/>
      <c r="F1000" s="63"/>
      <c r="G1000" s="63"/>
      <c r="H1000" s="63"/>
      <c r="I1000" s="63"/>
      <c r="J1000" s="63"/>
      <c r="K1000" s="59"/>
      <c r="L1000" s="59"/>
      <c r="N1000" s="58" t="str">
        <f t="shared" si="3"/>
        <v/>
      </c>
    </row>
    <row r="1001" spans="1:14" ht="12.5" x14ac:dyDescent="0.25">
      <c r="A1001" s="63" t="str">
        <f t="shared" si="2"/>
        <v/>
      </c>
      <c r="B1001" s="63"/>
      <c r="C1001" s="63"/>
      <c r="D1001" s="63"/>
      <c r="E1001" s="63"/>
      <c r="F1001" s="63"/>
      <c r="G1001" s="63"/>
      <c r="H1001" s="63"/>
      <c r="I1001" s="63"/>
      <c r="J1001" s="63"/>
      <c r="K1001" s="59"/>
      <c r="L1001" s="59"/>
      <c r="N1001" s="58" t="str">
        <f t="shared" si="3"/>
        <v/>
      </c>
    </row>
  </sheetData>
  <hyperlinks>
    <hyperlink ref="L566" r:id="rId1" display="https://drive.google.com/open?id=1kwTF2Lud5y0325VmUE4fF_cBkGsr_Amh" xr:uid="{00000000-0004-0000-1200-000000000000}"/>
    <hyperlink ref="L568" r:id="rId2" display="https://drive.google.com/open?id=1J7MigpvSAmiUxk7KyCozo_AfMoFGY3j_" xr:uid="{00000000-0004-0000-1200-000001000000}"/>
    <hyperlink ref="L577" r:id="rId3" display="https://drive.google.com/open?id=1h0JIEkLI3AIQPlPVic4i657JGr1sT7Ho" xr:uid="{00000000-0004-0000-1200-000002000000}"/>
    <hyperlink ref="L593" r:id="rId4" display="https://drive.google.com/open?id=1AhfVCKuLqA2dGM9Dhdt29RuXNMrHhSF1" xr:uid="{00000000-0004-0000-1200-000003000000}"/>
    <hyperlink ref="L606" r:id="rId5" display="https://drive.google.com/open?id=1zgu83atJA6OZzSDaxpTryu4fcTMutgzU" xr:uid="{00000000-0004-0000-1200-000004000000}"/>
    <hyperlink ref="L647" r:id="rId6" display="https://drive.google.com/open?id=1Jk-VTX5tgMiIxjF-c9bTdeQhEso9STV-" xr:uid="{00000000-0004-0000-1200-000005000000}"/>
    <hyperlink ref="L649" r:id="rId7" display="https://drive.google.com/open?id=1ap8tXxMwVUbJEV9FOgOvWRRDBJ8paxWs" xr:uid="{00000000-0004-0000-1200-000006000000}"/>
    <hyperlink ref="L650" r:id="rId8" display="https://drive.google.com/open?id=1z-YoUXzXJo2r7M7Hg2AlFxWHr38R6M0c" xr:uid="{00000000-0004-0000-1200-000007000000}"/>
    <hyperlink ref="L651" r:id="rId9" display="https://drive.google.com/open?id=1XnlusaS87nUeOGMcC8I47OpVJxqQlsNk" xr:uid="{00000000-0004-0000-1200-000008000000}"/>
    <hyperlink ref="L652" r:id="rId10" display="https://drive.google.com/open?id=1Jcd2XiftKTLfssppkAZcC_V2DBQEMP8a" xr:uid="{00000000-0004-0000-1200-000009000000}"/>
    <hyperlink ref="L653" r:id="rId11" display="https://drive.google.com/open?id=1z4i9w0vYg2K6WgwW95ec-orakPIJLNYU" xr:uid="{00000000-0004-0000-1200-00000A000000}"/>
    <hyperlink ref="L654" r:id="rId12" display="https://drive.google.com/open?id=1NVaKyb_OJo_nx_0d-08IJiGS2amN-N8k" xr:uid="{00000000-0004-0000-1200-00000B000000}"/>
    <hyperlink ref="L656" r:id="rId13" display="https://drive.google.com/open?id=14DtYCrCqqiM91BFywqqjhlvYy6sfAtyr" xr:uid="{00000000-0004-0000-1200-00000C000000}"/>
  </hyperlink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G231"/>
  <sheetViews>
    <sheetView showGridLines="0" workbookViewId="0">
      <pane ySplit="1" topLeftCell="A2" activePane="bottomLeft" state="frozen"/>
      <selection pane="bottomLeft" activeCell="B3" sqref="B3"/>
    </sheetView>
  </sheetViews>
  <sheetFormatPr defaultColWidth="12.54296875" defaultRowHeight="15.75" customHeight="1" x14ac:dyDescent="0.25"/>
  <cols>
    <col min="1" max="1" width="18.81640625" customWidth="1"/>
    <col min="2" max="2" width="31.453125" customWidth="1"/>
    <col min="3" max="4" width="50.1796875" customWidth="1"/>
  </cols>
  <sheetData>
    <row r="1" spans="1:7" ht="30" customHeight="1" x14ac:dyDescent="0.25">
      <c r="A1" s="4" t="s">
        <v>1</v>
      </c>
      <c r="B1" s="72" t="s">
        <v>3934</v>
      </c>
      <c r="C1" s="73"/>
      <c r="D1" s="73"/>
      <c r="E1" s="73"/>
      <c r="F1" s="73"/>
      <c r="G1" s="74"/>
    </row>
    <row r="2" spans="1:7" ht="14" x14ac:dyDescent="0.25">
      <c r="A2" s="75"/>
      <c r="B2" s="75"/>
      <c r="C2" s="75"/>
      <c r="D2" s="76"/>
      <c r="E2" s="76"/>
      <c r="F2" s="76"/>
      <c r="G2" s="77"/>
    </row>
    <row r="3" spans="1:7" ht="25.5" customHeight="1" x14ac:dyDescent="0.25">
      <c r="A3" s="75" t="str">
        <f t="shared" ref="A3:A231" si="0">B3&amp;"/"&amp;D3&amp;"/"&amp;E3</f>
        <v>//</v>
      </c>
      <c r="B3" s="75"/>
      <c r="C3" s="75"/>
      <c r="D3" s="76"/>
      <c r="E3" s="76"/>
      <c r="F3" s="76"/>
      <c r="G3" s="77"/>
    </row>
    <row r="4" spans="1:7" ht="25.5" customHeight="1" x14ac:dyDescent="0.25">
      <c r="A4" s="75" t="str">
        <f t="shared" si="0"/>
        <v>//</v>
      </c>
      <c r="B4" s="75"/>
      <c r="C4" s="75"/>
      <c r="D4" s="76"/>
      <c r="E4" s="76"/>
      <c r="F4" s="76"/>
      <c r="G4" s="77"/>
    </row>
    <row r="5" spans="1:7" ht="25.5" customHeight="1" x14ac:dyDescent="0.25">
      <c r="A5" s="75" t="str">
        <f t="shared" si="0"/>
        <v>//</v>
      </c>
      <c r="B5" s="75"/>
      <c r="C5" s="75"/>
      <c r="D5" s="76"/>
      <c r="E5" s="76"/>
      <c r="F5" s="76"/>
      <c r="G5" s="77"/>
    </row>
    <row r="6" spans="1:7" ht="25.5" customHeight="1" x14ac:dyDescent="0.25">
      <c r="A6" s="75" t="str">
        <f t="shared" si="0"/>
        <v>//</v>
      </c>
      <c r="B6" s="75"/>
      <c r="C6" s="75"/>
      <c r="D6" s="76"/>
      <c r="E6" s="76"/>
      <c r="F6" s="76"/>
      <c r="G6" s="77"/>
    </row>
    <row r="7" spans="1:7" ht="25.5" customHeight="1" x14ac:dyDescent="0.25">
      <c r="A7" s="75" t="str">
        <f t="shared" si="0"/>
        <v>//</v>
      </c>
      <c r="B7" s="75"/>
      <c r="C7" s="75"/>
      <c r="D7" s="76"/>
      <c r="E7" s="76"/>
      <c r="F7" s="76"/>
      <c r="G7" s="77"/>
    </row>
    <row r="8" spans="1:7" ht="25.5" customHeight="1" x14ac:dyDescent="0.25">
      <c r="A8" s="75" t="str">
        <f t="shared" si="0"/>
        <v>//</v>
      </c>
      <c r="B8" s="75"/>
      <c r="C8" s="75"/>
      <c r="D8" s="76"/>
      <c r="E8" s="76"/>
      <c r="F8" s="76"/>
      <c r="G8" s="77"/>
    </row>
    <row r="9" spans="1:7" ht="25.5" customHeight="1" x14ac:dyDescent="0.25">
      <c r="A9" s="75" t="str">
        <f t="shared" si="0"/>
        <v>//</v>
      </c>
      <c r="B9" s="75"/>
      <c r="C9" s="75"/>
      <c r="D9" s="76"/>
      <c r="E9" s="76"/>
      <c r="F9" s="76"/>
      <c r="G9" s="77"/>
    </row>
    <row r="10" spans="1:7" ht="25.5" customHeight="1" x14ac:dyDescent="0.25">
      <c r="A10" s="75" t="str">
        <f t="shared" si="0"/>
        <v>//</v>
      </c>
      <c r="B10" s="75"/>
      <c r="C10" s="75"/>
      <c r="D10" s="76"/>
      <c r="E10" s="76"/>
      <c r="F10" s="76"/>
      <c r="G10" s="77"/>
    </row>
    <row r="11" spans="1:7" ht="25.5" customHeight="1" x14ac:dyDescent="0.25">
      <c r="A11" s="75" t="str">
        <f t="shared" si="0"/>
        <v>//</v>
      </c>
      <c r="B11" s="75"/>
      <c r="C11" s="75"/>
      <c r="D11" s="76"/>
      <c r="E11" s="76"/>
      <c r="F11" s="76"/>
      <c r="G11" s="77"/>
    </row>
    <row r="12" spans="1:7" ht="25.5" customHeight="1" x14ac:dyDescent="0.25">
      <c r="A12" s="75" t="str">
        <f t="shared" si="0"/>
        <v>//</v>
      </c>
      <c r="B12" s="75"/>
      <c r="C12" s="75"/>
      <c r="D12" s="76"/>
      <c r="E12" s="76"/>
      <c r="F12" s="76"/>
      <c r="G12" s="77"/>
    </row>
    <row r="13" spans="1:7" ht="25.5" customHeight="1" x14ac:dyDescent="0.25">
      <c r="A13" s="75" t="str">
        <f t="shared" si="0"/>
        <v>//</v>
      </c>
      <c r="B13" s="75"/>
      <c r="C13" s="75"/>
      <c r="D13" s="76"/>
      <c r="E13" s="76"/>
      <c r="F13" s="76"/>
      <c r="G13" s="77"/>
    </row>
    <row r="14" spans="1:7" ht="25.5" customHeight="1" x14ac:dyDescent="0.25">
      <c r="A14" s="75" t="str">
        <f t="shared" si="0"/>
        <v>//</v>
      </c>
      <c r="B14" s="75"/>
      <c r="C14" s="75"/>
      <c r="D14" s="76"/>
      <c r="E14" s="76"/>
      <c r="F14" s="76"/>
      <c r="G14" s="77"/>
    </row>
    <row r="15" spans="1:7" ht="25.5" customHeight="1" x14ac:dyDescent="0.25">
      <c r="A15" s="75" t="str">
        <f t="shared" si="0"/>
        <v>//</v>
      </c>
      <c r="B15" s="75"/>
      <c r="C15" s="75"/>
      <c r="D15" s="76"/>
      <c r="E15" s="76"/>
      <c r="F15" s="76"/>
      <c r="G15" s="77"/>
    </row>
    <row r="16" spans="1:7" ht="25.5" customHeight="1" x14ac:dyDescent="0.25">
      <c r="A16" s="75" t="str">
        <f t="shared" si="0"/>
        <v>//</v>
      </c>
      <c r="B16" s="75"/>
      <c r="C16" s="75"/>
      <c r="D16" s="76"/>
      <c r="E16" s="76"/>
      <c r="F16" s="76"/>
      <c r="G16" s="77"/>
    </row>
    <row r="17" spans="1:7" ht="25.5" customHeight="1" x14ac:dyDescent="0.25">
      <c r="A17" s="75" t="str">
        <f t="shared" si="0"/>
        <v>//</v>
      </c>
      <c r="B17" s="75"/>
      <c r="C17" s="75"/>
      <c r="D17" s="76"/>
      <c r="E17" s="76"/>
      <c r="F17" s="76"/>
      <c r="G17" s="77"/>
    </row>
    <row r="18" spans="1:7" ht="25.5" customHeight="1" x14ac:dyDescent="0.25">
      <c r="A18" s="75" t="str">
        <f t="shared" si="0"/>
        <v>//</v>
      </c>
      <c r="B18" s="75"/>
      <c r="C18" s="75"/>
      <c r="D18" s="76"/>
      <c r="E18" s="76"/>
      <c r="F18" s="76"/>
      <c r="G18" s="77"/>
    </row>
    <row r="19" spans="1:7" ht="25.5" customHeight="1" x14ac:dyDescent="0.25">
      <c r="A19" s="75" t="str">
        <f t="shared" si="0"/>
        <v>//</v>
      </c>
      <c r="B19" s="75"/>
      <c r="C19" s="75"/>
      <c r="D19" s="76"/>
      <c r="E19" s="76"/>
      <c r="F19" s="76"/>
      <c r="G19" s="77"/>
    </row>
    <row r="20" spans="1:7" ht="25.5" customHeight="1" x14ac:dyDescent="0.25">
      <c r="A20" s="75" t="str">
        <f t="shared" si="0"/>
        <v>//</v>
      </c>
      <c r="B20" s="75"/>
      <c r="C20" s="75"/>
      <c r="D20" s="76"/>
      <c r="E20" s="76"/>
      <c r="F20" s="76"/>
      <c r="G20" s="77"/>
    </row>
    <row r="21" spans="1:7" ht="25.5" customHeight="1" x14ac:dyDescent="0.25">
      <c r="A21" s="75" t="str">
        <f t="shared" si="0"/>
        <v>//</v>
      </c>
      <c r="B21" s="75"/>
      <c r="C21" s="75"/>
      <c r="D21" s="76"/>
      <c r="E21" s="76"/>
      <c r="F21" s="76"/>
      <c r="G21" s="77"/>
    </row>
    <row r="22" spans="1:7" ht="25.5" customHeight="1" x14ac:dyDescent="0.25">
      <c r="A22" s="75" t="str">
        <f t="shared" si="0"/>
        <v>//</v>
      </c>
      <c r="B22" s="75"/>
      <c r="C22" s="75"/>
      <c r="D22" s="76"/>
      <c r="E22" s="76"/>
      <c r="F22" s="76"/>
      <c r="G22" s="77"/>
    </row>
    <row r="23" spans="1:7" ht="25.5" customHeight="1" x14ac:dyDescent="0.25">
      <c r="A23" s="75" t="str">
        <f t="shared" si="0"/>
        <v>//</v>
      </c>
      <c r="B23" s="75"/>
      <c r="C23" s="75"/>
      <c r="D23" s="76"/>
      <c r="E23" s="76"/>
      <c r="F23" s="76"/>
      <c r="G23" s="77"/>
    </row>
    <row r="24" spans="1:7" ht="25.5" customHeight="1" x14ac:dyDescent="0.25">
      <c r="A24" s="75" t="str">
        <f t="shared" si="0"/>
        <v>//</v>
      </c>
      <c r="B24" s="75"/>
      <c r="C24" s="75"/>
      <c r="D24" s="76"/>
      <c r="E24" s="76"/>
      <c r="F24" s="76"/>
      <c r="G24" s="77"/>
    </row>
    <row r="25" spans="1:7" ht="25.5" customHeight="1" x14ac:dyDescent="0.25">
      <c r="A25" s="75" t="str">
        <f t="shared" si="0"/>
        <v>//</v>
      </c>
      <c r="B25" s="75"/>
      <c r="C25" s="75"/>
      <c r="D25" s="76"/>
      <c r="E25" s="76"/>
      <c r="F25" s="76"/>
      <c r="G25" s="77"/>
    </row>
    <row r="26" spans="1:7" ht="25.5" customHeight="1" x14ac:dyDescent="0.25">
      <c r="A26" s="75" t="str">
        <f t="shared" si="0"/>
        <v>//</v>
      </c>
      <c r="B26" s="75"/>
      <c r="C26" s="75"/>
      <c r="D26" s="76"/>
      <c r="E26" s="76"/>
      <c r="F26" s="76"/>
      <c r="G26" s="77"/>
    </row>
    <row r="27" spans="1:7" ht="25.5" customHeight="1" x14ac:dyDescent="0.25">
      <c r="A27" s="75" t="str">
        <f t="shared" si="0"/>
        <v>//</v>
      </c>
      <c r="B27" s="75"/>
      <c r="C27" s="75"/>
      <c r="D27" s="76"/>
      <c r="E27" s="76"/>
      <c r="F27" s="76"/>
      <c r="G27" s="77"/>
    </row>
    <row r="28" spans="1:7" ht="25.5" customHeight="1" x14ac:dyDescent="0.25">
      <c r="A28" s="75" t="str">
        <f t="shared" si="0"/>
        <v>//</v>
      </c>
      <c r="B28" s="75"/>
      <c r="C28" s="75"/>
      <c r="D28" s="76"/>
      <c r="E28" s="76"/>
      <c r="F28" s="76"/>
      <c r="G28" s="77"/>
    </row>
    <row r="29" spans="1:7" ht="25.5" customHeight="1" x14ac:dyDescent="0.25">
      <c r="A29" s="75" t="str">
        <f t="shared" si="0"/>
        <v>//</v>
      </c>
      <c r="B29" s="75"/>
      <c r="C29" s="75"/>
      <c r="D29" s="76"/>
      <c r="E29" s="76"/>
      <c r="F29" s="76"/>
      <c r="G29" s="77"/>
    </row>
    <row r="30" spans="1:7" ht="25.5" customHeight="1" x14ac:dyDescent="0.25">
      <c r="A30" s="75" t="str">
        <f t="shared" si="0"/>
        <v>//</v>
      </c>
      <c r="B30" s="75"/>
      <c r="C30" s="75"/>
      <c r="D30" s="76"/>
      <c r="E30" s="76"/>
      <c r="F30" s="76"/>
      <c r="G30" s="77"/>
    </row>
    <row r="31" spans="1:7" ht="25.5" customHeight="1" x14ac:dyDescent="0.25">
      <c r="A31" s="75" t="str">
        <f t="shared" si="0"/>
        <v>//</v>
      </c>
      <c r="B31" s="75"/>
      <c r="C31" s="75"/>
      <c r="D31" s="76"/>
      <c r="E31" s="76"/>
      <c r="F31" s="76"/>
      <c r="G31" s="77"/>
    </row>
    <row r="32" spans="1:7" ht="25.5" customHeight="1" x14ac:dyDescent="0.25">
      <c r="A32" s="75" t="str">
        <f t="shared" si="0"/>
        <v>//</v>
      </c>
      <c r="B32" s="75"/>
      <c r="C32" s="75"/>
      <c r="D32" s="76"/>
      <c r="E32" s="76"/>
      <c r="F32" s="76"/>
      <c r="G32" s="77"/>
    </row>
    <row r="33" spans="1:7" ht="25.5" customHeight="1" x14ac:dyDescent="0.25">
      <c r="A33" s="75" t="str">
        <f t="shared" si="0"/>
        <v>//</v>
      </c>
      <c r="B33" s="75"/>
      <c r="C33" s="75"/>
      <c r="D33" s="76"/>
      <c r="E33" s="76"/>
      <c r="F33" s="76"/>
      <c r="G33" s="77"/>
    </row>
    <row r="34" spans="1:7" ht="25.5" customHeight="1" x14ac:dyDescent="0.25">
      <c r="A34" s="75" t="str">
        <f t="shared" si="0"/>
        <v>//</v>
      </c>
      <c r="B34" s="75"/>
      <c r="C34" s="75"/>
      <c r="D34" s="76"/>
      <c r="E34" s="76"/>
      <c r="F34" s="76"/>
      <c r="G34" s="77"/>
    </row>
    <row r="35" spans="1:7" ht="25.5" customHeight="1" x14ac:dyDescent="0.25">
      <c r="A35" s="75" t="str">
        <f t="shared" si="0"/>
        <v>//</v>
      </c>
      <c r="B35" s="75"/>
      <c r="C35" s="75"/>
      <c r="D35" s="76"/>
      <c r="E35" s="76"/>
      <c r="F35" s="76"/>
      <c r="G35" s="77"/>
    </row>
    <row r="36" spans="1:7" ht="25.5" customHeight="1" x14ac:dyDescent="0.25">
      <c r="A36" s="75" t="str">
        <f t="shared" si="0"/>
        <v>//</v>
      </c>
      <c r="B36" s="75"/>
      <c r="C36" s="75"/>
      <c r="D36" s="76"/>
      <c r="E36" s="76"/>
      <c r="F36" s="76"/>
      <c r="G36" s="77"/>
    </row>
    <row r="37" spans="1:7" ht="25.5" customHeight="1" x14ac:dyDescent="0.25">
      <c r="A37" s="75" t="str">
        <f t="shared" si="0"/>
        <v>//</v>
      </c>
      <c r="B37" s="75"/>
      <c r="C37" s="75"/>
      <c r="D37" s="76"/>
      <c r="E37" s="76"/>
      <c r="F37" s="76"/>
      <c r="G37" s="77"/>
    </row>
    <row r="38" spans="1:7" ht="25.5" customHeight="1" x14ac:dyDescent="0.25">
      <c r="A38" s="75" t="str">
        <f t="shared" si="0"/>
        <v>//</v>
      </c>
      <c r="B38" s="75"/>
      <c r="C38" s="75"/>
      <c r="D38" s="76"/>
      <c r="E38" s="76"/>
      <c r="F38" s="76"/>
      <c r="G38" s="77"/>
    </row>
    <row r="39" spans="1:7" ht="25.5" customHeight="1" x14ac:dyDescent="0.25">
      <c r="A39" s="75" t="str">
        <f t="shared" si="0"/>
        <v>//</v>
      </c>
      <c r="B39" s="75"/>
      <c r="C39" s="75"/>
      <c r="D39" s="76"/>
      <c r="E39" s="76"/>
      <c r="F39" s="76"/>
      <c r="G39" s="77"/>
    </row>
    <row r="40" spans="1:7" ht="25.5" customHeight="1" x14ac:dyDescent="0.25">
      <c r="A40" s="75" t="str">
        <f t="shared" si="0"/>
        <v>//</v>
      </c>
      <c r="B40" s="75"/>
      <c r="C40" s="75"/>
      <c r="D40" s="76"/>
      <c r="E40" s="76"/>
      <c r="F40" s="76"/>
      <c r="G40" s="77"/>
    </row>
    <row r="41" spans="1:7" ht="25.5" customHeight="1" x14ac:dyDescent="0.25">
      <c r="A41" s="75" t="str">
        <f t="shared" si="0"/>
        <v>//</v>
      </c>
      <c r="B41" s="75"/>
      <c r="C41" s="75"/>
      <c r="D41" s="76"/>
      <c r="E41" s="76"/>
      <c r="F41" s="76"/>
      <c r="G41" s="77"/>
    </row>
    <row r="42" spans="1:7" ht="25.5" customHeight="1" x14ac:dyDescent="0.25">
      <c r="A42" s="75" t="str">
        <f t="shared" si="0"/>
        <v>//</v>
      </c>
      <c r="B42" s="75"/>
      <c r="C42" s="75"/>
      <c r="D42" s="76"/>
      <c r="E42" s="76"/>
      <c r="F42" s="76"/>
      <c r="G42" s="77"/>
    </row>
    <row r="43" spans="1:7" ht="25.5" customHeight="1" x14ac:dyDescent="0.25">
      <c r="A43" s="75" t="str">
        <f t="shared" si="0"/>
        <v>//</v>
      </c>
      <c r="B43" s="75"/>
      <c r="C43" s="75"/>
      <c r="D43" s="76"/>
      <c r="E43" s="76"/>
      <c r="F43" s="76"/>
      <c r="G43" s="77"/>
    </row>
    <row r="44" spans="1:7" ht="25.5" customHeight="1" x14ac:dyDescent="0.25">
      <c r="A44" s="75" t="str">
        <f t="shared" si="0"/>
        <v>//</v>
      </c>
      <c r="B44" s="75"/>
      <c r="C44" s="75"/>
      <c r="D44" s="76"/>
      <c r="E44" s="76"/>
      <c r="F44" s="76"/>
      <c r="G44" s="77"/>
    </row>
    <row r="45" spans="1:7" ht="25.5" customHeight="1" x14ac:dyDescent="0.25">
      <c r="A45" s="75" t="str">
        <f t="shared" si="0"/>
        <v>//</v>
      </c>
      <c r="B45" s="75"/>
      <c r="C45" s="75"/>
      <c r="D45" s="76"/>
      <c r="E45" s="76"/>
      <c r="F45" s="76"/>
      <c r="G45" s="77"/>
    </row>
    <row r="46" spans="1:7" ht="25.5" customHeight="1" x14ac:dyDescent="0.25">
      <c r="A46" s="75" t="str">
        <f t="shared" si="0"/>
        <v>//</v>
      </c>
      <c r="B46" s="75"/>
      <c r="C46" s="75"/>
      <c r="D46" s="76"/>
      <c r="E46" s="76"/>
      <c r="F46" s="76"/>
      <c r="G46" s="77"/>
    </row>
    <row r="47" spans="1:7" ht="25.5" customHeight="1" x14ac:dyDescent="0.25">
      <c r="A47" s="75" t="str">
        <f t="shared" si="0"/>
        <v>//</v>
      </c>
      <c r="B47" s="75"/>
      <c r="C47" s="75"/>
      <c r="D47" s="76"/>
      <c r="E47" s="76"/>
      <c r="F47" s="76"/>
      <c r="G47" s="77"/>
    </row>
    <row r="48" spans="1:7" ht="25.5" customHeight="1" x14ac:dyDescent="0.25">
      <c r="A48" s="75" t="str">
        <f t="shared" si="0"/>
        <v>//</v>
      </c>
      <c r="B48" s="75"/>
      <c r="C48" s="75"/>
      <c r="D48" s="76"/>
      <c r="E48" s="76"/>
      <c r="F48" s="76"/>
      <c r="G48" s="77"/>
    </row>
    <row r="49" spans="1:7" ht="25.5" customHeight="1" x14ac:dyDescent="0.25">
      <c r="A49" s="75" t="str">
        <f t="shared" si="0"/>
        <v>//</v>
      </c>
      <c r="B49" s="75"/>
      <c r="C49" s="75"/>
      <c r="D49" s="76"/>
      <c r="E49" s="76"/>
      <c r="F49" s="76"/>
      <c r="G49" s="77"/>
    </row>
    <row r="50" spans="1:7" ht="25.5" customHeight="1" x14ac:dyDescent="0.25">
      <c r="A50" s="75" t="str">
        <f t="shared" si="0"/>
        <v>//</v>
      </c>
      <c r="B50" s="75"/>
      <c r="C50" s="75"/>
      <c r="D50" s="76"/>
      <c r="E50" s="76"/>
      <c r="F50" s="76"/>
      <c r="G50" s="77"/>
    </row>
    <row r="51" spans="1:7" ht="25.5" customHeight="1" x14ac:dyDescent="0.25">
      <c r="A51" s="75" t="str">
        <f t="shared" si="0"/>
        <v>//</v>
      </c>
      <c r="B51" s="75"/>
      <c r="C51" s="75"/>
      <c r="D51" s="76"/>
      <c r="E51" s="76"/>
      <c r="F51" s="76"/>
      <c r="G51" s="77"/>
    </row>
    <row r="52" spans="1:7" ht="25.5" customHeight="1" x14ac:dyDescent="0.25">
      <c r="A52" s="75" t="str">
        <f t="shared" si="0"/>
        <v>//</v>
      </c>
      <c r="B52" s="75"/>
      <c r="C52" s="75"/>
      <c r="D52" s="76"/>
      <c r="E52" s="76"/>
      <c r="F52" s="76"/>
      <c r="G52" s="77"/>
    </row>
    <row r="53" spans="1:7" ht="25.5" customHeight="1" x14ac:dyDescent="0.25">
      <c r="A53" s="75" t="str">
        <f t="shared" si="0"/>
        <v>//</v>
      </c>
      <c r="B53" s="75"/>
      <c r="C53" s="75"/>
      <c r="D53" s="76"/>
      <c r="E53" s="76"/>
      <c r="F53" s="76"/>
      <c r="G53" s="77"/>
    </row>
    <row r="54" spans="1:7" ht="25.5" customHeight="1" x14ac:dyDescent="0.25">
      <c r="A54" s="75" t="str">
        <f t="shared" si="0"/>
        <v>//</v>
      </c>
      <c r="B54" s="75"/>
      <c r="C54" s="75"/>
      <c r="D54" s="76"/>
      <c r="E54" s="76"/>
      <c r="F54" s="76"/>
      <c r="G54" s="77"/>
    </row>
    <row r="55" spans="1:7" ht="25.5" customHeight="1" x14ac:dyDescent="0.25">
      <c r="A55" s="75" t="str">
        <f t="shared" si="0"/>
        <v>//</v>
      </c>
      <c r="B55" s="75"/>
      <c r="C55" s="75"/>
      <c r="D55" s="76"/>
      <c r="E55" s="76"/>
      <c r="F55" s="76"/>
      <c r="G55" s="77"/>
    </row>
    <row r="56" spans="1:7" ht="25.5" customHeight="1" x14ac:dyDescent="0.25">
      <c r="A56" s="75" t="str">
        <f t="shared" si="0"/>
        <v>//</v>
      </c>
      <c r="B56" s="75"/>
      <c r="C56" s="75"/>
      <c r="D56" s="76"/>
      <c r="E56" s="76"/>
      <c r="F56" s="76"/>
      <c r="G56" s="77"/>
    </row>
    <row r="57" spans="1:7" ht="25.5" customHeight="1" x14ac:dyDescent="0.25">
      <c r="A57" s="75" t="str">
        <f t="shared" si="0"/>
        <v>//</v>
      </c>
      <c r="B57" s="75"/>
      <c r="C57" s="75"/>
      <c r="D57" s="76"/>
      <c r="E57" s="76"/>
      <c r="F57" s="76"/>
      <c r="G57" s="77"/>
    </row>
    <row r="58" spans="1:7" ht="25.5" customHeight="1" x14ac:dyDescent="0.25">
      <c r="A58" s="75" t="str">
        <f t="shared" si="0"/>
        <v>//</v>
      </c>
      <c r="B58" s="75"/>
      <c r="C58" s="75"/>
      <c r="D58" s="76"/>
      <c r="E58" s="76"/>
      <c r="F58" s="76"/>
      <c r="G58" s="77"/>
    </row>
    <row r="59" spans="1:7" ht="25.5" customHeight="1" x14ac:dyDescent="0.25">
      <c r="A59" s="75" t="str">
        <f t="shared" si="0"/>
        <v>//</v>
      </c>
      <c r="B59" s="75"/>
      <c r="C59" s="75"/>
      <c r="D59" s="76"/>
      <c r="E59" s="76"/>
      <c r="F59" s="76"/>
      <c r="G59" s="77"/>
    </row>
    <row r="60" spans="1:7" ht="25.5" customHeight="1" x14ac:dyDescent="0.25">
      <c r="A60" s="75" t="str">
        <f t="shared" si="0"/>
        <v>//</v>
      </c>
      <c r="B60" s="75"/>
      <c r="C60" s="75"/>
      <c r="D60" s="76"/>
      <c r="E60" s="76"/>
      <c r="F60" s="76"/>
      <c r="G60" s="77"/>
    </row>
    <row r="61" spans="1:7" ht="25.5" customHeight="1" x14ac:dyDescent="0.25">
      <c r="A61" s="75" t="str">
        <f t="shared" si="0"/>
        <v>//</v>
      </c>
      <c r="B61" s="75"/>
      <c r="C61" s="75"/>
      <c r="D61" s="76"/>
      <c r="E61" s="76"/>
      <c r="F61" s="76"/>
      <c r="G61" s="77"/>
    </row>
    <row r="62" spans="1:7" ht="25.5" customHeight="1" x14ac:dyDescent="0.25">
      <c r="A62" s="75" t="str">
        <f t="shared" si="0"/>
        <v>//</v>
      </c>
      <c r="B62" s="75"/>
      <c r="C62" s="75"/>
      <c r="D62" s="76"/>
      <c r="E62" s="76"/>
      <c r="F62" s="76"/>
      <c r="G62" s="77"/>
    </row>
    <row r="63" spans="1:7" ht="25.5" customHeight="1" x14ac:dyDescent="0.25">
      <c r="A63" s="75" t="str">
        <f t="shared" si="0"/>
        <v>//</v>
      </c>
      <c r="B63" s="75"/>
      <c r="C63" s="75"/>
      <c r="D63" s="76"/>
      <c r="E63" s="76"/>
      <c r="F63" s="76"/>
      <c r="G63" s="77"/>
    </row>
    <row r="64" spans="1:7" ht="25.5" customHeight="1" x14ac:dyDescent="0.25">
      <c r="A64" s="75" t="str">
        <f t="shared" si="0"/>
        <v>//</v>
      </c>
      <c r="B64" s="75"/>
      <c r="C64" s="75"/>
      <c r="D64" s="76"/>
      <c r="E64" s="76"/>
      <c r="F64" s="76"/>
      <c r="G64" s="77"/>
    </row>
    <row r="65" spans="1:7" ht="25.5" customHeight="1" x14ac:dyDescent="0.25">
      <c r="A65" s="75" t="str">
        <f t="shared" si="0"/>
        <v>//</v>
      </c>
      <c r="B65" s="75"/>
      <c r="C65" s="75"/>
      <c r="D65" s="76"/>
      <c r="E65" s="76"/>
      <c r="F65" s="76"/>
      <c r="G65" s="77"/>
    </row>
    <row r="66" spans="1:7" ht="25.5" customHeight="1" x14ac:dyDescent="0.25">
      <c r="A66" s="75" t="str">
        <f t="shared" si="0"/>
        <v>//</v>
      </c>
      <c r="B66" s="75"/>
      <c r="C66" s="75"/>
      <c r="D66" s="76"/>
      <c r="E66" s="76"/>
      <c r="F66" s="76"/>
      <c r="G66" s="77"/>
    </row>
    <row r="67" spans="1:7" ht="25.5" customHeight="1" x14ac:dyDescent="0.25">
      <c r="A67" s="75" t="str">
        <f t="shared" si="0"/>
        <v>//</v>
      </c>
      <c r="B67" s="75"/>
      <c r="C67" s="75"/>
      <c r="D67" s="76"/>
      <c r="E67" s="76"/>
      <c r="F67" s="76"/>
      <c r="G67" s="77"/>
    </row>
    <row r="68" spans="1:7" ht="25.5" customHeight="1" x14ac:dyDescent="0.25">
      <c r="A68" s="75" t="str">
        <f t="shared" si="0"/>
        <v>//</v>
      </c>
      <c r="B68" s="75"/>
      <c r="C68" s="75"/>
      <c r="D68" s="76"/>
      <c r="E68" s="76"/>
      <c r="F68" s="76"/>
      <c r="G68" s="77"/>
    </row>
    <row r="69" spans="1:7" ht="25.5" customHeight="1" x14ac:dyDescent="0.25">
      <c r="A69" s="75" t="str">
        <f t="shared" si="0"/>
        <v>//</v>
      </c>
      <c r="B69" s="75"/>
      <c r="C69" s="75"/>
      <c r="D69" s="76"/>
      <c r="E69" s="76"/>
      <c r="F69" s="76"/>
      <c r="G69" s="77"/>
    </row>
    <row r="70" spans="1:7" ht="25.5" customHeight="1" x14ac:dyDescent="0.25">
      <c r="A70" s="75" t="str">
        <f t="shared" si="0"/>
        <v>//</v>
      </c>
      <c r="B70" s="75"/>
      <c r="C70" s="75"/>
      <c r="D70" s="76"/>
      <c r="E70" s="76"/>
      <c r="F70" s="76"/>
      <c r="G70" s="77"/>
    </row>
    <row r="71" spans="1:7" ht="25.5" customHeight="1" x14ac:dyDescent="0.25">
      <c r="A71" s="75" t="str">
        <f t="shared" si="0"/>
        <v>//</v>
      </c>
      <c r="B71" s="75"/>
      <c r="C71" s="75"/>
      <c r="D71" s="76"/>
      <c r="E71" s="76"/>
      <c r="F71" s="76"/>
      <c r="G71" s="77"/>
    </row>
    <row r="72" spans="1:7" ht="25.5" customHeight="1" x14ac:dyDescent="0.25">
      <c r="A72" s="75" t="str">
        <f t="shared" si="0"/>
        <v>//</v>
      </c>
      <c r="B72" s="75"/>
      <c r="C72" s="75"/>
      <c r="D72" s="76"/>
      <c r="E72" s="76"/>
      <c r="F72" s="76"/>
      <c r="G72" s="77"/>
    </row>
    <row r="73" spans="1:7" ht="25.5" customHeight="1" x14ac:dyDescent="0.25">
      <c r="A73" s="75" t="str">
        <f t="shared" si="0"/>
        <v>//</v>
      </c>
      <c r="B73" s="75"/>
      <c r="C73" s="75"/>
      <c r="D73" s="76"/>
      <c r="E73" s="76"/>
      <c r="F73" s="76"/>
      <c r="G73" s="77"/>
    </row>
    <row r="74" spans="1:7" ht="25.5" customHeight="1" x14ac:dyDescent="0.25">
      <c r="A74" s="75" t="str">
        <f t="shared" si="0"/>
        <v>//</v>
      </c>
      <c r="B74" s="75"/>
      <c r="C74" s="75"/>
      <c r="D74" s="76"/>
      <c r="E74" s="76"/>
      <c r="F74" s="76"/>
      <c r="G74" s="77"/>
    </row>
    <row r="75" spans="1:7" ht="25.5" customHeight="1" x14ac:dyDescent="0.25">
      <c r="A75" s="75" t="str">
        <f t="shared" si="0"/>
        <v>//</v>
      </c>
      <c r="B75" s="75"/>
      <c r="C75" s="75"/>
      <c r="D75" s="76"/>
      <c r="E75" s="76"/>
      <c r="F75" s="76"/>
      <c r="G75" s="77"/>
    </row>
    <row r="76" spans="1:7" ht="25.5" customHeight="1" x14ac:dyDescent="0.25">
      <c r="A76" s="75" t="str">
        <f t="shared" si="0"/>
        <v>//</v>
      </c>
      <c r="B76" s="75"/>
      <c r="C76" s="75"/>
      <c r="D76" s="76"/>
      <c r="E76" s="76"/>
      <c r="F76" s="76"/>
      <c r="G76" s="77"/>
    </row>
    <row r="77" spans="1:7" ht="25.5" customHeight="1" x14ac:dyDescent="0.25">
      <c r="A77" s="75" t="str">
        <f t="shared" si="0"/>
        <v>//</v>
      </c>
      <c r="B77" s="75"/>
      <c r="C77" s="75"/>
      <c r="D77" s="76"/>
      <c r="E77" s="76"/>
      <c r="F77" s="76"/>
      <c r="G77" s="77"/>
    </row>
    <row r="78" spans="1:7" ht="25.5" customHeight="1" x14ac:dyDescent="0.25">
      <c r="A78" s="75" t="str">
        <f t="shared" si="0"/>
        <v>//</v>
      </c>
      <c r="B78" s="75"/>
      <c r="C78" s="75"/>
      <c r="D78" s="76"/>
      <c r="E78" s="76"/>
      <c r="F78" s="76"/>
      <c r="G78" s="77"/>
    </row>
    <row r="79" spans="1:7" ht="25.5" customHeight="1" x14ac:dyDescent="0.25">
      <c r="A79" s="75" t="str">
        <f t="shared" si="0"/>
        <v>//</v>
      </c>
      <c r="B79" s="75"/>
      <c r="C79" s="75"/>
      <c r="D79" s="76"/>
      <c r="E79" s="76"/>
      <c r="F79" s="76"/>
      <c r="G79" s="77"/>
    </row>
    <row r="80" spans="1:7" ht="25.5" customHeight="1" x14ac:dyDescent="0.25">
      <c r="A80" s="75" t="str">
        <f t="shared" si="0"/>
        <v>//</v>
      </c>
      <c r="B80" s="75"/>
      <c r="C80" s="75"/>
      <c r="D80" s="76"/>
      <c r="E80" s="76"/>
      <c r="F80" s="76"/>
      <c r="G80" s="77"/>
    </row>
    <row r="81" spans="1:7" ht="25.5" customHeight="1" x14ac:dyDescent="0.25">
      <c r="A81" s="75" t="str">
        <f t="shared" si="0"/>
        <v>//</v>
      </c>
      <c r="B81" s="75"/>
      <c r="C81" s="75"/>
      <c r="D81" s="76"/>
      <c r="E81" s="76"/>
      <c r="F81" s="76"/>
      <c r="G81" s="77"/>
    </row>
    <row r="82" spans="1:7" ht="25.5" customHeight="1" x14ac:dyDescent="0.25">
      <c r="A82" s="75" t="str">
        <f t="shared" si="0"/>
        <v>//</v>
      </c>
      <c r="B82" s="75"/>
      <c r="C82" s="75"/>
      <c r="D82" s="76"/>
      <c r="E82" s="76"/>
      <c r="F82" s="76"/>
      <c r="G82" s="77"/>
    </row>
    <row r="83" spans="1:7" ht="25.5" customHeight="1" x14ac:dyDescent="0.25">
      <c r="A83" s="75" t="str">
        <f t="shared" si="0"/>
        <v>//</v>
      </c>
      <c r="B83" s="75"/>
      <c r="C83" s="75"/>
      <c r="D83" s="76"/>
      <c r="E83" s="76"/>
      <c r="F83" s="76"/>
      <c r="G83" s="77"/>
    </row>
    <row r="84" spans="1:7" ht="25.5" customHeight="1" x14ac:dyDescent="0.25">
      <c r="A84" s="75" t="str">
        <f t="shared" si="0"/>
        <v>//</v>
      </c>
      <c r="B84" s="75"/>
      <c r="C84" s="75"/>
      <c r="D84" s="76"/>
      <c r="E84" s="76"/>
      <c r="F84" s="76"/>
      <c r="G84" s="77"/>
    </row>
    <row r="85" spans="1:7" ht="25.5" customHeight="1" x14ac:dyDescent="0.25">
      <c r="A85" s="75" t="str">
        <f t="shared" si="0"/>
        <v>//</v>
      </c>
      <c r="B85" s="75"/>
      <c r="C85" s="75"/>
      <c r="D85" s="76"/>
      <c r="E85" s="76"/>
      <c r="F85" s="76"/>
      <c r="G85" s="77"/>
    </row>
    <row r="86" spans="1:7" ht="25.5" customHeight="1" x14ac:dyDescent="0.25">
      <c r="A86" s="75" t="str">
        <f t="shared" si="0"/>
        <v>//</v>
      </c>
      <c r="B86" s="75"/>
      <c r="C86" s="75"/>
      <c r="D86" s="76"/>
      <c r="E86" s="76"/>
      <c r="F86" s="76"/>
      <c r="G86" s="77"/>
    </row>
    <row r="87" spans="1:7" ht="25.5" customHeight="1" x14ac:dyDescent="0.25">
      <c r="A87" s="75" t="str">
        <f t="shared" si="0"/>
        <v>//</v>
      </c>
      <c r="B87" s="75"/>
      <c r="C87" s="75"/>
      <c r="D87" s="76"/>
      <c r="E87" s="76"/>
      <c r="F87" s="76"/>
      <c r="G87" s="77"/>
    </row>
    <row r="88" spans="1:7" ht="25.5" customHeight="1" x14ac:dyDescent="0.25">
      <c r="A88" s="75" t="str">
        <f t="shared" si="0"/>
        <v>//</v>
      </c>
      <c r="B88" s="75"/>
      <c r="C88" s="75"/>
      <c r="D88" s="76"/>
      <c r="E88" s="76"/>
      <c r="F88" s="76"/>
      <c r="G88" s="77"/>
    </row>
    <row r="89" spans="1:7" ht="25.5" customHeight="1" x14ac:dyDescent="0.25">
      <c r="A89" s="75" t="str">
        <f t="shared" si="0"/>
        <v>//</v>
      </c>
      <c r="B89" s="75"/>
      <c r="C89" s="75"/>
      <c r="D89" s="76"/>
      <c r="E89" s="76"/>
      <c r="F89" s="76"/>
      <c r="G89" s="77"/>
    </row>
    <row r="90" spans="1:7" ht="25.5" customHeight="1" x14ac:dyDescent="0.25">
      <c r="A90" s="75" t="str">
        <f t="shared" si="0"/>
        <v>//</v>
      </c>
      <c r="B90" s="75"/>
      <c r="C90" s="75"/>
      <c r="D90" s="76"/>
      <c r="E90" s="76"/>
      <c r="F90" s="76"/>
      <c r="G90" s="77"/>
    </row>
    <row r="91" spans="1:7" ht="25.5" customHeight="1" x14ac:dyDescent="0.25">
      <c r="A91" s="75" t="str">
        <f t="shared" si="0"/>
        <v>//</v>
      </c>
      <c r="B91" s="75"/>
      <c r="C91" s="75"/>
      <c r="D91" s="76"/>
      <c r="E91" s="76"/>
      <c r="F91" s="76"/>
      <c r="G91" s="77"/>
    </row>
    <row r="92" spans="1:7" ht="25.5" customHeight="1" x14ac:dyDescent="0.25">
      <c r="A92" s="75" t="str">
        <f t="shared" si="0"/>
        <v>//</v>
      </c>
      <c r="B92" s="75"/>
      <c r="C92" s="75"/>
      <c r="D92" s="76"/>
      <c r="E92" s="76"/>
      <c r="F92" s="76"/>
      <c r="G92" s="77"/>
    </row>
    <row r="93" spans="1:7" ht="25.5" customHeight="1" x14ac:dyDescent="0.25">
      <c r="A93" s="75" t="str">
        <f t="shared" si="0"/>
        <v>//</v>
      </c>
      <c r="B93" s="75"/>
      <c r="C93" s="75"/>
      <c r="D93" s="76"/>
      <c r="E93" s="76"/>
      <c r="F93" s="76"/>
      <c r="G93" s="77"/>
    </row>
    <row r="94" spans="1:7" ht="25.5" customHeight="1" x14ac:dyDescent="0.25">
      <c r="A94" s="75" t="str">
        <f t="shared" si="0"/>
        <v>//</v>
      </c>
      <c r="B94" s="75"/>
      <c r="C94" s="75"/>
      <c r="D94" s="76"/>
      <c r="E94" s="76"/>
      <c r="F94" s="76"/>
      <c r="G94" s="77"/>
    </row>
    <row r="95" spans="1:7" ht="25.5" customHeight="1" x14ac:dyDescent="0.25">
      <c r="A95" s="75" t="str">
        <f t="shared" si="0"/>
        <v>//</v>
      </c>
      <c r="B95" s="75"/>
      <c r="C95" s="75"/>
      <c r="D95" s="76"/>
      <c r="E95" s="76"/>
      <c r="F95" s="76"/>
      <c r="G95" s="77"/>
    </row>
    <row r="96" spans="1:7" ht="25.5" customHeight="1" x14ac:dyDescent="0.25">
      <c r="A96" s="75" t="str">
        <f t="shared" si="0"/>
        <v>//</v>
      </c>
      <c r="B96" s="75"/>
      <c r="C96" s="75"/>
      <c r="D96" s="76"/>
      <c r="E96" s="76"/>
      <c r="F96" s="76"/>
      <c r="G96" s="77"/>
    </row>
    <row r="97" spans="1:7" ht="25.5" customHeight="1" x14ac:dyDescent="0.25">
      <c r="A97" s="75" t="str">
        <f t="shared" si="0"/>
        <v>//</v>
      </c>
      <c r="B97" s="75"/>
      <c r="C97" s="75"/>
      <c r="D97" s="76"/>
      <c r="E97" s="76"/>
      <c r="F97" s="76"/>
      <c r="G97" s="77"/>
    </row>
    <row r="98" spans="1:7" ht="25.5" customHeight="1" x14ac:dyDescent="0.25">
      <c r="A98" s="75" t="str">
        <f t="shared" si="0"/>
        <v>//</v>
      </c>
      <c r="B98" s="75"/>
      <c r="C98" s="75"/>
      <c r="D98" s="76"/>
      <c r="E98" s="76"/>
      <c r="F98" s="76"/>
      <c r="G98" s="77"/>
    </row>
    <row r="99" spans="1:7" ht="25.5" customHeight="1" x14ac:dyDescent="0.25">
      <c r="A99" s="75" t="str">
        <f t="shared" si="0"/>
        <v>//</v>
      </c>
      <c r="B99" s="75"/>
      <c r="C99" s="75"/>
      <c r="D99" s="76"/>
      <c r="E99" s="76"/>
      <c r="F99" s="76"/>
      <c r="G99" s="77"/>
    </row>
    <row r="100" spans="1:7" ht="25.5" customHeight="1" x14ac:dyDescent="0.25">
      <c r="A100" s="75" t="str">
        <f t="shared" si="0"/>
        <v>//</v>
      </c>
      <c r="B100" s="75"/>
      <c r="C100" s="75"/>
      <c r="D100" s="76"/>
      <c r="E100" s="76"/>
      <c r="F100" s="76"/>
      <c r="G100" s="77"/>
    </row>
    <row r="101" spans="1:7" ht="25.5" customHeight="1" x14ac:dyDescent="0.25">
      <c r="A101" s="75" t="str">
        <f t="shared" si="0"/>
        <v>//</v>
      </c>
      <c r="B101" s="75"/>
      <c r="C101" s="75"/>
      <c r="D101" s="76"/>
      <c r="E101" s="76"/>
      <c r="F101" s="76"/>
      <c r="G101" s="77"/>
    </row>
    <row r="102" spans="1:7" ht="25.5" customHeight="1" x14ac:dyDescent="0.25">
      <c r="A102" s="75" t="str">
        <f t="shared" si="0"/>
        <v>//</v>
      </c>
      <c r="B102" s="75"/>
      <c r="C102" s="75"/>
      <c r="D102" s="76"/>
      <c r="E102" s="76"/>
      <c r="F102" s="76"/>
      <c r="G102" s="77"/>
    </row>
    <row r="103" spans="1:7" ht="25.5" customHeight="1" x14ac:dyDescent="0.25">
      <c r="A103" s="75" t="str">
        <f t="shared" si="0"/>
        <v>//</v>
      </c>
      <c r="B103" s="75"/>
      <c r="C103" s="75"/>
      <c r="D103" s="76"/>
      <c r="E103" s="76"/>
      <c r="F103" s="76"/>
      <c r="G103" s="77"/>
    </row>
    <row r="104" spans="1:7" ht="25.5" customHeight="1" x14ac:dyDescent="0.25">
      <c r="A104" s="75" t="str">
        <f t="shared" si="0"/>
        <v>//</v>
      </c>
      <c r="B104" s="75"/>
      <c r="C104" s="75"/>
      <c r="D104" s="76"/>
      <c r="E104" s="76"/>
      <c r="F104" s="76"/>
      <c r="G104" s="77"/>
    </row>
    <row r="105" spans="1:7" ht="25.5" customHeight="1" x14ac:dyDescent="0.25">
      <c r="A105" s="75" t="str">
        <f t="shared" si="0"/>
        <v>//</v>
      </c>
      <c r="B105" s="75"/>
      <c r="C105" s="75"/>
      <c r="D105" s="76"/>
      <c r="E105" s="76"/>
      <c r="F105" s="76"/>
      <c r="G105" s="77"/>
    </row>
    <row r="106" spans="1:7" ht="25.5" customHeight="1" x14ac:dyDescent="0.25">
      <c r="A106" s="75" t="str">
        <f t="shared" si="0"/>
        <v>//</v>
      </c>
      <c r="B106" s="75"/>
      <c r="C106" s="75"/>
      <c r="D106" s="76"/>
      <c r="E106" s="76"/>
      <c r="F106" s="76"/>
      <c r="G106" s="77"/>
    </row>
    <row r="107" spans="1:7" ht="25.5" customHeight="1" x14ac:dyDescent="0.25">
      <c r="A107" s="75" t="str">
        <f t="shared" si="0"/>
        <v>//</v>
      </c>
      <c r="B107" s="75"/>
      <c r="C107" s="75"/>
      <c r="D107" s="76"/>
      <c r="E107" s="76"/>
      <c r="F107" s="76"/>
      <c r="G107" s="77"/>
    </row>
    <row r="108" spans="1:7" ht="25.5" customHeight="1" x14ac:dyDescent="0.25">
      <c r="A108" s="75" t="str">
        <f t="shared" si="0"/>
        <v>//</v>
      </c>
      <c r="B108" s="75"/>
      <c r="C108" s="75"/>
      <c r="D108" s="76"/>
      <c r="E108" s="76"/>
      <c r="F108" s="76"/>
      <c r="G108" s="77"/>
    </row>
    <row r="109" spans="1:7" ht="25.5" customHeight="1" x14ac:dyDescent="0.25">
      <c r="A109" s="75" t="str">
        <f t="shared" si="0"/>
        <v>//</v>
      </c>
      <c r="B109" s="75"/>
      <c r="C109" s="75"/>
      <c r="D109" s="76"/>
      <c r="E109" s="76"/>
      <c r="F109" s="76"/>
      <c r="G109" s="77"/>
    </row>
    <row r="110" spans="1:7" ht="25.5" customHeight="1" x14ac:dyDescent="0.25">
      <c r="A110" s="75" t="str">
        <f t="shared" si="0"/>
        <v>//</v>
      </c>
      <c r="B110" s="75"/>
      <c r="C110" s="75"/>
      <c r="D110" s="76"/>
      <c r="E110" s="76"/>
      <c r="F110" s="76"/>
      <c r="G110" s="77"/>
    </row>
    <row r="111" spans="1:7" ht="25.5" customHeight="1" x14ac:dyDescent="0.25">
      <c r="A111" s="75" t="str">
        <f t="shared" si="0"/>
        <v>//</v>
      </c>
      <c r="B111" s="75"/>
      <c r="C111" s="75"/>
      <c r="D111" s="76"/>
      <c r="E111" s="76"/>
      <c r="F111" s="76"/>
      <c r="G111" s="77"/>
    </row>
    <row r="112" spans="1:7" ht="25.5" customHeight="1" x14ac:dyDescent="0.25">
      <c r="A112" s="75" t="str">
        <f t="shared" si="0"/>
        <v>//</v>
      </c>
      <c r="B112" s="75"/>
      <c r="C112" s="75"/>
      <c r="D112" s="76"/>
      <c r="E112" s="76"/>
      <c r="F112" s="76"/>
      <c r="G112" s="77"/>
    </row>
    <row r="113" spans="1:7" ht="25.5" customHeight="1" x14ac:dyDescent="0.25">
      <c r="A113" s="75" t="str">
        <f t="shared" si="0"/>
        <v>//</v>
      </c>
      <c r="B113" s="75"/>
      <c r="C113" s="75"/>
      <c r="D113" s="76"/>
      <c r="E113" s="76"/>
      <c r="F113" s="76"/>
      <c r="G113" s="77"/>
    </row>
    <row r="114" spans="1:7" ht="25.5" customHeight="1" x14ac:dyDescent="0.25">
      <c r="A114" s="75" t="str">
        <f t="shared" si="0"/>
        <v>//</v>
      </c>
      <c r="B114" s="75"/>
      <c r="C114" s="75"/>
      <c r="D114" s="76"/>
      <c r="E114" s="76"/>
      <c r="F114" s="76"/>
      <c r="G114" s="77"/>
    </row>
    <row r="115" spans="1:7" ht="25.5" customHeight="1" x14ac:dyDescent="0.25">
      <c r="A115" s="75" t="str">
        <f t="shared" si="0"/>
        <v>//</v>
      </c>
      <c r="B115" s="75"/>
      <c r="C115" s="75"/>
      <c r="D115" s="76"/>
      <c r="E115" s="76"/>
      <c r="F115" s="76"/>
      <c r="G115" s="77"/>
    </row>
    <row r="116" spans="1:7" ht="25.5" customHeight="1" x14ac:dyDescent="0.25">
      <c r="A116" s="75" t="str">
        <f t="shared" si="0"/>
        <v>//</v>
      </c>
      <c r="B116" s="75"/>
      <c r="C116" s="75"/>
      <c r="D116" s="76"/>
      <c r="E116" s="76"/>
      <c r="F116" s="76"/>
      <c r="G116" s="77"/>
    </row>
    <row r="117" spans="1:7" ht="25.5" customHeight="1" x14ac:dyDescent="0.25">
      <c r="A117" s="75" t="str">
        <f t="shared" si="0"/>
        <v>//</v>
      </c>
      <c r="B117" s="75"/>
      <c r="C117" s="75"/>
      <c r="D117" s="76"/>
      <c r="E117" s="76"/>
      <c r="F117" s="76"/>
      <c r="G117" s="77"/>
    </row>
    <row r="118" spans="1:7" ht="25.5" customHeight="1" x14ac:dyDescent="0.25">
      <c r="A118" s="75" t="str">
        <f t="shared" si="0"/>
        <v>//</v>
      </c>
      <c r="B118" s="75"/>
      <c r="C118" s="75"/>
      <c r="D118" s="76"/>
      <c r="E118" s="76"/>
      <c r="F118" s="76"/>
      <c r="G118" s="77"/>
    </row>
    <row r="119" spans="1:7" ht="25.5" customHeight="1" x14ac:dyDescent="0.25">
      <c r="A119" s="75" t="str">
        <f t="shared" si="0"/>
        <v>//</v>
      </c>
      <c r="B119" s="75"/>
      <c r="C119" s="75"/>
      <c r="D119" s="76"/>
      <c r="E119" s="76"/>
      <c r="F119" s="76"/>
      <c r="G119" s="77"/>
    </row>
    <row r="120" spans="1:7" ht="25.5" customHeight="1" x14ac:dyDescent="0.25">
      <c r="A120" s="75" t="str">
        <f t="shared" si="0"/>
        <v>//</v>
      </c>
      <c r="B120" s="75"/>
      <c r="C120" s="75"/>
      <c r="D120" s="76"/>
      <c r="E120" s="76"/>
      <c r="F120" s="76"/>
      <c r="G120" s="77"/>
    </row>
    <row r="121" spans="1:7" ht="25.5" customHeight="1" x14ac:dyDescent="0.25">
      <c r="A121" s="75" t="str">
        <f t="shared" si="0"/>
        <v>//</v>
      </c>
      <c r="B121" s="75"/>
      <c r="C121" s="75"/>
      <c r="D121" s="76"/>
      <c r="E121" s="76"/>
      <c r="F121" s="76"/>
      <c r="G121" s="77"/>
    </row>
    <row r="122" spans="1:7" ht="25.5" customHeight="1" x14ac:dyDescent="0.25">
      <c r="A122" s="75" t="str">
        <f t="shared" si="0"/>
        <v>//</v>
      </c>
      <c r="B122" s="75"/>
      <c r="C122" s="75"/>
      <c r="D122" s="76"/>
      <c r="E122" s="76"/>
      <c r="F122" s="76"/>
      <c r="G122" s="77"/>
    </row>
    <row r="123" spans="1:7" ht="25.5" customHeight="1" x14ac:dyDescent="0.25">
      <c r="A123" s="75" t="str">
        <f t="shared" si="0"/>
        <v>//</v>
      </c>
      <c r="B123" s="75"/>
      <c r="C123" s="75"/>
      <c r="D123" s="76"/>
      <c r="E123" s="76"/>
      <c r="F123" s="76"/>
      <c r="G123" s="77"/>
    </row>
    <row r="124" spans="1:7" ht="25.5" customHeight="1" x14ac:dyDescent="0.25">
      <c r="A124" s="75" t="str">
        <f t="shared" si="0"/>
        <v>//</v>
      </c>
      <c r="B124" s="75"/>
      <c r="C124" s="75"/>
      <c r="D124" s="76"/>
      <c r="E124" s="76"/>
      <c r="F124" s="76"/>
      <c r="G124" s="77"/>
    </row>
    <row r="125" spans="1:7" ht="25.5" customHeight="1" x14ac:dyDescent="0.25">
      <c r="A125" s="75" t="str">
        <f t="shared" si="0"/>
        <v>//</v>
      </c>
      <c r="B125" s="75"/>
      <c r="C125" s="75"/>
      <c r="D125" s="76"/>
      <c r="E125" s="76"/>
      <c r="F125" s="76"/>
      <c r="G125" s="77"/>
    </row>
    <row r="126" spans="1:7" ht="25.5" customHeight="1" x14ac:dyDescent="0.25">
      <c r="A126" s="75" t="str">
        <f t="shared" si="0"/>
        <v>//</v>
      </c>
      <c r="B126" s="75"/>
      <c r="C126" s="75"/>
      <c r="D126" s="76"/>
      <c r="E126" s="76"/>
      <c r="F126" s="76"/>
      <c r="G126" s="77"/>
    </row>
    <row r="127" spans="1:7" ht="25.5" customHeight="1" x14ac:dyDescent="0.25">
      <c r="A127" s="75" t="str">
        <f t="shared" si="0"/>
        <v>//</v>
      </c>
      <c r="B127" s="75"/>
      <c r="C127" s="75"/>
      <c r="D127" s="76"/>
      <c r="E127" s="76"/>
      <c r="F127" s="76"/>
      <c r="G127" s="77"/>
    </row>
    <row r="128" spans="1:7" ht="25.5" customHeight="1" x14ac:dyDescent="0.25">
      <c r="A128" s="75" t="str">
        <f t="shared" si="0"/>
        <v>//</v>
      </c>
      <c r="B128" s="75"/>
      <c r="C128" s="75"/>
      <c r="D128" s="76"/>
      <c r="E128" s="76"/>
      <c r="F128" s="76"/>
      <c r="G128" s="77"/>
    </row>
    <row r="129" spans="1:7" ht="25.5" customHeight="1" x14ac:dyDescent="0.25">
      <c r="A129" s="75" t="str">
        <f t="shared" si="0"/>
        <v>//</v>
      </c>
      <c r="B129" s="75"/>
      <c r="C129" s="75"/>
      <c r="D129" s="76"/>
      <c r="E129" s="76"/>
      <c r="F129" s="76"/>
      <c r="G129" s="77"/>
    </row>
    <row r="130" spans="1:7" ht="25.5" customHeight="1" x14ac:dyDescent="0.25">
      <c r="A130" s="75" t="str">
        <f t="shared" si="0"/>
        <v>//</v>
      </c>
      <c r="B130" s="75"/>
      <c r="C130" s="75"/>
      <c r="D130" s="76"/>
      <c r="E130" s="76"/>
      <c r="F130" s="76"/>
      <c r="G130" s="77"/>
    </row>
    <row r="131" spans="1:7" ht="25.5" customHeight="1" x14ac:dyDescent="0.25">
      <c r="A131" s="75" t="str">
        <f t="shared" si="0"/>
        <v>//</v>
      </c>
      <c r="B131" s="75"/>
      <c r="C131" s="75"/>
      <c r="D131" s="76"/>
      <c r="E131" s="76"/>
      <c r="F131" s="76"/>
      <c r="G131" s="77"/>
    </row>
    <row r="132" spans="1:7" ht="25.5" customHeight="1" x14ac:dyDescent="0.25">
      <c r="A132" s="75" t="str">
        <f t="shared" si="0"/>
        <v>//</v>
      </c>
      <c r="B132" s="75"/>
      <c r="C132" s="75"/>
      <c r="D132" s="76"/>
      <c r="E132" s="76"/>
      <c r="F132" s="76"/>
      <c r="G132" s="77"/>
    </row>
    <row r="133" spans="1:7" ht="25.5" customHeight="1" x14ac:dyDescent="0.25">
      <c r="A133" s="75" t="str">
        <f t="shared" si="0"/>
        <v>//</v>
      </c>
      <c r="B133" s="75"/>
      <c r="C133" s="75"/>
      <c r="D133" s="76"/>
      <c r="E133" s="76"/>
      <c r="F133" s="76"/>
      <c r="G133" s="77"/>
    </row>
    <row r="134" spans="1:7" ht="25.5" customHeight="1" x14ac:dyDescent="0.25">
      <c r="A134" s="75" t="str">
        <f t="shared" si="0"/>
        <v>//</v>
      </c>
      <c r="B134" s="75"/>
      <c r="C134" s="75"/>
      <c r="D134" s="76"/>
      <c r="E134" s="76"/>
      <c r="F134" s="76"/>
      <c r="G134" s="77"/>
    </row>
    <row r="135" spans="1:7" ht="25.5" customHeight="1" x14ac:dyDescent="0.25">
      <c r="A135" s="75" t="str">
        <f t="shared" si="0"/>
        <v>//</v>
      </c>
      <c r="B135" s="75"/>
      <c r="C135" s="75"/>
      <c r="D135" s="76"/>
      <c r="E135" s="76"/>
      <c r="F135" s="76"/>
      <c r="G135" s="77"/>
    </row>
    <row r="136" spans="1:7" ht="25.5" customHeight="1" x14ac:dyDescent="0.25">
      <c r="A136" s="75" t="str">
        <f t="shared" si="0"/>
        <v>//</v>
      </c>
      <c r="B136" s="75"/>
      <c r="C136" s="75"/>
      <c r="D136" s="76"/>
      <c r="E136" s="76"/>
      <c r="F136" s="76"/>
      <c r="G136" s="77"/>
    </row>
    <row r="137" spans="1:7" ht="25.5" customHeight="1" x14ac:dyDescent="0.25">
      <c r="A137" s="75" t="str">
        <f t="shared" si="0"/>
        <v>//</v>
      </c>
      <c r="B137" s="75"/>
      <c r="C137" s="75"/>
      <c r="D137" s="76"/>
      <c r="E137" s="76"/>
      <c r="F137" s="76"/>
      <c r="G137" s="77"/>
    </row>
    <row r="138" spans="1:7" ht="25.5" customHeight="1" x14ac:dyDescent="0.25">
      <c r="A138" s="75" t="str">
        <f t="shared" si="0"/>
        <v>//</v>
      </c>
      <c r="B138" s="75"/>
      <c r="C138" s="75"/>
      <c r="D138" s="76"/>
      <c r="E138" s="76"/>
      <c r="F138" s="76"/>
      <c r="G138" s="77"/>
    </row>
    <row r="139" spans="1:7" ht="25.5" customHeight="1" x14ac:dyDescent="0.25">
      <c r="A139" s="75" t="str">
        <f t="shared" si="0"/>
        <v>//</v>
      </c>
      <c r="B139" s="75"/>
      <c r="C139" s="75"/>
      <c r="D139" s="76"/>
      <c r="E139" s="76"/>
      <c r="F139" s="76"/>
      <c r="G139" s="77"/>
    </row>
    <row r="140" spans="1:7" ht="25.5" customHeight="1" x14ac:dyDescent="0.25">
      <c r="A140" s="75" t="str">
        <f t="shared" si="0"/>
        <v>//</v>
      </c>
      <c r="B140" s="75"/>
      <c r="C140" s="75"/>
      <c r="D140" s="76"/>
      <c r="E140" s="76"/>
      <c r="F140" s="76"/>
      <c r="G140" s="77"/>
    </row>
    <row r="141" spans="1:7" ht="25.5" customHeight="1" x14ac:dyDescent="0.25">
      <c r="A141" s="75" t="str">
        <f t="shared" si="0"/>
        <v>//</v>
      </c>
      <c r="B141" s="75"/>
      <c r="C141" s="75"/>
      <c r="D141" s="76"/>
      <c r="E141" s="76"/>
      <c r="F141" s="76"/>
      <c r="G141" s="77"/>
    </row>
    <row r="142" spans="1:7" ht="25.5" customHeight="1" x14ac:dyDescent="0.25">
      <c r="A142" s="75" t="str">
        <f t="shared" si="0"/>
        <v>//</v>
      </c>
      <c r="B142" s="75"/>
      <c r="C142" s="75"/>
      <c r="D142" s="76"/>
      <c r="E142" s="76"/>
      <c r="F142" s="76"/>
      <c r="G142" s="77"/>
    </row>
    <row r="143" spans="1:7" ht="25.5" customHeight="1" x14ac:dyDescent="0.25">
      <c r="A143" s="75" t="str">
        <f t="shared" si="0"/>
        <v>//</v>
      </c>
      <c r="B143" s="75"/>
      <c r="C143" s="75"/>
      <c r="D143" s="76"/>
      <c r="E143" s="76"/>
      <c r="F143" s="76"/>
      <c r="G143" s="77"/>
    </row>
    <row r="144" spans="1:7" ht="25.5" customHeight="1" x14ac:dyDescent="0.25">
      <c r="A144" s="75" t="str">
        <f t="shared" si="0"/>
        <v>//</v>
      </c>
      <c r="B144" s="75"/>
      <c r="C144" s="75"/>
      <c r="D144" s="76"/>
      <c r="E144" s="76"/>
      <c r="F144" s="76"/>
      <c r="G144" s="77"/>
    </row>
    <row r="145" spans="1:7" ht="25.5" customHeight="1" x14ac:dyDescent="0.25">
      <c r="A145" s="75" t="str">
        <f t="shared" si="0"/>
        <v>//</v>
      </c>
      <c r="B145" s="75"/>
      <c r="C145" s="75"/>
      <c r="D145" s="76"/>
      <c r="E145" s="76"/>
      <c r="F145" s="76"/>
      <c r="G145" s="77"/>
    </row>
    <row r="146" spans="1:7" ht="25.5" customHeight="1" x14ac:dyDescent="0.25">
      <c r="A146" s="75" t="str">
        <f t="shared" si="0"/>
        <v>//</v>
      </c>
      <c r="B146" s="75"/>
      <c r="C146" s="75"/>
      <c r="D146" s="76"/>
      <c r="E146" s="76"/>
      <c r="F146" s="76"/>
      <c r="G146" s="77"/>
    </row>
    <row r="147" spans="1:7" ht="25.5" customHeight="1" x14ac:dyDescent="0.25">
      <c r="A147" s="75" t="str">
        <f t="shared" si="0"/>
        <v>//</v>
      </c>
      <c r="B147" s="75"/>
      <c r="C147" s="75"/>
      <c r="D147" s="76"/>
      <c r="E147" s="76"/>
      <c r="F147" s="76"/>
      <c r="G147" s="77"/>
    </row>
    <row r="148" spans="1:7" ht="25.5" customHeight="1" x14ac:dyDescent="0.25">
      <c r="A148" s="75" t="str">
        <f t="shared" si="0"/>
        <v>//</v>
      </c>
      <c r="B148" s="75"/>
      <c r="C148" s="75"/>
      <c r="D148" s="76"/>
      <c r="E148" s="76"/>
      <c r="F148" s="76"/>
      <c r="G148" s="77"/>
    </row>
    <row r="149" spans="1:7" ht="25.5" customHeight="1" x14ac:dyDescent="0.25">
      <c r="A149" s="75" t="str">
        <f t="shared" si="0"/>
        <v>//</v>
      </c>
      <c r="B149" s="75"/>
      <c r="C149" s="75"/>
      <c r="D149" s="76"/>
      <c r="E149" s="76"/>
      <c r="F149" s="76"/>
      <c r="G149" s="77"/>
    </row>
    <row r="150" spans="1:7" ht="25.5" customHeight="1" x14ac:dyDescent="0.25">
      <c r="A150" s="75" t="str">
        <f t="shared" si="0"/>
        <v>//</v>
      </c>
      <c r="B150" s="75"/>
      <c r="C150" s="75"/>
      <c r="D150" s="76"/>
      <c r="E150" s="76"/>
      <c r="F150" s="76"/>
      <c r="G150" s="77"/>
    </row>
    <row r="151" spans="1:7" ht="25.5" customHeight="1" x14ac:dyDescent="0.25">
      <c r="A151" s="75" t="str">
        <f t="shared" si="0"/>
        <v>//</v>
      </c>
      <c r="B151" s="75"/>
      <c r="C151" s="75"/>
      <c r="D151" s="76"/>
      <c r="E151" s="76"/>
      <c r="F151" s="76"/>
      <c r="G151" s="77"/>
    </row>
    <row r="152" spans="1:7" ht="25.5" customHeight="1" x14ac:dyDescent="0.25">
      <c r="A152" s="75" t="str">
        <f t="shared" si="0"/>
        <v>//</v>
      </c>
      <c r="B152" s="75"/>
      <c r="C152" s="75"/>
      <c r="D152" s="76"/>
      <c r="E152" s="76"/>
      <c r="F152" s="76"/>
      <c r="G152" s="77"/>
    </row>
    <row r="153" spans="1:7" ht="25.5" customHeight="1" x14ac:dyDescent="0.25">
      <c r="A153" s="75" t="str">
        <f t="shared" si="0"/>
        <v>//</v>
      </c>
      <c r="B153" s="75"/>
      <c r="C153" s="75"/>
      <c r="D153" s="76"/>
      <c r="E153" s="76"/>
      <c r="F153" s="76"/>
      <c r="G153" s="77"/>
    </row>
    <row r="154" spans="1:7" ht="25.5" customHeight="1" x14ac:dyDescent="0.25">
      <c r="A154" s="75" t="str">
        <f t="shared" si="0"/>
        <v>//</v>
      </c>
      <c r="B154" s="75"/>
      <c r="C154" s="75"/>
      <c r="D154" s="76"/>
      <c r="E154" s="76"/>
      <c r="F154" s="76"/>
      <c r="G154" s="77"/>
    </row>
    <row r="155" spans="1:7" ht="25.5" customHeight="1" x14ac:dyDescent="0.25">
      <c r="A155" s="75" t="str">
        <f t="shared" si="0"/>
        <v>//</v>
      </c>
      <c r="B155" s="75"/>
      <c r="C155" s="75"/>
      <c r="D155" s="76"/>
      <c r="E155" s="76"/>
      <c r="F155" s="76"/>
      <c r="G155" s="77"/>
    </row>
    <row r="156" spans="1:7" ht="25.5" customHeight="1" x14ac:dyDescent="0.25">
      <c r="A156" s="75" t="str">
        <f t="shared" si="0"/>
        <v>//</v>
      </c>
      <c r="B156" s="75"/>
      <c r="C156" s="75"/>
      <c r="D156" s="76"/>
      <c r="E156" s="76"/>
      <c r="F156" s="76"/>
      <c r="G156" s="77"/>
    </row>
    <row r="157" spans="1:7" ht="25.5" customHeight="1" x14ac:dyDescent="0.25">
      <c r="A157" s="75" t="str">
        <f t="shared" si="0"/>
        <v>//</v>
      </c>
      <c r="B157" s="75"/>
      <c r="C157" s="75"/>
      <c r="D157" s="76"/>
      <c r="E157" s="76"/>
      <c r="F157" s="76"/>
      <c r="G157" s="77"/>
    </row>
    <row r="158" spans="1:7" ht="25.5" customHeight="1" x14ac:dyDescent="0.25">
      <c r="A158" s="75" t="str">
        <f t="shared" si="0"/>
        <v>//</v>
      </c>
      <c r="B158" s="75"/>
      <c r="C158" s="75"/>
      <c r="D158" s="76"/>
      <c r="E158" s="76"/>
      <c r="F158" s="76"/>
      <c r="G158" s="77"/>
    </row>
    <row r="159" spans="1:7" ht="25.5" customHeight="1" x14ac:dyDescent="0.25">
      <c r="A159" s="75" t="str">
        <f t="shared" si="0"/>
        <v>//</v>
      </c>
      <c r="B159" s="75"/>
      <c r="C159" s="75"/>
      <c r="D159" s="76"/>
      <c r="E159" s="76"/>
      <c r="F159" s="76"/>
      <c r="G159" s="77"/>
    </row>
    <row r="160" spans="1:7" ht="25.5" customHeight="1" x14ac:dyDescent="0.25">
      <c r="A160" s="75" t="str">
        <f t="shared" si="0"/>
        <v>//</v>
      </c>
      <c r="B160" s="75"/>
      <c r="C160" s="75"/>
      <c r="D160" s="76"/>
      <c r="E160" s="76"/>
      <c r="F160" s="76"/>
      <c r="G160" s="77"/>
    </row>
    <row r="161" spans="1:7" ht="25.5" customHeight="1" x14ac:dyDescent="0.25">
      <c r="A161" s="75" t="str">
        <f t="shared" si="0"/>
        <v>//</v>
      </c>
      <c r="B161" s="75"/>
      <c r="C161" s="75"/>
      <c r="D161" s="76"/>
      <c r="E161" s="76"/>
      <c r="F161" s="76"/>
      <c r="G161" s="77"/>
    </row>
    <row r="162" spans="1:7" ht="25.5" customHeight="1" x14ac:dyDescent="0.25">
      <c r="A162" s="75" t="str">
        <f t="shared" si="0"/>
        <v>//</v>
      </c>
      <c r="B162" s="75"/>
      <c r="C162" s="75"/>
      <c r="D162" s="76"/>
      <c r="E162" s="76"/>
      <c r="F162" s="76"/>
      <c r="G162" s="77"/>
    </row>
    <row r="163" spans="1:7" ht="25.5" customHeight="1" x14ac:dyDescent="0.25">
      <c r="A163" s="75" t="str">
        <f t="shared" si="0"/>
        <v>//</v>
      </c>
      <c r="B163" s="75"/>
      <c r="C163" s="75"/>
      <c r="D163" s="76"/>
      <c r="E163" s="76"/>
      <c r="F163" s="76"/>
      <c r="G163" s="77"/>
    </row>
    <row r="164" spans="1:7" ht="25.5" customHeight="1" x14ac:dyDescent="0.25">
      <c r="A164" s="75" t="str">
        <f t="shared" si="0"/>
        <v>//</v>
      </c>
      <c r="B164" s="75"/>
      <c r="C164" s="75"/>
      <c r="D164" s="76"/>
      <c r="E164" s="76"/>
      <c r="F164" s="76"/>
      <c r="G164" s="77"/>
    </row>
    <row r="165" spans="1:7" ht="25.5" customHeight="1" x14ac:dyDescent="0.25">
      <c r="A165" s="75" t="str">
        <f t="shared" si="0"/>
        <v>//</v>
      </c>
      <c r="B165" s="75"/>
      <c r="C165" s="75"/>
      <c r="D165" s="76"/>
      <c r="E165" s="76"/>
      <c r="F165" s="76"/>
      <c r="G165" s="77"/>
    </row>
    <row r="166" spans="1:7" ht="25.5" customHeight="1" x14ac:dyDescent="0.25">
      <c r="A166" s="75" t="str">
        <f t="shared" si="0"/>
        <v>//</v>
      </c>
      <c r="B166" s="75"/>
      <c r="C166" s="75"/>
      <c r="D166" s="76"/>
      <c r="E166" s="76"/>
      <c r="F166" s="76"/>
      <c r="G166" s="77"/>
    </row>
    <row r="167" spans="1:7" ht="25.5" customHeight="1" x14ac:dyDescent="0.25">
      <c r="A167" s="75" t="str">
        <f t="shared" si="0"/>
        <v>//</v>
      </c>
      <c r="B167" s="75"/>
      <c r="C167" s="75"/>
      <c r="D167" s="76"/>
      <c r="E167" s="76"/>
      <c r="F167" s="76"/>
      <c r="G167" s="77"/>
    </row>
    <row r="168" spans="1:7" ht="25.5" customHeight="1" x14ac:dyDescent="0.25">
      <c r="A168" s="75" t="str">
        <f t="shared" si="0"/>
        <v>//</v>
      </c>
      <c r="B168" s="75"/>
      <c r="C168" s="75"/>
      <c r="D168" s="76"/>
      <c r="E168" s="76"/>
      <c r="F168" s="76"/>
      <c r="G168" s="77"/>
    </row>
    <row r="169" spans="1:7" ht="25.5" customHeight="1" x14ac:dyDescent="0.25">
      <c r="A169" s="75" t="str">
        <f t="shared" si="0"/>
        <v>//</v>
      </c>
      <c r="B169" s="75"/>
      <c r="C169" s="75"/>
      <c r="D169" s="76"/>
      <c r="E169" s="76"/>
      <c r="F169" s="76"/>
      <c r="G169" s="77"/>
    </row>
    <row r="170" spans="1:7" ht="25.5" customHeight="1" x14ac:dyDescent="0.25">
      <c r="A170" s="75" t="str">
        <f t="shared" si="0"/>
        <v>//</v>
      </c>
      <c r="B170" s="75"/>
      <c r="C170" s="75"/>
      <c r="D170" s="76"/>
      <c r="E170" s="76"/>
      <c r="F170" s="76"/>
      <c r="G170" s="77"/>
    </row>
    <row r="171" spans="1:7" ht="25.5" customHeight="1" x14ac:dyDescent="0.25">
      <c r="A171" s="75" t="str">
        <f t="shared" si="0"/>
        <v>//</v>
      </c>
      <c r="B171" s="75"/>
      <c r="C171" s="75"/>
      <c r="D171" s="76"/>
      <c r="E171" s="76"/>
      <c r="F171" s="76"/>
      <c r="G171" s="77"/>
    </row>
    <row r="172" spans="1:7" ht="25.5" customHeight="1" x14ac:dyDescent="0.25">
      <c r="A172" s="75" t="str">
        <f t="shared" si="0"/>
        <v>//</v>
      </c>
      <c r="B172" s="75"/>
      <c r="C172" s="75"/>
      <c r="D172" s="76"/>
      <c r="E172" s="76"/>
      <c r="F172" s="76"/>
      <c r="G172" s="77"/>
    </row>
    <row r="173" spans="1:7" ht="25.5" customHeight="1" x14ac:dyDescent="0.25">
      <c r="A173" s="75" t="str">
        <f t="shared" si="0"/>
        <v>//</v>
      </c>
      <c r="B173" s="75"/>
      <c r="C173" s="75"/>
      <c r="D173" s="76"/>
      <c r="E173" s="76"/>
      <c r="F173" s="76"/>
      <c r="G173" s="77"/>
    </row>
    <row r="174" spans="1:7" ht="25.5" customHeight="1" x14ac:dyDescent="0.25">
      <c r="A174" s="75" t="str">
        <f t="shared" si="0"/>
        <v>//</v>
      </c>
      <c r="B174" s="75"/>
      <c r="C174" s="75"/>
      <c r="D174" s="76"/>
      <c r="E174" s="76"/>
      <c r="F174" s="76"/>
      <c r="G174" s="77"/>
    </row>
    <row r="175" spans="1:7" ht="25.5" customHeight="1" x14ac:dyDescent="0.25">
      <c r="A175" s="75" t="str">
        <f t="shared" si="0"/>
        <v>//</v>
      </c>
      <c r="B175" s="75"/>
      <c r="C175" s="75"/>
      <c r="D175" s="76"/>
      <c r="E175" s="76"/>
      <c r="F175" s="76"/>
      <c r="G175" s="77"/>
    </row>
    <row r="176" spans="1:7" ht="25.5" customHeight="1" x14ac:dyDescent="0.25">
      <c r="A176" s="75" t="str">
        <f t="shared" si="0"/>
        <v>//</v>
      </c>
      <c r="B176" s="75"/>
      <c r="C176" s="75"/>
      <c r="D176" s="76"/>
      <c r="E176" s="76"/>
      <c r="F176" s="76"/>
      <c r="G176" s="77"/>
    </row>
    <row r="177" spans="1:7" ht="25.5" customHeight="1" x14ac:dyDescent="0.25">
      <c r="A177" s="75" t="str">
        <f t="shared" si="0"/>
        <v>//</v>
      </c>
      <c r="B177" s="75"/>
      <c r="C177" s="75"/>
      <c r="D177" s="76"/>
      <c r="E177" s="76"/>
      <c r="F177" s="76"/>
      <c r="G177" s="77"/>
    </row>
    <row r="178" spans="1:7" ht="25.5" customHeight="1" x14ac:dyDescent="0.25">
      <c r="A178" s="75" t="str">
        <f t="shared" si="0"/>
        <v>//</v>
      </c>
      <c r="B178" s="75"/>
      <c r="C178" s="75"/>
      <c r="D178" s="76"/>
      <c r="E178" s="76"/>
      <c r="F178" s="76"/>
      <c r="G178" s="77"/>
    </row>
    <row r="179" spans="1:7" ht="25.5" customHeight="1" x14ac:dyDescent="0.25">
      <c r="A179" s="75" t="str">
        <f t="shared" si="0"/>
        <v>//</v>
      </c>
      <c r="B179" s="75"/>
      <c r="C179" s="75"/>
      <c r="D179" s="76"/>
      <c r="E179" s="76"/>
      <c r="F179" s="76"/>
      <c r="G179" s="77"/>
    </row>
    <row r="180" spans="1:7" ht="25.5" customHeight="1" x14ac:dyDescent="0.25">
      <c r="A180" s="75" t="str">
        <f t="shared" si="0"/>
        <v>//</v>
      </c>
      <c r="B180" s="75"/>
      <c r="C180" s="75"/>
      <c r="D180" s="76"/>
      <c r="E180" s="76"/>
      <c r="F180" s="76"/>
      <c r="G180" s="77"/>
    </row>
    <row r="181" spans="1:7" ht="25.5" customHeight="1" x14ac:dyDescent="0.25">
      <c r="A181" s="75" t="str">
        <f t="shared" si="0"/>
        <v>//</v>
      </c>
      <c r="B181" s="75"/>
      <c r="C181" s="75"/>
      <c r="D181" s="76"/>
      <c r="E181" s="76"/>
      <c r="F181" s="76"/>
      <c r="G181" s="77"/>
    </row>
    <row r="182" spans="1:7" ht="25.5" customHeight="1" x14ac:dyDescent="0.25">
      <c r="A182" s="75" t="str">
        <f t="shared" si="0"/>
        <v>//</v>
      </c>
      <c r="B182" s="75"/>
      <c r="C182" s="75"/>
      <c r="D182" s="76"/>
      <c r="E182" s="76"/>
      <c r="F182" s="76"/>
      <c r="G182" s="77"/>
    </row>
    <row r="183" spans="1:7" ht="25.5" customHeight="1" x14ac:dyDescent="0.25">
      <c r="A183" s="75" t="str">
        <f t="shared" si="0"/>
        <v>//</v>
      </c>
      <c r="B183" s="75"/>
      <c r="C183" s="75"/>
      <c r="D183" s="76"/>
      <c r="E183" s="76"/>
      <c r="F183" s="76"/>
      <c r="G183" s="77"/>
    </row>
    <row r="184" spans="1:7" ht="25.5" customHeight="1" x14ac:dyDescent="0.25">
      <c r="A184" s="75" t="str">
        <f t="shared" si="0"/>
        <v>//</v>
      </c>
      <c r="B184" s="75"/>
      <c r="C184" s="75"/>
      <c r="D184" s="76"/>
      <c r="E184" s="76"/>
      <c r="F184" s="76"/>
      <c r="G184" s="77"/>
    </row>
    <row r="185" spans="1:7" ht="25.5" customHeight="1" x14ac:dyDescent="0.25">
      <c r="A185" s="75" t="str">
        <f t="shared" si="0"/>
        <v>//</v>
      </c>
      <c r="B185" s="75"/>
      <c r="C185" s="75"/>
      <c r="D185" s="76"/>
      <c r="E185" s="76"/>
      <c r="F185" s="76"/>
      <c r="G185" s="77"/>
    </row>
    <row r="186" spans="1:7" ht="25.5" customHeight="1" x14ac:dyDescent="0.25">
      <c r="A186" s="75" t="str">
        <f t="shared" si="0"/>
        <v>//</v>
      </c>
      <c r="B186" s="75"/>
      <c r="C186" s="75"/>
      <c r="D186" s="76"/>
      <c r="E186" s="76"/>
      <c r="F186" s="76"/>
      <c r="G186" s="77"/>
    </row>
    <row r="187" spans="1:7" ht="25.5" customHeight="1" x14ac:dyDescent="0.25">
      <c r="A187" s="75" t="str">
        <f t="shared" si="0"/>
        <v>//</v>
      </c>
      <c r="B187" s="75"/>
      <c r="C187" s="75"/>
      <c r="D187" s="76"/>
      <c r="E187" s="76"/>
      <c r="F187" s="76"/>
      <c r="G187" s="77"/>
    </row>
    <row r="188" spans="1:7" ht="25.5" customHeight="1" x14ac:dyDescent="0.25">
      <c r="A188" s="75" t="str">
        <f t="shared" si="0"/>
        <v>//</v>
      </c>
      <c r="B188" s="75"/>
      <c r="C188" s="75"/>
      <c r="D188" s="76"/>
      <c r="E188" s="76"/>
      <c r="F188" s="76"/>
      <c r="G188" s="77"/>
    </row>
    <row r="189" spans="1:7" ht="25.5" customHeight="1" x14ac:dyDescent="0.25">
      <c r="A189" s="75" t="str">
        <f t="shared" si="0"/>
        <v>//</v>
      </c>
      <c r="B189" s="75"/>
      <c r="C189" s="75"/>
      <c r="D189" s="76"/>
      <c r="E189" s="76"/>
      <c r="F189" s="76"/>
      <c r="G189" s="77"/>
    </row>
    <row r="190" spans="1:7" ht="25.5" customHeight="1" x14ac:dyDescent="0.25">
      <c r="A190" s="75" t="str">
        <f t="shared" si="0"/>
        <v>//</v>
      </c>
      <c r="B190" s="75"/>
      <c r="C190" s="75"/>
      <c r="D190" s="76"/>
      <c r="E190" s="76"/>
      <c r="F190" s="76"/>
      <c r="G190" s="77"/>
    </row>
    <row r="191" spans="1:7" ht="25.5" customHeight="1" x14ac:dyDescent="0.25">
      <c r="A191" s="75" t="str">
        <f t="shared" si="0"/>
        <v>//</v>
      </c>
      <c r="B191" s="75"/>
      <c r="C191" s="75"/>
      <c r="D191" s="76"/>
      <c r="E191" s="76"/>
      <c r="F191" s="76"/>
      <c r="G191" s="77"/>
    </row>
    <row r="192" spans="1:7" ht="25.5" customHeight="1" x14ac:dyDescent="0.25">
      <c r="A192" s="75" t="str">
        <f t="shared" si="0"/>
        <v>//</v>
      </c>
      <c r="B192" s="75"/>
      <c r="C192" s="75"/>
      <c r="D192" s="76"/>
      <c r="E192" s="76"/>
      <c r="F192" s="76"/>
      <c r="G192" s="77"/>
    </row>
    <row r="193" spans="1:7" ht="25.5" customHeight="1" x14ac:dyDescent="0.25">
      <c r="A193" s="75" t="str">
        <f t="shared" si="0"/>
        <v>//</v>
      </c>
      <c r="B193" s="75"/>
      <c r="C193" s="75"/>
      <c r="D193" s="76"/>
      <c r="E193" s="76"/>
      <c r="F193" s="76"/>
      <c r="G193" s="77"/>
    </row>
    <row r="194" spans="1:7" ht="25.5" customHeight="1" x14ac:dyDescent="0.25">
      <c r="A194" s="75" t="str">
        <f t="shared" si="0"/>
        <v>//</v>
      </c>
      <c r="B194" s="75"/>
      <c r="C194" s="75"/>
      <c r="D194" s="76"/>
      <c r="E194" s="76"/>
      <c r="F194" s="76"/>
      <c r="G194" s="77"/>
    </row>
    <row r="195" spans="1:7" ht="25.5" customHeight="1" x14ac:dyDescent="0.25">
      <c r="A195" s="75" t="str">
        <f t="shared" si="0"/>
        <v>//</v>
      </c>
      <c r="B195" s="75"/>
      <c r="C195" s="75"/>
      <c r="D195" s="76"/>
      <c r="E195" s="76"/>
      <c r="F195" s="76"/>
      <c r="G195" s="77"/>
    </row>
    <row r="196" spans="1:7" ht="25.5" customHeight="1" x14ac:dyDescent="0.25">
      <c r="A196" s="75" t="str">
        <f t="shared" si="0"/>
        <v>//</v>
      </c>
      <c r="B196" s="75"/>
      <c r="C196" s="75"/>
      <c r="D196" s="76"/>
      <c r="E196" s="76"/>
      <c r="F196" s="76"/>
      <c r="G196" s="77"/>
    </row>
    <row r="197" spans="1:7" ht="25.5" customHeight="1" x14ac:dyDescent="0.25">
      <c r="A197" s="75" t="str">
        <f t="shared" si="0"/>
        <v>//</v>
      </c>
      <c r="B197" s="75"/>
      <c r="C197" s="75"/>
      <c r="D197" s="76"/>
      <c r="E197" s="76"/>
      <c r="F197" s="76"/>
      <c r="G197" s="77"/>
    </row>
    <row r="198" spans="1:7" ht="14" x14ac:dyDescent="0.25">
      <c r="A198" s="75" t="str">
        <f t="shared" si="0"/>
        <v>//</v>
      </c>
      <c r="B198" s="75"/>
      <c r="C198" s="75"/>
      <c r="D198" s="76"/>
      <c r="E198" s="76"/>
      <c r="F198" s="76"/>
      <c r="G198" s="77"/>
    </row>
    <row r="199" spans="1:7" ht="14" x14ac:dyDescent="0.25">
      <c r="A199" s="75" t="str">
        <f t="shared" si="0"/>
        <v>//</v>
      </c>
      <c r="B199" s="75"/>
      <c r="C199" s="75"/>
      <c r="D199" s="76"/>
      <c r="E199" s="76"/>
      <c r="F199" s="76"/>
      <c r="G199" s="77"/>
    </row>
    <row r="200" spans="1:7" ht="14" x14ac:dyDescent="0.25">
      <c r="A200" s="75" t="str">
        <f t="shared" si="0"/>
        <v>//</v>
      </c>
      <c r="B200" s="75"/>
      <c r="C200" s="75"/>
      <c r="D200" s="76"/>
      <c r="E200" s="76"/>
      <c r="F200" s="76"/>
      <c r="G200" s="77"/>
    </row>
    <row r="201" spans="1:7" ht="14" x14ac:dyDescent="0.25">
      <c r="A201" s="75" t="str">
        <f t="shared" si="0"/>
        <v>//</v>
      </c>
      <c r="B201" s="75"/>
      <c r="C201" s="75"/>
      <c r="D201" s="76"/>
      <c r="E201" s="76"/>
      <c r="F201" s="76"/>
      <c r="G201" s="77"/>
    </row>
    <row r="202" spans="1:7" ht="14" x14ac:dyDescent="0.25">
      <c r="A202" s="75" t="str">
        <f t="shared" si="0"/>
        <v>//</v>
      </c>
      <c r="B202" s="75"/>
      <c r="C202" s="75"/>
      <c r="D202" s="76"/>
      <c r="E202" s="76"/>
      <c r="F202" s="76"/>
      <c r="G202" s="77"/>
    </row>
    <row r="203" spans="1:7" ht="14" x14ac:dyDescent="0.25">
      <c r="A203" s="75" t="str">
        <f t="shared" si="0"/>
        <v>//</v>
      </c>
      <c r="B203" s="75"/>
      <c r="C203" s="75"/>
      <c r="D203" s="76"/>
      <c r="E203" s="76"/>
      <c r="F203" s="76"/>
      <c r="G203" s="77"/>
    </row>
    <row r="204" spans="1:7" ht="14" x14ac:dyDescent="0.25">
      <c r="A204" s="75" t="str">
        <f t="shared" si="0"/>
        <v>//</v>
      </c>
      <c r="B204" s="75"/>
      <c r="C204" s="75"/>
      <c r="D204" s="76"/>
      <c r="E204" s="76"/>
      <c r="F204" s="76"/>
      <c r="G204" s="77"/>
    </row>
    <row r="205" spans="1:7" ht="14" x14ac:dyDescent="0.25">
      <c r="A205" s="75" t="str">
        <f t="shared" si="0"/>
        <v>//</v>
      </c>
      <c r="B205" s="75"/>
      <c r="C205" s="75"/>
      <c r="D205" s="76"/>
      <c r="E205" s="76"/>
      <c r="F205" s="76"/>
      <c r="G205" s="77"/>
    </row>
    <row r="206" spans="1:7" ht="14" x14ac:dyDescent="0.25">
      <c r="A206" s="75" t="str">
        <f t="shared" si="0"/>
        <v>//</v>
      </c>
      <c r="B206" s="75"/>
      <c r="C206" s="75"/>
      <c r="D206" s="76"/>
      <c r="E206" s="76"/>
      <c r="F206" s="76"/>
      <c r="G206" s="77"/>
    </row>
    <row r="207" spans="1:7" ht="14" x14ac:dyDescent="0.25">
      <c r="A207" s="75" t="str">
        <f t="shared" si="0"/>
        <v>//</v>
      </c>
      <c r="B207" s="75"/>
      <c r="C207" s="75"/>
      <c r="D207" s="76"/>
      <c r="E207" s="76"/>
      <c r="F207" s="76"/>
      <c r="G207" s="77"/>
    </row>
    <row r="208" spans="1:7" ht="14" x14ac:dyDescent="0.25">
      <c r="A208" s="75" t="str">
        <f t="shared" si="0"/>
        <v>//</v>
      </c>
      <c r="B208" s="75"/>
      <c r="C208" s="75"/>
      <c r="D208" s="76"/>
      <c r="E208" s="76"/>
      <c r="F208" s="76"/>
      <c r="G208" s="77"/>
    </row>
    <row r="209" spans="1:7" ht="14" x14ac:dyDescent="0.25">
      <c r="A209" s="75" t="str">
        <f t="shared" si="0"/>
        <v>//</v>
      </c>
      <c r="B209" s="75"/>
      <c r="C209" s="75"/>
      <c r="D209" s="76"/>
      <c r="E209" s="76"/>
      <c r="F209" s="76"/>
      <c r="G209" s="77"/>
    </row>
    <row r="210" spans="1:7" ht="14" x14ac:dyDescent="0.25">
      <c r="A210" s="75" t="str">
        <f t="shared" si="0"/>
        <v>//</v>
      </c>
      <c r="B210" s="75"/>
      <c r="C210" s="75"/>
      <c r="D210" s="76"/>
      <c r="E210" s="76"/>
      <c r="F210" s="76"/>
      <c r="G210" s="77"/>
    </row>
    <row r="211" spans="1:7" ht="14" x14ac:dyDescent="0.25">
      <c r="A211" s="75" t="str">
        <f t="shared" si="0"/>
        <v>//</v>
      </c>
      <c r="B211" s="75"/>
      <c r="C211" s="75"/>
      <c r="D211" s="76"/>
      <c r="E211" s="76"/>
      <c r="F211" s="76"/>
      <c r="G211" s="77"/>
    </row>
    <row r="212" spans="1:7" ht="14" x14ac:dyDescent="0.25">
      <c r="A212" s="75" t="str">
        <f t="shared" si="0"/>
        <v>//</v>
      </c>
      <c r="B212" s="75"/>
      <c r="C212" s="75"/>
      <c r="D212" s="76"/>
      <c r="E212" s="76"/>
      <c r="F212" s="76"/>
      <c r="G212" s="77"/>
    </row>
    <row r="213" spans="1:7" ht="14" x14ac:dyDescent="0.25">
      <c r="A213" s="75" t="str">
        <f t="shared" si="0"/>
        <v>//</v>
      </c>
      <c r="B213" s="75"/>
      <c r="C213" s="75"/>
      <c r="D213" s="76"/>
      <c r="E213" s="76"/>
      <c r="F213" s="76"/>
      <c r="G213" s="77"/>
    </row>
    <row r="214" spans="1:7" ht="14" x14ac:dyDescent="0.25">
      <c r="A214" s="75" t="str">
        <f t="shared" si="0"/>
        <v>//</v>
      </c>
      <c r="B214" s="75"/>
      <c r="C214" s="75"/>
      <c r="D214" s="76"/>
      <c r="E214" s="76"/>
      <c r="F214" s="76"/>
      <c r="G214" s="77"/>
    </row>
    <row r="215" spans="1:7" ht="14" x14ac:dyDescent="0.25">
      <c r="A215" s="75" t="str">
        <f t="shared" si="0"/>
        <v>//</v>
      </c>
      <c r="B215" s="75"/>
      <c r="C215" s="75"/>
      <c r="D215" s="76"/>
      <c r="E215" s="76"/>
      <c r="F215" s="76"/>
      <c r="G215" s="77"/>
    </row>
    <row r="216" spans="1:7" ht="14" x14ac:dyDescent="0.25">
      <c r="A216" s="75" t="str">
        <f t="shared" si="0"/>
        <v>//</v>
      </c>
      <c r="B216" s="75"/>
      <c r="C216" s="75"/>
      <c r="D216" s="76"/>
      <c r="E216" s="76"/>
      <c r="F216" s="76"/>
      <c r="G216" s="77"/>
    </row>
    <row r="217" spans="1:7" ht="14" x14ac:dyDescent="0.25">
      <c r="A217" s="75" t="str">
        <f t="shared" si="0"/>
        <v>//</v>
      </c>
      <c r="B217" s="75"/>
      <c r="C217" s="75"/>
      <c r="D217" s="76"/>
      <c r="E217" s="76"/>
      <c r="F217" s="76"/>
      <c r="G217" s="77"/>
    </row>
    <row r="218" spans="1:7" ht="14" x14ac:dyDescent="0.25">
      <c r="A218" s="75" t="str">
        <f t="shared" si="0"/>
        <v>//</v>
      </c>
      <c r="B218" s="75"/>
      <c r="C218" s="75"/>
      <c r="D218" s="76"/>
      <c r="E218" s="76"/>
      <c r="F218" s="76"/>
      <c r="G218" s="77"/>
    </row>
    <row r="219" spans="1:7" ht="14" x14ac:dyDescent="0.25">
      <c r="A219" s="75" t="str">
        <f t="shared" si="0"/>
        <v>//</v>
      </c>
      <c r="B219" s="75"/>
      <c r="C219" s="75"/>
      <c r="D219" s="76"/>
      <c r="E219" s="76"/>
      <c r="F219" s="76"/>
      <c r="G219" s="77"/>
    </row>
    <row r="220" spans="1:7" ht="14" x14ac:dyDescent="0.25">
      <c r="A220" s="75" t="str">
        <f t="shared" si="0"/>
        <v>//</v>
      </c>
      <c r="B220" s="75"/>
      <c r="C220" s="75"/>
      <c r="D220" s="76"/>
      <c r="E220" s="76"/>
      <c r="F220" s="76"/>
      <c r="G220" s="77"/>
    </row>
    <row r="221" spans="1:7" ht="14" x14ac:dyDescent="0.25">
      <c r="A221" s="75" t="str">
        <f t="shared" si="0"/>
        <v>//</v>
      </c>
      <c r="B221" s="75"/>
      <c r="C221" s="75"/>
      <c r="D221" s="76"/>
      <c r="E221" s="76"/>
      <c r="F221" s="76"/>
      <c r="G221" s="77"/>
    </row>
    <row r="222" spans="1:7" ht="14" x14ac:dyDescent="0.25">
      <c r="A222" s="75" t="str">
        <f t="shared" si="0"/>
        <v>//</v>
      </c>
      <c r="B222" s="75"/>
      <c r="C222" s="75"/>
      <c r="D222" s="76"/>
      <c r="E222" s="76"/>
      <c r="F222" s="76"/>
      <c r="G222" s="77"/>
    </row>
    <row r="223" spans="1:7" ht="14" x14ac:dyDescent="0.25">
      <c r="A223" s="75" t="str">
        <f t="shared" si="0"/>
        <v>//</v>
      </c>
      <c r="B223" s="75"/>
      <c r="C223" s="75"/>
      <c r="D223" s="76"/>
      <c r="E223" s="76"/>
      <c r="F223" s="76"/>
      <c r="G223" s="77"/>
    </row>
    <row r="224" spans="1:7" ht="14" x14ac:dyDescent="0.25">
      <c r="A224" s="75" t="str">
        <f t="shared" si="0"/>
        <v>//</v>
      </c>
      <c r="B224" s="75"/>
      <c r="C224" s="75"/>
      <c r="D224" s="76"/>
      <c r="E224" s="76"/>
      <c r="F224" s="76"/>
      <c r="G224" s="77"/>
    </row>
    <row r="225" spans="1:7" ht="14" x14ac:dyDescent="0.25">
      <c r="A225" s="75" t="str">
        <f t="shared" si="0"/>
        <v>//</v>
      </c>
      <c r="B225" s="75"/>
      <c r="C225" s="75"/>
      <c r="D225" s="76"/>
      <c r="E225" s="76"/>
      <c r="F225" s="76"/>
      <c r="G225" s="77"/>
    </row>
    <row r="226" spans="1:7" ht="14" x14ac:dyDescent="0.25">
      <c r="A226" s="75" t="str">
        <f t="shared" si="0"/>
        <v>//</v>
      </c>
      <c r="B226" s="75"/>
      <c r="C226" s="75"/>
      <c r="D226" s="76"/>
      <c r="E226" s="76"/>
      <c r="F226" s="76"/>
      <c r="G226" s="77"/>
    </row>
    <row r="227" spans="1:7" ht="14" x14ac:dyDescent="0.25">
      <c r="A227" s="75" t="str">
        <f t="shared" si="0"/>
        <v>//</v>
      </c>
      <c r="B227" s="75"/>
      <c r="C227" s="75"/>
      <c r="D227" s="76"/>
      <c r="E227" s="76"/>
      <c r="F227" s="76"/>
      <c r="G227" s="77"/>
    </row>
    <row r="228" spans="1:7" ht="14" x14ac:dyDescent="0.25">
      <c r="A228" s="75" t="str">
        <f t="shared" si="0"/>
        <v>//</v>
      </c>
      <c r="B228" s="75"/>
      <c r="C228" s="75"/>
      <c r="D228" s="76"/>
      <c r="E228" s="76"/>
      <c r="F228" s="76"/>
      <c r="G228" s="77"/>
    </row>
    <row r="229" spans="1:7" ht="14" x14ac:dyDescent="0.25">
      <c r="A229" s="75" t="str">
        <f t="shared" si="0"/>
        <v>//</v>
      </c>
      <c r="B229" s="75"/>
      <c r="C229" s="75"/>
      <c r="D229" s="76"/>
      <c r="E229" s="76"/>
      <c r="F229" s="76"/>
      <c r="G229" s="77"/>
    </row>
    <row r="230" spans="1:7" ht="14" x14ac:dyDescent="0.25">
      <c r="A230" s="75" t="str">
        <f t="shared" si="0"/>
        <v>//</v>
      </c>
      <c r="B230" s="75"/>
      <c r="C230" s="75"/>
      <c r="D230" s="76"/>
      <c r="E230" s="76"/>
      <c r="F230" s="76"/>
      <c r="G230" s="77"/>
    </row>
    <row r="231" spans="1:7" ht="14" x14ac:dyDescent="0.25">
      <c r="A231" s="75" t="str">
        <f t="shared" si="0"/>
        <v>//</v>
      </c>
      <c r="B231" s="75"/>
      <c r="C231" s="75"/>
      <c r="D231" s="76"/>
      <c r="E231" s="76"/>
      <c r="F231" s="76"/>
      <c r="G231" s="77"/>
    </row>
  </sheetData>
  <pageMargins left="0.511811024" right="0.511811024" top="0.78740157499999996" bottom="0.78740157499999996" header="0.31496062000000002" footer="0.31496062000000002"/>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10</vt:i4>
      </vt:variant>
    </vt:vector>
  </HeadingPairs>
  <TitlesOfParts>
    <vt:vector size="10" baseType="lpstr">
      <vt:lpstr>ORIENTADORES</vt:lpstr>
      <vt:lpstr>OFERTAS</vt:lpstr>
      <vt:lpstr>PROFESSORES</vt:lpstr>
      <vt:lpstr>COD_CURSOS</vt:lpstr>
      <vt:lpstr>BD_RH</vt:lpstr>
      <vt:lpstr>UNIDADES</vt:lpstr>
      <vt:lpstr>DIÁRIOS</vt:lpstr>
      <vt:lpstr>IMPORT_FORMACAO</vt:lpstr>
      <vt:lpstr>IMPORT_DESISTENCIA</vt:lpstr>
      <vt:lpstr>IMPORT_MATRÍCULAS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Maria Marinho Albuquerque</dc:creator>
  <cp:lastModifiedBy>Anna Mary Jerônimo de Lima</cp:lastModifiedBy>
  <dcterms:created xsi:type="dcterms:W3CDTF">2025-05-14T18:41:02Z</dcterms:created>
  <dcterms:modified xsi:type="dcterms:W3CDTF">2025-05-15T11:59:02Z</dcterms:modified>
</cp:coreProperties>
</file>